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defaultThemeVersion="124226"/>
  <xr:revisionPtr revIDLastSave="0" documentId="13_ncr:1_{04FF65B2-DD1D-457E-AB6F-4BF8C1C0AA38}" xr6:coauthVersionLast="47" xr6:coauthVersionMax="47" xr10:uidLastSave="{00000000-0000-0000-0000-000000000000}"/>
  <bookViews>
    <workbookView xWindow="-120" yWindow="-120" windowWidth="20730" windowHeight="11160" tabRatio="898" firstSheet="3" activeTab="4" xr2:uid="{00000000-000D-0000-FFFF-FFFF00000000}"/>
  </bookViews>
  <sheets>
    <sheet name="abstract" sheetId="60" state="hidden" r:id="rId1"/>
    <sheet name="Master" sheetId="68" r:id="rId2"/>
    <sheet name="Trial_2Cut" sheetId="67" r:id="rId3"/>
    <sheet name="Trial_1Cut" sheetId="64" r:id="rId4"/>
    <sheet name="BS" sheetId="4" r:id="rId5"/>
    <sheet name="PL" sheetId="5" r:id="rId6"/>
    <sheet name="Sch - liab (2)" sheetId="51" r:id="rId7"/>
    <sheet name="Sch - liab" sheetId="32" r:id="rId8"/>
    <sheet name="DEP CO aCT" sheetId="46" r:id="rId9"/>
    <sheet name="Sch - assets" sheetId="33" r:id="rId10"/>
    <sheet name="Sch - PL" sheetId="35" r:id="rId11"/>
    <sheet name="cash flow" sheetId="59" state="hidden" r:id="rId12"/>
    <sheet name="Ratios (2)" sheetId="66" r:id="rId13"/>
    <sheet name="Sch-Debtor_Creditors" sheetId="61" r:id="rId14"/>
    <sheet name="Ratios" sheetId="65" state="hidden" r:id="rId15"/>
    <sheet name="Depr I.T, Deferd tax" sheetId="47" r:id="rId16"/>
    <sheet name="Notes" sheetId="69" r:id="rId17"/>
    <sheet name="SH.List" sheetId="70" r:id="rId18"/>
    <sheet name="MRL" sheetId="71" r:id="rId19"/>
    <sheet name="DR" sheetId="72" r:id="rId20"/>
    <sheet name="MGT.9" sheetId="73" state="hidden" r:id="rId21"/>
    <sheet name="AOC.2" sheetId="74" state="hidden" r:id="rId22"/>
    <sheet name="AGM.Notice" sheetId="75" state="hidden" r:id="rId23"/>
    <sheet name="AGM.CTC" sheetId="76" state="hidden" r:id="rId24"/>
    <sheet name="App.Letter" sheetId="77" state="hidden" r:id="rId25"/>
    <sheet name="Eng.Letter" sheetId="78" state="hidden" r:id="rId26"/>
    <sheet name="ARI" sheetId="63"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s>
  <definedNames>
    <definedName name="__________________key2" localSheetId="18" hidden="1">#REF!</definedName>
    <definedName name="__________________key2" hidden="1">#REF!</definedName>
    <definedName name="_________________key2" localSheetId="18" hidden="1">#REF!</definedName>
    <definedName name="_________________key2" hidden="1">#REF!</definedName>
    <definedName name="________________key2" localSheetId="18" hidden="1">#REF!</definedName>
    <definedName name="________________key2" hidden="1">#REF!</definedName>
    <definedName name="_____________key2" localSheetId="18" hidden="1">#REF!</definedName>
    <definedName name="_____________key2" hidden="1">#REF!</definedName>
    <definedName name="____________key2" localSheetId="18" hidden="1">#REF!</definedName>
    <definedName name="____________key2" hidden="1">#REF!</definedName>
    <definedName name="___________key2" localSheetId="18" hidden="1">#REF!</definedName>
    <definedName name="___________key2" hidden="1">#REF!</definedName>
    <definedName name="_________key2" localSheetId="18" hidden="1">#REF!</definedName>
    <definedName name="_________key2" hidden="1">#REF!</definedName>
    <definedName name="________key2" localSheetId="18" hidden="1">#REF!</definedName>
    <definedName name="________key2" hidden="1">#REF!</definedName>
    <definedName name="_______key2" localSheetId="18" hidden="1">#REF!</definedName>
    <definedName name="_______key2" hidden="1">#REF!</definedName>
    <definedName name="______key2" localSheetId="18" hidden="1">#REF!</definedName>
    <definedName name="______key2" hidden="1">#REF!</definedName>
    <definedName name="_____key2" localSheetId="18" hidden="1">#REF!</definedName>
    <definedName name="_____key2" hidden="1">#REF!</definedName>
    <definedName name="____key2" localSheetId="18" hidden="1">#REF!</definedName>
    <definedName name="____key2" hidden="1">#REF!</definedName>
    <definedName name="___key2" localSheetId="18" hidden="1">#REF!</definedName>
    <definedName name="___key2" hidden="1">#REF!</definedName>
    <definedName name="__1" hidden="1">[1]Template!#REF!</definedName>
    <definedName name="__123Graph_A" localSheetId="18" hidden="1">'[2]TRIAL BALANCE'!#REF!</definedName>
    <definedName name="__123Graph_A" hidden="1">'[2]TRIAL BALANCE'!#REF!</definedName>
    <definedName name="__123Graph_B" localSheetId="18" hidden="1">[3]COSTMAR!#REF!</definedName>
    <definedName name="__123Graph_B" hidden="1">[3]COSTMAR!#REF!</definedName>
    <definedName name="__123Graph_BCURRENT" localSheetId="18" hidden="1">[4]EXPENSES!#REF!</definedName>
    <definedName name="__123Graph_BCURRENT" hidden="1">[4]EXPENSES!#REF!</definedName>
    <definedName name="__123Graph_CCURRENT" localSheetId="18" hidden="1">[4]EXPENSES!#REF!</definedName>
    <definedName name="__123Graph_CCURRENT" hidden="1">[4]EXPENSES!#REF!</definedName>
    <definedName name="__123Graph_D" localSheetId="18" hidden="1">[3]COSTMAR!#REF!</definedName>
    <definedName name="__123Graph_D" hidden="1">[3]COSTMAR!#REF!</definedName>
    <definedName name="__123Graph_DCURRENT" localSheetId="18" hidden="1">[4]EXPENSES!#REF!</definedName>
    <definedName name="__123Graph_DCURRENT" hidden="1">[4]EXPENSES!#REF!</definedName>
    <definedName name="__123Graph_ECURRENT" localSheetId="18" hidden="1">[4]EXPENSES!#REF!</definedName>
    <definedName name="__123Graph_ECURRENT" hidden="1">[4]EXPENSES!#REF!</definedName>
    <definedName name="__123Graph_F" localSheetId="18" hidden="1">[3]COSTMAR!#REF!</definedName>
    <definedName name="__123Graph_F" hidden="1">[3]COSTMAR!#REF!</definedName>
    <definedName name="__123Graph_X" localSheetId="18" hidden="1">[3]COSTMAR!#REF!</definedName>
    <definedName name="__123Graph_X" hidden="1">[3]COSTMAR!#REF!</definedName>
    <definedName name="__Actuals_for_total_of_12_Time_selections_Ledger_1" hidden="1">[5]pcQueryData!$A$4</definedName>
    <definedName name="__FDS_HYPERLINK_TOGGLE_STATE__" hidden="1">"ON"</definedName>
    <definedName name="__IntlFixup" hidden="1">TRUE</definedName>
    <definedName name="__key2" localSheetId="18" hidden="1">#REF!</definedName>
    <definedName name="__key2" hidden="1">#REF!</definedName>
    <definedName name="_102__123Graph_BChart_24C" hidden="1">[6]OtherKPI!#REF!</definedName>
    <definedName name="_105__123Graph_BChart_25C" hidden="1">[6]OtherKPI!#REF!</definedName>
    <definedName name="_108__123Graph_BChart_26C" hidden="1">[6]OtherKPI!#REF!</definedName>
    <definedName name="_111__123Graph_BChart_27C" hidden="1">[6]OtherKPI!#REF!</definedName>
    <definedName name="_114__123Graph_BChart_3A" hidden="1">[6]OtherKPI!#REF!</definedName>
    <definedName name="_117__123Graph_BChart_4A" hidden="1">[7]OtherKPI!#REF!</definedName>
    <definedName name="_12__123Graph_AChart_13B" hidden="1">[6]OtherKPI!#REF!</definedName>
    <definedName name="_120__123Graph_BChart_5A" hidden="1">[7]OtherKPI!#REF!</definedName>
    <definedName name="_123__123Graph_BChart_6A" hidden="1">[7]OtherKPI!#REF!</definedName>
    <definedName name="_126__123Graph_BChart_7A" hidden="1">[7]OtherKPI!#REF!</definedName>
    <definedName name="_129__123Graph_BChart_8A" hidden="1">[7]OtherKPI!#REF!</definedName>
    <definedName name="_132__123Graph_BChart_9A" hidden="1">[7]OtherKPI!#REF!</definedName>
    <definedName name="_135__123Graph_CChart_13B" hidden="1">[7]OtherKPI!#REF!</definedName>
    <definedName name="_138__123Graph_CChart_16B" hidden="1">[7]OtherKPI!#REF!</definedName>
    <definedName name="_141__123Graph_CChart_17B" hidden="1">[7]OtherKPI!#REF!</definedName>
    <definedName name="_144__123Graph_CChart_22C" hidden="1">[7]OtherKPI!#REF!</definedName>
    <definedName name="_145_123" hidden="1">[7]OtherKPI!#REF!</definedName>
    <definedName name="_147__123Graph_CChart_23C" hidden="1">[7]OtherKPI!#REF!</definedName>
    <definedName name="_148" hidden="1">[7]OtherKPI!#REF!</definedName>
    <definedName name="_15__123Graph_AChart_16B" hidden="1">[7]OtherKPI!#REF!</definedName>
    <definedName name="_150__123Graph_CChart_24C" hidden="1">[7]OtherKPI!#REF!</definedName>
    <definedName name="_153__123Graph_CChart_25C" hidden="1">[7]OtherKPI!#REF!</definedName>
    <definedName name="_156__123Graph_CChart_26C" hidden="1">[7]OtherKPI!#REF!</definedName>
    <definedName name="_159__123Graph_CChart_4A" hidden="1">[7]OtherKPI!#REF!</definedName>
    <definedName name="_162__123Graph_CChart_5A" hidden="1">[7]OtherKPI!#REF!</definedName>
    <definedName name="_165__123Graph_CChart_6A" hidden="1">[7]OtherKPI!#REF!</definedName>
    <definedName name="_168__123Graph_CChart_7A" hidden="1">[7]OtherKPI!#REF!</definedName>
    <definedName name="_171__123Graph_CChart_8A" hidden="1">[7]OtherKPI!#REF!</definedName>
    <definedName name="_174__123Graph_DChart_13B" hidden="1">[7]OtherKPI!#REF!</definedName>
    <definedName name="_177__123Graph_DChart_16B" hidden="1">[7]OtherKPI!#REF!</definedName>
    <definedName name="_18__123Graph_AChart_17B" hidden="1">[7]OtherKPI!#REF!</definedName>
    <definedName name="_180__123Graph_DChart_17B" hidden="1">[7]OtherKPI!#REF!</definedName>
    <definedName name="_183__123Graph_DChart_22C" hidden="1">[7]OtherKPI!#REF!</definedName>
    <definedName name="_186__123Graph_DChart_23C" hidden="1">[7]OtherKPI!#REF!</definedName>
    <definedName name="_189__123Graph_DChart_24C" hidden="1">[7]OtherKPI!#REF!</definedName>
    <definedName name="_192__123Graph_DChart_25C" hidden="1">[7]OtherKPI!#REF!</definedName>
    <definedName name="_195__123Graph_DChart_26C" hidden="1">[7]OtherKPI!#REF!</definedName>
    <definedName name="_198__123Graph_DChart_4A" hidden="1">[7]OtherKPI!#REF!</definedName>
    <definedName name="_201__123Graph_DChart_5A" hidden="1">[7]OtherKPI!#REF!</definedName>
    <definedName name="_204__123Graph_DChart_6A" hidden="1">[7]OtherKPI!#REF!</definedName>
    <definedName name="_207__123Graph_DChart_7A" hidden="1">[7]OtherKPI!#REF!</definedName>
    <definedName name="_21__123Graph_AChart_18B" hidden="1">[7]OtherKPI!#REF!</definedName>
    <definedName name="_210__123Graph_DChart_8A" hidden="1">[7]OtherKPI!#REF!</definedName>
    <definedName name="_211__123Graph_XChart_10B" hidden="1">'[8]Total South Africa'!$E$7:$R$7</definedName>
    <definedName name="_212__123Graph_XChart_11B" hidden="1">'[8]Total South Africa'!$D$7:$R$7</definedName>
    <definedName name="_213__123Graph_XChart_12B" hidden="1">'[8]Total South Africa'!$D$7:$R$7</definedName>
    <definedName name="_214__123Graph_XChart_13B" hidden="1">'[8]Total South Africa'!$E$7:$P$7</definedName>
    <definedName name="_215__123Graph_XChart_17B" hidden="1">'[8]Total South Africa'!$E$7:$P$7</definedName>
    <definedName name="_216__123Graph_XChart_18B" hidden="1">'[8]Total South Africa'!$D$7:$R$7</definedName>
    <definedName name="_217__123Graph_XChart_19C" hidden="1">'[8]Total South Africa'!$E$7:$R$7</definedName>
    <definedName name="_218__123Graph_XChart_1A" hidden="1">'[8]Total South Africa'!$E$7:$R$7</definedName>
    <definedName name="_219__123Graph_XChart_20C" hidden="1">'[8]Total South Africa'!$D$7:$R$7</definedName>
    <definedName name="_220__123Graph_XChart_21C" hidden="1">'[8]Total South Africa'!$D$7:$R$7</definedName>
    <definedName name="_221__123Graph_XChart_22C" hidden="1">'[8]Total South Africa'!$E$7:$P$7</definedName>
    <definedName name="_222__123Graph_XChart_23C" hidden="1">'[8]Total South Africa'!$E$7:$P$7</definedName>
    <definedName name="_223__123Graph_XChart_24C" hidden="1">'[8]Total South Africa'!$E$7:$P$7</definedName>
    <definedName name="_224__123Graph_XChart_25C" hidden="1">'[8]Total South Africa'!$E$7:$P$7</definedName>
    <definedName name="_225__123Graph_XChart_26C" hidden="1">'[8]Total South Africa'!$E$7:$P$7</definedName>
    <definedName name="_226__123Graph_XChart_27C" hidden="1">'[8]Total South Africa'!$D$7:$R$7</definedName>
    <definedName name="_227__123Graph_XChart_2A" hidden="1">'[8]Total South Africa'!$D$7:$R$7</definedName>
    <definedName name="_228__123Graph_XChart_3A" hidden="1">'[8]Total South Africa'!$D$7:$R$7</definedName>
    <definedName name="_229__123Graph_XChart_4A" hidden="1">'[8]Total South Africa'!$E$7:$P$7</definedName>
    <definedName name="_230__123Graph_XChart_5A" hidden="1">'[8]Total South Africa'!$E$7:$P$7</definedName>
    <definedName name="_231__123Graph_XChart_6A" hidden="1">'[8]Total South Africa'!$E$7:$P$7</definedName>
    <definedName name="_232__123Graph_XChart_7A" hidden="1">'[8]Total South Africa'!$E$7:$P$7</definedName>
    <definedName name="_233__123Graph_XChart_8A" hidden="1">'[8]Total South Africa'!$E$7:$P$7</definedName>
    <definedName name="_234__123Graph_XChart_9A" hidden="1">'[8]Total South Africa'!$D$7:$R$7</definedName>
    <definedName name="_24__123Graph_AChart_19C" hidden="1">[6]OtherKPI!#REF!</definedName>
    <definedName name="_27__123Graph_AChart_1A" hidden="1">[6]OtherKPI!#REF!</definedName>
    <definedName name="_3__123Graph_AChart_10B" hidden="1">[7]OtherKPI!#REF!</definedName>
    <definedName name="_30__123Graph_AChart_20C" hidden="1">[7]OtherKPI!#REF!</definedName>
    <definedName name="_33__123Graph_AChart_21C" hidden="1">[7]OtherKPI!#REF!</definedName>
    <definedName name="_36__123Graph_AChart_22C" hidden="1">[7]OtherKPI!#REF!</definedName>
    <definedName name="_39__123Graph_AChart_23C" hidden="1">[7]OtherKPI!#REF!</definedName>
    <definedName name="_4" localSheetId="18" hidden="1">#REF!</definedName>
    <definedName name="_4" hidden="1">#REF!</definedName>
    <definedName name="_42__123Graph_AChart_24C" hidden="1">[7]OtherKPI!#REF!</definedName>
    <definedName name="_45__123Graph_AChart_25C" hidden="1">[7]OtherKPI!#REF!</definedName>
    <definedName name="_48__123Graph_AChart_26C" hidden="1">[7]OtherKPI!#REF!</definedName>
    <definedName name="_51__123Graph_AChart_27C" hidden="1">[7]OtherKPI!#REF!</definedName>
    <definedName name="_54__123Graph_AChart_2A" hidden="1">[7]OtherKPI!#REF!</definedName>
    <definedName name="_57__123Graph_AChart_3A" hidden="1">[7]OtherKPI!#REF!</definedName>
    <definedName name="_6__123Graph_AChart_11B" hidden="1">[7]OtherKPI!#REF!</definedName>
    <definedName name="_60__123Graph_AChart_4A" hidden="1">[7]OtherKPI!#REF!</definedName>
    <definedName name="_63__123Graph_AChart_5A" hidden="1">[7]OtherKPI!#REF!</definedName>
    <definedName name="_66__123Graph_AChart_6A" hidden="1">[7]OtherKPI!#REF!</definedName>
    <definedName name="_69__123Graph_AChart_7A" hidden="1">[6]OtherKPI!#REF!</definedName>
    <definedName name="_72__123Graph_AChart_8A" hidden="1">[6]OtherKPI!#REF!</definedName>
    <definedName name="_75__123Graph_AChart_9A" hidden="1">[6]OtherKPI!#REF!</definedName>
    <definedName name="_78__123Graph_BChart_12B" hidden="1">[7]OtherKPI!#REF!</definedName>
    <definedName name="_81__123Graph_BChart_13B" hidden="1">[7]OtherKPI!#REF!</definedName>
    <definedName name="_84__123Graph_BChart_16B" hidden="1">[7]OtherKPI!#REF!</definedName>
    <definedName name="_87__123Graph_BChart_17B" hidden="1">[7]OtherKPI!#REF!</definedName>
    <definedName name="_9__123Graph_AChart_12B" hidden="1">[7]OtherKPI!#REF!</definedName>
    <definedName name="_90__123Graph_BChart_18B" hidden="1">[7]OtherKPI!#REF!</definedName>
    <definedName name="_93__123Graph_BChart_21C" hidden="1">[7]OtherKPI!#REF!</definedName>
    <definedName name="_96__123Graph_BChart_22C" hidden="1">[7]OtherKPI!#REF!</definedName>
    <definedName name="_99__123Graph_BChart_23C" hidden="1">[7]OtherKPI!#REF!</definedName>
    <definedName name="_Closing_Balance_for_Branch" hidden="1">[9]pcQueryData!$A$3</definedName>
    <definedName name="_Fill" localSheetId="18" hidden="1">#REF!</definedName>
    <definedName name="_Fill" hidden="1">#REF!</definedName>
    <definedName name="_xlnm._FilterDatabase" localSheetId="19" hidden="1">#REF!</definedName>
    <definedName name="_xlnm._FilterDatabase" localSheetId="18" hidden="1">#REF!</definedName>
    <definedName name="_xlnm._FilterDatabase" localSheetId="17" hidden="1">#REF!</definedName>
    <definedName name="_xlnm._FilterDatabase" localSheetId="3" hidden="1">Trial_1Cut!$A$4:$G$301</definedName>
    <definedName name="_xlnm._FilterDatabase" localSheetId="2" hidden="1">Trial_2Cut!$A$4:$G$448</definedName>
    <definedName name="_xlnm._FilterDatabase" hidden="1">#REF!</definedName>
    <definedName name="_Key1" localSheetId="18" hidden="1">#REF!</definedName>
    <definedName name="_Key1" hidden="1">#REF!</definedName>
    <definedName name="_Key2" localSheetId="18" hidden="1">#REF!</definedName>
    <definedName name="_Key2" hidden="1">#REF!</definedName>
    <definedName name="_Order1" hidden="1">255</definedName>
    <definedName name="_Order2" hidden="1">255</definedName>
    <definedName name="_p" localSheetId="18" hidden="1">#REF!</definedName>
    <definedName name="_p" hidden="1">#REF!</definedName>
    <definedName name="_Parse_In" localSheetId="18" hidden="1">#REF!</definedName>
    <definedName name="_Parse_In" hidden="1">#REF!</definedName>
    <definedName name="_Parse_Out" localSheetId="18" hidden="1">#REF!</definedName>
    <definedName name="_Parse_Out" hidden="1">#REF!</definedName>
    <definedName name="_pcSlicerSheet_Slicer1" localSheetId="18" hidden="1">#REF!</definedName>
    <definedName name="_pcSlicerSheet_Slicer1" hidden="1">#REF!</definedName>
    <definedName name="_pcSlicerSheet1_Slicer1" hidden="1">[5]_pcSlicerSheet1!$A$2</definedName>
    <definedName name="_pcSlicerSheet1_Slicer2" localSheetId="18" hidden="1">#REF!</definedName>
    <definedName name="_pcSlicerSheet1_Slicer2" hidden="1">#REF!</definedName>
    <definedName name="_Regression_Int" hidden="1">1</definedName>
    <definedName name="_Sort" localSheetId="18" hidden="1">#REF!</definedName>
    <definedName name="_Sort" hidden="1">#REF!</definedName>
    <definedName name="_STR2020">[10]LANGUAGE!$B$52</definedName>
    <definedName name="_STR2022">[10]LANGUAGE!$B$54</definedName>
    <definedName name="_STR2023">[10]LANGUAGE!$B$55</definedName>
    <definedName name="_usd1">[11]AV!$I$73</definedName>
    <definedName name="a" hidden="1">{"'Form 3CD'!$A$2"}</definedName>
    <definedName name="A_10">[12]Sheet3!$A$10:$AH$456</definedName>
    <definedName name="A_31">[13]Sheet2!$A$10:$P$490</definedName>
    <definedName name="a_6">[13]Sheet2!$A$10:$N$456</definedName>
    <definedName name="A_7">[13]Sheet2!$A$10:$P$490</definedName>
    <definedName name="AccessDatabase" hidden="1">"D:\Compensation\comp data 2001.xls"</definedName>
    <definedName name="ads\" localSheetId="18" hidden="1">[14]EXPENSES!#REF!</definedName>
    <definedName name="ads\" hidden="1">[14]EXPENSES!#REF!</definedName>
    <definedName name="alla" hidden="1">{#N/A,#N/A,FALSE,"Staffnos &amp; cost"}</definedName>
    <definedName name="Alldata">[15]Data!$A$2:$BF$121</definedName>
    <definedName name="Allocation">[16]Lists!$R$9</definedName>
    <definedName name="Ami">[17]Masters!$C$3</definedName>
    <definedName name="AMiit___ks" hidden="1">{#N/A,#N/A,FALSE,"Staffnos &amp; cost"}</definedName>
    <definedName name="Amit" localSheetId="18" hidden="1">#REF!</definedName>
    <definedName name="Amit" hidden="1">#REF!</definedName>
    <definedName name="Amount">'[18]Basic Data'!$B$12</definedName>
    <definedName name="AS2DocOpenMode" hidden="1">"AS2DocumentEdit"</definedName>
    <definedName name="AS2ReportLS" hidden="1">1</definedName>
    <definedName name="AS2SyncStepLS" hidden="1">0</definedName>
    <definedName name="AS2TickmarkLS" localSheetId="18" hidden="1">#REF!</definedName>
    <definedName name="AS2TickmarkLS" hidden="1">#REF!</definedName>
    <definedName name="AS2VersionLS" hidden="1">300</definedName>
    <definedName name="AsAtQ0">'[18]Basic Data'!$B$6</definedName>
    <definedName name="AsAtQ1">'[18]Basic Data'!$B$2</definedName>
    <definedName name="AsAtQ2">'[18]Basic Data'!$B$3</definedName>
    <definedName name="AsAtQ3">'[18]Basic Data'!$B$4</definedName>
    <definedName name="AsAtQ4">'[18]Basic Data'!$B$5</definedName>
    <definedName name="ASET">'[19]BS Schld'!$G$582</definedName>
    <definedName name="ASFAS">+VLOOKUP('[20]PL grp'!$B1,[0]!Range,'[20]PL grp'!A$3,FALSE)</definedName>
    <definedName name="ash" hidden="1">{#N/A,#N/A,FALSE,"Staffnos &amp; cost"}</definedName>
    <definedName name="aShowDirectorMasterdata" localSheetId="1">Master!$B$35</definedName>
    <definedName name="ass_cc">[21]Sheet1!$A$1:$C$2443</definedName>
    <definedName name="ASSESSMENT_YEAR____1998___99">"tds"</definedName>
    <definedName name="AssetTable">[16]Lists!$A$2:$I$14</definedName>
    <definedName name="AssetType">[16]Lists!$A$2:$A$14</definedName>
    <definedName name="AsstYr">[17]Masters!$C$34</definedName>
    <definedName name="AusRate">2.8435</definedName>
    <definedName name="AusRate01">2.4274</definedName>
    <definedName name="azam">[21]tot_ass_9697!$A$1:$H$2376</definedName>
    <definedName name="B_VND">0.05</definedName>
    <definedName name="B_YEN">0.1</definedName>
    <definedName name="b600mth">OFFSET(INDIRECT(ADDRESS(MATCH("B600",'[22]3208'!$D$1:$D$1500,0),5,1,1,"3208")),0,0,MATCH("TOTAL CAPITAL EMPLOYED",INDIRECT("'3208'!$E$"&amp;MATCH("B600",'[22]3208'!$D$1:$D$1500,0)&amp;":$E$1500"),0),9)</definedName>
    <definedName name="b602mth">'[22]3201'!$E$1:$M$1500</definedName>
    <definedName name="b610mth">OFFSET(INDIRECT(ADDRESS(MATCH("B610",'[22]3208'!$D$1:$D$1500,0),5,1,1,"3208")),0,0,MATCH("TOTAL CAPITAL EMPLOYED",INDIRECT("'3208'!$E$"&amp;MATCH("B610",'[22]3208'!$D$1:$D$1500,0)&amp;":$E$1500"),0),9)</definedName>
    <definedName name="b612mth">OFFSET(INDIRECT(ADDRESS(MATCH("B612",'[22]3208'!$D$1:$D$1500,0),5,1,1,"3208")),0,0,MATCH("TOTAL CAPITAL EMPLOYED",INDIRECT("'3208'!$E$"&amp;MATCH("B612",'[22]3208'!$D$1:$D$1500,0)&amp;":$E$1500"),0),9)</definedName>
    <definedName name="b614mth">OFFSET(INDIRECT(ADDRESS(MATCH("B614",'[22]3208'!$D$1:$D$1500,0),5,1,1,"3208")),0,0,MATCH("TOTAL CAPITAL EMPLOYED",INDIRECT("'3208'!$E$"&amp;MATCH("B614",'[22]3208'!$D$1:$D$1500,0)&amp;":$E$1500"),0),9)</definedName>
    <definedName name="b615mth">OFFSET(INDIRECT(ADDRESS(MATCH("B615",'[22]3208'!$D$1:$D$1500,0),5,1,1,"3208")),0,0,MATCH("TOTAL CAPITAL EMPLOYED",INDIRECT("'3208'!$E$"&amp;MATCH("B615",'[22]3208'!$D$1:$D$1500,0)&amp;":$E$1500"),0),9)</definedName>
    <definedName name="b616mth">OFFSET(INDIRECT(ADDRESS(MATCH("B616",'[22]3208'!$D$1:$D$1500,0),5,1,1,"3208")),0,0,MATCH("TOTAL CAPITAL EMPLOYED",INDIRECT("'3208'!$E$"&amp;MATCH("B616",'[22]3208'!$D$1:$D$1500,0)&amp;":$E$1500"),0),9)</definedName>
    <definedName name="b617mth">OFFSET(INDIRECT(ADDRESS(MATCH("B617",'[22]3208'!$D$1:$D$1500,0),5,1,1,"3208")),0,0,MATCH("TOTAL CAPITAL EMPLOYED",INDIRECT("'3208'!$E$"&amp;MATCH("B617",'[22]3208'!$D$1:$D$1500,0)&amp;":$E$1500"),0),9)</definedName>
    <definedName name="b618mth">OFFSET(INDIRECT(ADDRESS(MATCH("B618",'[22]3208'!$D$1:$D$1500,0),5,1,1,"3208")),0,0,MATCH("TOTAL CAPITAL EMPLOYED",INDIRECT("'3208'!$E$"&amp;MATCH("B618",'[22]3208'!$D$1:$D$1500,0)&amp;":$E$1500"),0),9)</definedName>
    <definedName name="b619mth">OFFSET(INDIRECT(ADDRESS(MATCH("B619",'[22]3208'!$D$1:$D$1500,0),5,1,1,"3208")),0,0,MATCH("TOTAL CAPITAL EMPLOYED",INDIRECT("'3208'!$E$"&amp;MATCH("B619",'[22]3208'!$D$1:$D$1500,0)&amp;":$E$1500"),0),9)</definedName>
    <definedName name="b620mth">OFFSET(INDIRECT(ADDRESS(MATCH("B620",'[22]3207'!$D$1:$D$1500,0),5,1,1,"3207")),0,0,MATCH("TOTAL CAPITAL EMPLOYED",INDIRECT("'3207'!$E$"&amp;MATCH("B620",'[22]3207'!$D$1:$D$1500,0)&amp;":$E$1500"),0),9)</definedName>
    <definedName name="b621mth">OFFSET(INDIRECT(ADDRESS(MATCH("B621",'[22]3207'!$D$1:$D$1500,0),5,1,1,"3207")),0,0,MATCH("TOTAL CAPITAL EMPLOYED",INDIRECT("'3207'!$E$"&amp;MATCH("B621",'[22]3207'!$D$1:$D$1500,0)&amp;":$E$1500"),0),9)</definedName>
    <definedName name="b622mth">OFFSET(INDIRECT(ADDRESS(MATCH("B622",'[22]3207'!$D$1:$D$1500,0),5,1,1,"3207")),0,0,MATCH("TOTAL CAPITAL EMPLOYED",INDIRECT("'3207'!$E$"&amp;MATCH("B622",'[22]3207'!$D$1:$D$1500,0)&amp;":$E$1500"),0),9)</definedName>
    <definedName name="b623mth">OFFSET(INDIRECT(ADDRESS(MATCH("B623",'[22]3207'!$D$1:$D$1500,0),5,1,1,"3207")),0,0,MATCH("TOTAL CAPITAL EMPLOYED",INDIRECT("'3207'!$E$"&amp;MATCH("B623",'[22]3207'!$D$1:$D$1500,0)&amp;":$E$1500"),0),9)</definedName>
    <definedName name="b626mth">OFFSET(INDIRECT(ADDRESS(MATCH("B626",'[22]3207'!$D$1:$D$1500,0),5,1,1,"3207")),0,0,MATCH("TOTAL CAPITAL EMPLOYED",INDIRECT("'3207'!$E$"&amp;MATCH("B626",'[22]3207'!$D$1:$D$1500,0)&amp;":$E$1500"),0),9)</definedName>
    <definedName name="b627mth">OFFSET(INDIRECT(ADDRESS(MATCH("B627",'[22]3207'!$D$1:$D$1500,0),5,1,1,"3207")),0,0,MATCH("TOTAL CAPITAL EMPLOYED",INDIRECT("'3207'!$E$"&amp;MATCH("B627",'[22]3207'!$D$1:$D$1500,0)&amp;":$E$1500"),0),9)</definedName>
    <definedName name="b628mth">OFFSET(INDIRECT(ADDRESS(MATCH("B628",'[22]3207'!$D$1:$D$1500,0),5,1,1,"3207")),0,0,MATCH("TOTAL CAPITAL EMPLOYED",INDIRECT("'3207'!$E$"&amp;MATCH("B628",'[22]3207'!$D$1:$D$1500,0)&amp;":$E$1500"),0),9)</definedName>
    <definedName name="b629mth">OFFSET(INDIRECT(ADDRESS(MATCH("B629",'[22]3208'!$D$1:$D$1500,0),5,1,1,"3208")),0,0,MATCH("TOTAL CAPITAL EMPLOYED",INDIRECT("'3208'!$E$"&amp;MATCH("B629",'[22]3208'!$D$1:$D$1500,0)&amp;":$E$1500"),0),9)</definedName>
    <definedName name="b630mth">OFFSET(INDIRECT(ADDRESS(MATCH("B630",'[22]3208'!$D$1:$D$1500,0),5,1,1,"3208")),0,0,MATCH("TOTAL CAPITAL EMPLOYED",INDIRECT("'3208'!$E$"&amp;MATCH("B630",'[22]3208'!$D$1:$D$1500,0)&amp;":$E$1500"),0),9)</definedName>
    <definedName name="b631mth">OFFSET(INDIRECT(ADDRESS(MATCH("B631",'[22]3207'!$D$1:$D$1500,0),5,1,1,"3207")),0,0,MATCH("TOTAL CAPITAL EMPLOYED",INDIRECT("'3207'!$E$"&amp;MATCH("B631",'[22]3207'!$D$1:$D$1500,0)&amp;":$E$1500"),0),9)</definedName>
    <definedName name="b632mth">OFFSET(INDIRECT(ADDRESS(MATCH("B632",'[22]3207'!$D$1:$D$1500,0),5,1,1,"3207")),0,0,MATCH("TOTAL CAPITAL EMPLOYED",INDIRECT("'3207'!$E$"&amp;MATCH("B632",'[22]3207'!$D$1:$D$1500,0)&amp;":$E$1500"),0),9)</definedName>
    <definedName name="b640mth">OFFSET(INDIRECT(ADDRESS(MATCH("B640",'[22]3208'!$D$1:$D$1500,0),5,1,1,"3208")),0,0,MATCH("TOTAL CAPITAL EMPLOYED",INDIRECT("'3208'!$E$"&amp;MATCH("B640",'[22]3208'!$D$1:$D$1500,0)&amp;":$E$1500"),0),9)</definedName>
    <definedName name="b645mth">OFFSET(INDIRECT(ADDRESS(MATCH("B645",'[22]3208'!$D$1:$D$1500,0),5,1,1,"3208")),0,0,MATCH("TOTAL CAPITAL EMPLOYED",INDIRECT("'3208'!$E$"&amp;MATCH("B645",'[22]3208'!$D$1:$D$1500,0)&amp;":$E$1500"),0),9)</definedName>
    <definedName name="b650mth">OFFSET(INDIRECT(ADDRESS(MATCH("B650",'[22]3208'!$D$1:$D$1500,0),5,1,1,"3208")),0,0,MATCH("TOTAL CAPITAL EMPLOYED",INDIRECT("'3208'!$E$"&amp;MATCH("B650",'[22]3208'!$D$1:$D$1500,0)&amp;":$E$1500"),0),9)</definedName>
    <definedName name="b670mth">OFFSET(INDIRECT(ADDRESS(MATCH("B670",'[22]3208'!$D$1:$D$1500,0),5,1,1,"3208")),0,0,MATCH("TOTAL CAPITAL EMPLOYED",INDIRECT("'3208'!$E$"&amp;MATCH("B670",'[22]3208'!$D$1:$D$1500,0)&amp;":$E$1500"),0),9)</definedName>
    <definedName name="b680mth">OFFSET(INDIRECT(ADDRESS(MATCH("B680",'[22]3208'!$D$1:$D$1500,0),5,1,1,"3208")),0,0,MATCH("TOTAL CAPITAL EMPLOYED",INDIRECT("'3208'!$E$"&amp;MATCH("B680",'[22]3208'!$D$1:$D$1500,0)&amp;":$E$1500"),0),9)</definedName>
    <definedName name="bas" hidden="1">'[8]Total South Africa'!$E$7:$P$7</definedName>
    <definedName name="base">1</definedName>
    <definedName name="baseyr">'[23]Forecast-Input'!$E1</definedName>
    <definedName name="begavg">[23]Valuation!$Y$15</definedName>
    <definedName name="bergrtgrvdfg" hidden="1">{"YTD/Forecast",#N/A,TRUE,"Fcst_TPLN";"Monthly Averages",#N/A,TRUE,"Fcst_TPLN"}</definedName>
    <definedName name="BG_Del" hidden="1">15</definedName>
    <definedName name="BG_Ins" hidden="1">4</definedName>
    <definedName name="BG_Mod" hidden="1">6</definedName>
    <definedName name="BLE">[24]Control!$K$63</definedName>
    <definedName name="bname">[24]Control!$C$3</definedName>
    <definedName name="bobby">'[25]Cost Centres'!$A$8:$AA$497</definedName>
    <definedName name="bottles">[26]ED!$IU$11:$IU$17</definedName>
    <definedName name="boxes">#REF!,#REF!</definedName>
    <definedName name="BSDateLF">[17]Masters!$C$27</definedName>
    <definedName name="BSDateSF">[17]Masters!$C$28</definedName>
    <definedName name="BUDGETS">[27]BSLA!$H$2</definedName>
    <definedName name="budrate">1</definedName>
    <definedName name="C_VND">0.03</definedName>
    <definedName name="C_YEN">0.1</definedName>
    <definedName name="CanRate">2.1989</definedName>
    <definedName name="CanRate01">2.1989</definedName>
    <definedName name="capch">[23]Valuation!$U$13</definedName>
    <definedName name="capex" hidden="1">[28]Template!#REF!</definedName>
    <definedName name="CapitalLink">[23]Capital_by_Years_Valuation!$B$8</definedName>
    <definedName name="cash" hidden="1">[29]OtherKPI!#REF!</definedName>
    <definedName name="chartnew" hidden="1">[1]Template!#REF!</definedName>
    <definedName name="chung">66</definedName>
    <definedName name="CMA" localSheetId="18" hidden="1">[30]COSTMAR!#REF!</definedName>
    <definedName name="CMA" hidden="1">[30]COSTMAR!#REF!</definedName>
    <definedName name="cmb_TDS2.StateCode">[31]IT_FBT_DDTP!$H$65:$H$100</definedName>
    <definedName name="CMP">[32]Profile!$H$14</definedName>
    <definedName name="coa_ramco_168">[33]coa_ramco_168!$A$2:$I$2284</definedName>
    <definedName name="CoAdd">[34]Masters!$C$4</definedName>
    <definedName name="CoCode">'[18]Basic Data'!$B$13</definedName>
    <definedName name="COM">[35]BS!$C$3:$H$62</definedName>
    <definedName name="CoName">[17]Masters!$C$3</definedName>
    <definedName name="CONVERT">[36]Rates!$AF$9</definedName>
    <definedName name="CoStatus">[34]Masters!$C$7</definedName>
    <definedName name="cot">[23]wwww!$D$64</definedName>
    <definedName name="cota">[37]Assume!$D$6</definedName>
    <definedName name="cotsw">[23]Assume!$D$6</definedName>
    <definedName name="csDesignMode">1</definedName>
    <definedName name="CurrPeriodEnd">[16]Lists!$R$4</definedName>
    <definedName name="custom4">[38]meno!$I$5:$I$7</definedName>
    <definedName name="da" hidden="1">{#N/A,#N/A,TRUE,"Quality KPIs"}</definedName>
    <definedName name="dam">78000</definedName>
    <definedName name="DATA11">'[39]ICICI &amp; TMBL interest'!$J$4:$J$28</definedName>
    <definedName name="DATA4">[40]Subscription!$D$2:$D$171</definedName>
    <definedName name="DATA8">'[40]4219020-SIE Advert'!$H$2:$H$45</definedName>
    <definedName name="date">'[41]Data Dump'!$B$1:$AD$1</definedName>
    <definedName name="Date1">'[18]Basic Data'!$B$15</definedName>
    <definedName name="Days">365</definedName>
    <definedName name="dcsvgsdfgfdg" hidden="1">{"YTD/Forecast",#N/A,TRUE,"Fcst_TPLN";"Monthly Averages",#N/A,TRUE,"Fcst_TPLN"}</definedName>
    <definedName name="dd" hidden="1">[42]OtherKPI!#REF!</definedName>
    <definedName name="dda" hidden="1">'[8]Total South Africa'!$E$7:$R$7</definedName>
    <definedName name="deals">'[43]Deal Details'!$A$5:$N$51</definedName>
    <definedName name="Deferred">[35]BS!$C$3:$H$62</definedName>
    <definedName name="dep" localSheetId="18" hidden="1">#REF!</definedName>
    <definedName name="dep" hidden="1">#REF!</definedName>
    <definedName name="DEPRI" localSheetId="18" hidden="1">[44]EXPENSES!#REF!</definedName>
    <definedName name="DEPRI" hidden="1">[44]EXPENSES!#REF!</definedName>
    <definedName name="Dept">[16]Lists!$N$2:$N$5</definedName>
    <definedName name="DeptAccnt">[16]Lists!$N$2:$O$5</definedName>
    <definedName name="dgdsagdgfdg" hidden="1">{"YTD/Forecast",#N/A,TRUE,"Fcst_TPLN";"Monthly Averages",#N/A,TRUE,"Fcst_TPLN"}</definedName>
    <definedName name="dgtrfghfdghsdfh" hidden="1">{"YTD/Forecast",#N/A,TRUE,"Fcst_TPLN";"Monthly Averages",#N/A,TRUE,"Fcst_TPLN"}</definedName>
    <definedName name="DIRE1">'[18]Basic Data'!$B$16</definedName>
    <definedName name="DIRE2">'[18]Basic Data'!$B$17</definedName>
    <definedName name="Directors">'[45]Directors list'!$A$2:$D$252</definedName>
    <definedName name="DISTR">'[46]distr RF3'!$A$17:$C$241</definedName>
    <definedName name="Draft" hidden="1">#REF!</definedName>
    <definedName name="dta">[23]wwww!$E$64</definedName>
    <definedName name="dtl">[23]wwww!$F$64</definedName>
    <definedName name="dtyr">'[47]FORM-16'!$A$1:$J$61</definedName>
    <definedName name="dvqwefefv" hidden="1">{"YTD/Forecast",#N/A,TRUE,"Fcst_TPLN";"Monthly Averages",#N/A,TRUE,"Fcst_TPLN"}</definedName>
    <definedName name="Employee">[48]Lists!$A$4:$A$8</definedName>
    <definedName name="enclosure">[12]Sheet3!$A$10:$AH$456</definedName>
    <definedName name="er" localSheetId="18" hidden="1">'[49]annex '!#REF!</definedName>
    <definedName name="er" hidden="1">'[49]annex '!#REF!</definedName>
    <definedName name="eryq43y7">'[47]FORM-16'!$A$63:$J$135</definedName>
    <definedName name="etc" localSheetId="18" hidden="1">#REF!</definedName>
    <definedName name="etc" hidden="1">#REF!</definedName>
    <definedName name="etu">'[50]FORM-16'!$A$63:$J$135</definedName>
    <definedName name="EuroRate">1.4369</definedName>
    <definedName name="EuroRate01">1.4369</definedName>
    <definedName name="Excel_BuiltIn_Print_Area">NA()</definedName>
    <definedName name="Excel_BuiltIn_Print_Titles">NA()</definedName>
    <definedName name="FA" localSheetId="18" hidden="1">#REF!</definedName>
    <definedName name="FA" hidden="1">#REF!</definedName>
    <definedName name="FG" localSheetId="18" hidden="1">[51]EXPENSES!#REF!</definedName>
    <definedName name="FG" hidden="1">[51]EXPENSES!#REF!</definedName>
    <definedName name="FGBRAND">[26]Master!$B$3:$B$18</definedName>
    <definedName name="fgdfg" hidden="1">{"YTD/Forecast",#N/A,TRUE,"Fcst_TPLN";"Monthly Averages",#N/A,TRUE,"Fcst_TPLN"}</definedName>
    <definedName name="fgfdbdfgdfgfdgdfsg" hidden="1">{"YTD/Forecast",#N/A,TRUE,"Fcst_TPLN";"Monthly Averages",#N/A,TRUE,"Fcst_TPLN"}</definedName>
    <definedName name="fghghet" hidden="1">{"YTD/Forecast",#N/A,TRUE,"Fcst_TPLN";"Monthly Averages",#N/A,TRUE,"Fcst_TPLN"}</definedName>
    <definedName name="FGI">'[52]E-3.03 - FINISHED GOODS'!$H$175</definedName>
    <definedName name="FGMRPs">[26]Master!$D$3:$D$39</definedName>
    <definedName name="fill" hidden="1">#REF!</definedName>
    <definedName name="flag_actbud">[53]Parameters!$C$2</definedName>
    <definedName name="form3cd" hidden="1">'[54]EAW Final Accounts - 99'!$M$175:$M$189</definedName>
    <definedName name="FormatStringTable">[23]ReportsParameters!$A$50:$E$55</definedName>
    <definedName name="ForQ0">'[18]Basic Data'!$B$11</definedName>
    <definedName name="ForQ1">'[18]Basic Data'!$B$7</definedName>
    <definedName name="ForQ2">'[18]Basic Data'!$B$8</definedName>
    <definedName name="ForQ3">'[18]Basic Data'!$B$9</definedName>
    <definedName name="ForQ4">'[18]Basic Data'!$B$10</definedName>
    <definedName name="Freight">[55]Actuals!$A$517:$W$538</definedName>
    <definedName name="frt" hidden="1">[6]OtherKPI!#REF!</definedName>
    <definedName name="FXBSRow">'[24]FX Rates'!$A$54:$A$99</definedName>
    <definedName name="fxcountry">'[41]FX Dump OP'!$A$5:$A$80</definedName>
    <definedName name="fxdata2">'[41]FX Dump OP'!$C$5:$J$80</definedName>
    <definedName name="FXDataBS">'[24]FX Rates'!$E$54:$AM$99</definedName>
    <definedName name="FXDataPL">'[24]FX Rates'!$E$4:$AM$49</definedName>
    <definedName name="fxdate2">'[41]FX Dump OP'!$C$3:$J$3</definedName>
    <definedName name="FXperiod">'[24]FX Rates'!$E$3:$AM$3</definedName>
    <definedName name="FXPLRow">'[24]FX Rates'!$A$4:$A$49</definedName>
    <definedName name="FXVTAB">[36]Rates!$A$7:$X$77</definedName>
    <definedName name="FYMonths">[23]ReportsParameters!$B$42</definedName>
    <definedName name="GerEuroRate01">1.5803</definedName>
    <definedName name="ghghsdfygfdhfgvbnfg" hidden="1">{"YTD/Forecast",#N/A,TRUE,"Fcst_TPLN";"Monthly Averages",#N/A,TRUE,"Fcst_TPLN"}</definedName>
    <definedName name="gkh" hidden="1">{"'Form 3CD'!$A$2"}</definedName>
    <definedName name="GL_Map_data">OFFSET([18]GLMAP!A1,COUNT([18]GLMAP!$A$1:$A$65536),23)</definedName>
    <definedName name="Graph" hidden="1">[42]OtherKPI!#REF!</definedName>
    <definedName name="ha" hidden="1">'[56]Gross Vol.'!#REF!</definedName>
    <definedName name="hdoihd\" localSheetId="18" hidden="1">[14]EXPENSES!#REF!</definedName>
    <definedName name="hdoihd\" hidden="1">[14]EXPENSES!#REF!</definedName>
    <definedName name="Header_Row">ROW(#REF!)</definedName>
    <definedName name="hfjkerhk" hidden="1">3</definedName>
    <definedName name="hlh" localSheetId="18" hidden="1">[57]EXPENSES!#REF!</definedName>
    <definedName name="hlh" hidden="1">[57]EXPENSES!#REF!</definedName>
    <definedName name="hoc">55000</definedName>
    <definedName name="HTML_CodePage" hidden="1">1252</definedName>
    <definedName name="HTML_Control" hidden="1">{"'Form 3CD'!$A$2"}</definedName>
    <definedName name="HTML_Description" hidden="1">""</definedName>
    <definedName name="HTML_Email" hidden="1">""</definedName>
    <definedName name="HTML_Header" hidden="1">"Form 3CD"</definedName>
    <definedName name="HTML_LastUpdate" hidden="1">"6/16/00"</definedName>
    <definedName name="HTML_LineAfter" hidden="1">FALSE</definedName>
    <definedName name="HTML_LineBefore" hidden="1">FALSE</definedName>
    <definedName name="HTML_Name" hidden="1">"mishra"</definedName>
    <definedName name="HTML_OBDlg2" hidden="1">TRUE</definedName>
    <definedName name="HTML_OBDlg3" hidden="1">TRUE</definedName>
    <definedName name="HTML_OBDlg4" hidden="1">TRUE</definedName>
    <definedName name="HTML_OS" hidden="1">0</definedName>
    <definedName name="HTML_PathFile" hidden="1">"C:\Mishra\Classes\IT return\MyHTML.htm"</definedName>
    <definedName name="HTML_PathTemplate" hidden="1">"C:\infac\pricewth\Aug99\Page06e.htm"</definedName>
    <definedName name="HTML_Title" hidden="1">"3CD &amp; annex"</definedName>
    <definedName name="HW">[46]HW!$Q$17:$AL$127</definedName>
    <definedName name="iarea1">[58]Input!$B$10:$V$21,[58]Input!$B$28:$V$28,[58]Input!$B$32:$V$43,[58]Input!$B$57:$V$57,[58]Input!$B$66:$B$67,[58]Input!$B$75:$B$76,[58]Input!$C$66:$V$66,[58]Input!$B$69:$V$71,[58]Input!$C$75:$V$75,[58]Input!$B$78:$V$80,[58]Input!$B$111:$V$111,[58]Input!$C$113:$V$118,[58]Input!$B$113:$B$117,[58]Input!$B$44:$V$51,[58]Input!$B$84:$B$85,[58]Input!$C$84:$V$84,[58]Input!$C$87:$V$89,[58]Input!$B$93:$B$94,[58]Input!$C$93:$V$93</definedName>
    <definedName name="iarea2">[58]Input!$B$159:$D$159,[58]Input!$B$162:$D$162,[58]Input!$E$159:$K$159,[58]Input!$E$162:$K$162</definedName>
    <definedName name="iarea3">[58]Input!$C$96:$V$98,[58]Input!$B$102:$B$103,[58]Input!$C$102:$V$102,[58]Input!$C$105:$V$107,[58]Input!$B$123:$B$124,[58]Input!$C$123:$V$123,[58]Input!$B$132:$V$135,[58]Input!$B$139:$V$142</definedName>
    <definedName name="IndRate">75.234</definedName>
    <definedName name="IndRate01">66.83</definedName>
    <definedName name="input">[55]Actuals!$A$10:$W$488</definedName>
    <definedName name="input11jun">[59]Input!$A$5:$D$462</definedName>
    <definedName name="inputfy10">'[59]TB-Apr''08-Mar''10'!$A$5:$F$460</definedName>
    <definedName name="INTEREST_RECEIVED_OT">40643</definedName>
    <definedName name="ITEM_NO">"stock"</definedName>
    <definedName name="jjjj" hidden="1">{#N/A,#N/A,FALSE,"Staffnos &amp; cost"}</definedName>
    <definedName name="jtyj" hidden="1">{"YTD/Forecast",#N/A,TRUE,"Fcst_TPLN";"Monthly Averages",#N/A,TRUE,"Fcst_TPLN"}</definedName>
    <definedName name="ka" localSheetId="18" hidden="1">#REF!</definedName>
    <definedName name="ka" hidden="1">#REF!</definedName>
    <definedName name="key" hidden="1">'[56]Gross Vol.'!#REF!</definedName>
    <definedName name="khac">2</definedName>
    <definedName name="khkh" localSheetId="18" hidden="1">[57]EXPENSES!#REF!</definedName>
    <definedName name="khkh" hidden="1">[57]EXPENSES!#REF!</definedName>
    <definedName name="kpi" hidden="1">{#N/A,#N/A,TRUE,"Quality KPIs"}</definedName>
    <definedName name="l">[60]Sheet1!$A$1:$D$47</definedName>
    <definedName name="Last_Row">IF([0]!Values_Entered,Header_Row+[0]!Number_of_Payments,Header_Row)</definedName>
    <definedName name="Layout2" hidden="1">{"YTD/Forecast",#N/A,TRUE,"Fcst_TPLN";"Monthly Averages",#N/A,TRUE,"Fcst_TPLN"}</definedName>
    <definedName name="Lease_Rent_Received">"income"</definedName>
    <definedName name="liab">+VLOOKUP([61]IGAAP!$A1,[0]!Range,[61]IGAAP!A$4,FALSE)</definedName>
    <definedName name="Liability">+VLOOKUP('[20]PL grp'!$B1,[0]!Range,'[20]PL grp'!A$3,FALSE)</definedName>
    <definedName name="LIABL">'[19]BS Schld'!$H$74</definedName>
    <definedName name="Location">[16]Lists!$N$8:$N$12</definedName>
    <definedName name="lookup">[55]Parameters!$C$11</definedName>
    <definedName name="M_CapitalAvg">[23]ReportsParameters!$B$32</definedName>
    <definedName name="M_CoName">[23]ReportsParameters!$B$29</definedName>
    <definedName name="M_Denomination">[23]ReportsParameters!$B$38</definedName>
    <definedName name="M_FinanseerTitle">[23]ReportsParameters!$B$33</definedName>
    <definedName name="M_Lf">[23]ReportsParameters!$C$19</definedName>
    <definedName name="M_Pf">[23]ReportsParameters!$C$20</definedName>
    <definedName name="M_PrintFrom">[23]ReportsParameters!$B$11</definedName>
    <definedName name="M_PrintTo">[23]ReportsParameters!$B$12</definedName>
    <definedName name="M_Pt">[23]ReportsParameters!$C$21</definedName>
    <definedName name="M_SSAdjustments">[23]ReportsParameters!$B$26</definedName>
    <definedName name="Master">[62]Openings!$T$2:$T$3</definedName>
    <definedName name="matchperiod">[63]Data!$B$1:$O$1</definedName>
    <definedName name="matchrow">[63]Data!$A$2:$A$7756</definedName>
    <definedName name="mayank" hidden="1">{"'Form 3CD'!$A$2"}</definedName>
    <definedName name="MDEVISES">#REF!,#REF!,#REF!</definedName>
    <definedName name="MethodAcc">[34]Masters!$C$46</definedName>
    <definedName name="MFRF">#REF!,#REF!,#REF!,#REF!,#REF!</definedName>
    <definedName name="mk" localSheetId="18" hidden="1">[3]COSTMAR!#REF!</definedName>
    <definedName name="mk" hidden="1">[3]COSTMAR!#REF!</definedName>
    <definedName name="mmm">'[64]revised first cut'!$A:$IV</definedName>
    <definedName name="MonthNo">[48]Lists!$A$13:$C$24</definedName>
    <definedName name="MStVal">[34]Masters!$C$47</definedName>
    <definedName name="mty" hidden="1">{"YTD/Forecast",#N/A,TRUE,"Fcst_TPLN";"Monthly Averages",#N/A,TRUE,"Fcst_TPLN"}</definedName>
    <definedName name="n" hidden="1">#REF!</definedName>
    <definedName name="name">[65]Company!$C$16</definedName>
    <definedName name="NatureBusiness">[34]Masters!$C$45</definedName>
    <definedName name="nCurrMonthNo">[66]Assumptions!$L$5</definedName>
    <definedName name="nDepnDept">[67]Lists!$B$63:$C$71</definedName>
    <definedName name="nihkil" hidden="1">[68]Template!$D$7:$Q$7</definedName>
    <definedName name="nonop">[23]Capital!$Q$82:$Q$88</definedName>
    <definedName name="NOPATLink">[23]Nopat_by_Years_Valuation!$B$8</definedName>
    <definedName name="nrCoA">[69]!nr69CoA</definedName>
    <definedName name="nServiceTax">[70]Regus!$C$1</definedName>
    <definedName name="Number_of_Payments">MATCH(0.01,[0]!End_Bal,-1)+1</definedName>
    <definedName name="NvsParentRef">[71]Sheet1!$F$36</definedName>
    <definedName name="ofaname">[63]Control!$H$2</definedName>
    <definedName name="OK" hidden="1">{#N/A,#N/A,FALSE,"Staffnos &amp; cost"}</definedName>
    <definedName name="old_serial">'[21]old_serial no.'!$A$1:$F$2520</definedName>
    <definedName name="oluilkmk" hidden="1">{"YTD/Forecast",#N/A,TRUE,"Fcst_TPLN";"Monthly Averages",#N/A,TRUE,"Fcst_TPLN"}</definedName>
    <definedName name="ooo">'[72]first cut'!$A:$IV</definedName>
    <definedName name="optnondeduction">[73]Sheet1!$I$3:$I$7</definedName>
    <definedName name="Packsize">[26]Master!$C$3:$C$20</definedName>
    <definedName name="PAN">[34]Masters!$C$11</definedName>
    <definedName name="pankaj">'[74]Trial-Sub'!$A$3:$I$647</definedName>
    <definedName name="PartDesignation">[34]Masters!$C$16</definedName>
    <definedName name="PARTYLIST">[75]SUMMARY_BALANCE!$B$6:$B$174</definedName>
    <definedName name="PayList">[48]Lists!$A$4:$N$8</definedName>
    <definedName name="PayUsed">[48]Lists!$B$13:$C$24</definedName>
    <definedName name="PERIODS">[76]BSLA!$L$1:$L$69</definedName>
    <definedName name="Place">'[18]Basic Data'!$B$14</definedName>
    <definedName name="plan1">[58]Input!$B$159</definedName>
    <definedName name="plan10">[58]Input!$K$159</definedName>
    <definedName name="plan2">[58]Input!$C$159</definedName>
    <definedName name="plan3">[58]Input!$D$159</definedName>
    <definedName name="plan4">[58]Input!$E$159</definedName>
    <definedName name="plan5">[58]Input!$F$159</definedName>
    <definedName name="plan6">[58]Input!$G$159</definedName>
    <definedName name="plan7">[58]Input!$H$159</definedName>
    <definedName name="plan8">[58]Input!$I$159</definedName>
    <definedName name="plan9">[58]Input!$J$159</definedName>
    <definedName name="pptt">[58]b!$C$11</definedName>
    <definedName name="PrevTaxRate">'[70]DTA Schedule'!$H$93</definedName>
    <definedName name="_xlnm.Print_Area" localSheetId="0">abstract!$A$1:$K$54</definedName>
    <definedName name="_xlnm.Print_Area" localSheetId="23">AGM.CTC!$C$1:$I$24,AGM.CTC!$V$1:$AB$24</definedName>
    <definedName name="_xlnm.Print_Area" localSheetId="22">AGM.Notice!$B$1:$J$28</definedName>
    <definedName name="_xlnm.Print_Area" localSheetId="21">AOC.2!$C$1:$K$18</definedName>
    <definedName name="_xlnm.Print_Area" localSheetId="24">App.Letter!$B$1:$J$33,App.Letter!$B$36:$J$68</definedName>
    <definedName name="_xlnm.Print_Area" localSheetId="4">BS!$A$1:$G$61</definedName>
    <definedName name="_xlnm.Print_Area" localSheetId="15">'Depr I.T, Deferd tax'!$A$1:$J$54</definedName>
    <definedName name="_xlnm.Print_Area" localSheetId="19">DR!$B$1:$L$165</definedName>
    <definedName name="_xlnm.Print_Area" localSheetId="25">Eng.Letter!$B$4:$J$74</definedName>
    <definedName name="_xlnm.Print_Area" localSheetId="1">Master!$A$1:$B$64</definedName>
    <definedName name="_xlnm.Print_Area" localSheetId="20">MGT.9!$B$1:$N$226</definedName>
    <definedName name="_xlnm.Print_Area" localSheetId="18">MRL!$B$1:$N$232</definedName>
    <definedName name="_xlnm.Print_Area" localSheetId="16">Notes!$B$1:$J$249</definedName>
    <definedName name="_xlnm.Print_Area" localSheetId="5">PL!$A$1:$G$63</definedName>
    <definedName name="_xlnm.Print_Area" localSheetId="14">Ratios!$A$1:$H$17</definedName>
    <definedName name="_xlnm.Print_Area" localSheetId="9">'Sch - assets'!$A$1:$C$82</definedName>
    <definedName name="_xlnm.Print_Area" localSheetId="7">'Sch - liab'!$A$1:$C$89</definedName>
    <definedName name="_xlnm.Print_Area" localSheetId="10">'Sch - PL'!$A$1:$C$159</definedName>
    <definedName name="_xlnm.Print_Area" localSheetId="13">'Sch-Debtor_Creditors'!$A$1:$G$44</definedName>
    <definedName name="_xlnm.Print_Area" localSheetId="17">SH.List!$B$1:$F$25</definedName>
    <definedName name="Print_AreaG115">[77]DRAFT!$A$1:$H$564</definedName>
    <definedName name="PRINT_IO">'[78]Billwise IO'!$B$1:$EQ$266</definedName>
    <definedName name="prueba" hidden="1">[79]VOL1!#REF!</definedName>
    <definedName name="QUERY1.keep_password" hidden="1">FALSE</definedName>
    <definedName name="RandG">'[80]Comp with UP west'!$C$14:$M$25</definedName>
    <definedName name="RATE">2.5</definedName>
    <definedName name="RATE1">2.6</definedName>
    <definedName name="RATE2">2.5</definedName>
    <definedName name="RATE3">2.5</definedName>
    <definedName name="refgefdcv" hidden="1">{"YTD/Forecast",#N/A,TRUE,"Fcst_TPLN";"Monthly Averages",#N/A,TRUE,"Fcst_TPLN"}</definedName>
    <definedName name="REGIONS">'[81]PARTY DETAILS'!$B$2:$I$3616</definedName>
    <definedName name="reterwg" hidden="1">{"YTD/Forecast",#N/A,TRUE,"Fcst_TPLN";"Monthly Averages",#N/A,TRUE,"Fcst_TPLN"}</definedName>
    <definedName name="rm">'[52]E-3.01 Raw Material'!$I$105</definedName>
    <definedName name="RMB">[82]Data!$D$10</definedName>
    <definedName name="rmcAccount">2300</definedName>
    <definedName name="rmcApplication">"CONT*"</definedName>
    <definedName name="rmcCategory">"VJ1C*"</definedName>
    <definedName name="rmcFrequency">"QYT*"</definedName>
    <definedName name="RMCOptions">"*000000000000000"</definedName>
    <definedName name="rnMonth">[16]Lists!$T$2:$T$13</definedName>
    <definedName name="rnPeriod">[83]Lists!$A$24:$A$35</definedName>
    <definedName name="rnQB">'[84]QB-TB'!$B$3:$F$306</definedName>
    <definedName name="rnTally">'[84]UCG-TB'!$H$4:$N$176</definedName>
    <definedName name="rohig" hidden="1">{#N/A,#N/A,TRUE,"Staffnos &amp; cost"}</definedName>
    <definedName name="rrr" hidden="1">{#N/A,#N/A,FALSE,"Staffnos &amp; cost"}</definedName>
    <definedName name="rTallyDets">[84]Lists!$E$2:$G$179</definedName>
    <definedName name="ry">'[85]FORM-16'!$A$1:$J$61</definedName>
    <definedName name="SADW" hidden="1">{"'Form 3CD'!$A$2"}</definedName>
    <definedName name="Sally_Floyer">"Directors"</definedName>
    <definedName name="sanj" hidden="1">{"YTD/Forecast",#N/A,TRUE,"Fcst_TPLN";"Monthly Averages",#N/A,TRUE,"Fcst_TPLN"}</definedName>
    <definedName name="SAPBEXhrIndnt" hidden="1">"Wide"</definedName>
    <definedName name="SAPsysID" hidden="1">"708C5W7SBKP804JT78WJ0JNKI"</definedName>
    <definedName name="SAPwbID" hidden="1">"ARS"</definedName>
    <definedName name="sary">'[50]FORM-16'!$A$1:$J$61</definedName>
    <definedName name="SD">'[86]Table 5'!$E$1</definedName>
    <definedName name="sddfa" hidden="1">[42]OtherKPI!#REF!</definedName>
    <definedName name="sdfgefgyery" hidden="1">{"YTD/Forecast",#N/A,TRUE,"Fcst_TPLN";"Monthly Averages",#N/A,TRUE,"Fcst_TPLN"}</definedName>
    <definedName name="sectioncode">[73]Sheet1!$A$3:$A$32</definedName>
    <definedName name="ServiceTax">12.36%</definedName>
    <definedName name="sfsdf" hidden="1">'[87]PPV by Material Type NZ'!#REF!</definedName>
    <definedName name="sghgfghfgh" hidden="1">'[56]Gross Vol.'!#REF!</definedName>
    <definedName name="sghsjhgfs" hidden="1">{"YTD/Forecast",#N/A,TRUE,"Fcst_TPLN";"Monthly Averages",#N/A,TRUE,"Fcst_TPLN"}</definedName>
    <definedName name="sharad">'[88]ANX-D(16b)'!$A$3:$E$44</definedName>
    <definedName name="sheet">[89]GE6CRITERIA!$A$170:$F$222</definedName>
    <definedName name="sheet17.Depreciation_Business">'[90]Sch 7 Bf Setoff'!$E$4</definedName>
    <definedName name="sheet17.Depreciation_Other">'[90]Sch 7 Bf Setoff'!$E$7</definedName>
    <definedName name="shghfgh" hidden="1">{"YTD/Forecast",#N/A,TRUE,"Fcst_TPLN";"Monthly Averages",#N/A,TRUE,"Fcst_TPLN"}</definedName>
    <definedName name="Shop_Floor_Hour_Rate___2000">"kapil"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taff" hidden="1">{#N/A,#N/A,TRUE,"Staffnos &amp; cost"}</definedName>
    <definedName name="StartDateSF">[17]Masters!$C$30</definedName>
    <definedName name="states">[91]Lists!$A$16:$A$51</definedName>
    <definedName name="step">[23]wwww!$P$77</definedName>
    <definedName name="STORES">'[92]E-7 - Stores &amp; Spares'!$E$1727</definedName>
    <definedName name="strand">'[46]80S RF3'!$P$17:$AH$57</definedName>
    <definedName name="Sub">69</definedName>
    <definedName name="sv" localSheetId="18" hidden="1">[93]EXPENSES!#REF!</definedName>
    <definedName name="sv" hidden="1">[93]EXPENSES!#REF!</definedName>
    <definedName name="SweRate">13.022</definedName>
    <definedName name="SweRate01">13.2847</definedName>
    <definedName name="syndicates">'[94]syndicate codes'!$A$3:$P$242</definedName>
    <definedName name="TableName">"Dummy"</definedName>
    <definedName name="TAFName">[34]Masters!$C$19</definedName>
    <definedName name="TAMNo">[34]Masters!$C$23</definedName>
    <definedName name="TAName">[34]Masters!$C$20</definedName>
    <definedName name="TAPlace">[34]Masters!$C$43</definedName>
    <definedName name="TaxAudAdd">[34]Masters!$C$24</definedName>
    <definedName name="TaxAuditDate">[34]Masters!$C$40</definedName>
    <definedName name="taxes">[95]wwww!$C$59:$C$62</definedName>
    <definedName name="taxestable">[23]wwww!$E$67:$P$70</definedName>
    <definedName name="TaxTV">10%</definedName>
    <definedName name="TaxXL">5%</definedName>
    <definedName name="tba">[96]SCHEDULE!$A$3:$B$33</definedName>
    <definedName name="TDS">10%</definedName>
    <definedName name="Termdays">[84]Drivers!$B$6:$D$22</definedName>
    <definedName name="Terms">[84]Drivers!$B$6:$B$22</definedName>
    <definedName name="TermsList">[83]Lists!$A$5:$A$21</definedName>
    <definedName name="teutruhdfhdtr" hidden="1">{"YTD/Forecast",#N/A,TRUE,"Fcst_TPLN";"Monthly Averages",#N/A,TRUE,"Fcst_TPLN"}</definedName>
    <definedName name="TextRefCopyRangeCount" hidden="1">7</definedName>
    <definedName name="TextRefCopyRangeCount_1" hidden="1">2</definedName>
    <definedName name="TextRefCopyRangeCount_1_1" hidden="1">8</definedName>
    <definedName name="TextRefCopyRangeCount_1_1_1" hidden="1">2</definedName>
    <definedName name="THISMONTH">[36]Rates!$AC$19</definedName>
    <definedName name="THISRATE">[36]Rates!$AE$9</definedName>
    <definedName name="thom">[97]AR!$B$1099</definedName>
    <definedName name="thue">6</definedName>
    <definedName name="TOTALLN">'[98]Curr Month Movement'!$A$1:$I$336</definedName>
    <definedName name="TOTASS">[21]tot_ass_9697!$A$1:$H$2376</definedName>
    <definedName name="trial">[96]SCHEDULE!$A$35:$C$82</definedName>
    <definedName name="tsarf" hidden="1">7</definedName>
    <definedName name="tvbhj" localSheetId="18" hidden="1">#REF!</definedName>
    <definedName name="tvbhj" hidden="1">#REF!</definedName>
    <definedName name="tyj" hidden="1">{"YTD/Forecast",#N/A,TRUE,"Fcst_TPLN";"Monthly Averages",#N/A,TRUE,"Fcst_TPLN"}</definedName>
    <definedName name="uhuhu" hidden="1">[6]OtherKPI!#REF!</definedName>
    <definedName name="ukltyujrfg" hidden="1">{"YTD/Forecast",#N/A,TRUE,"Fcst_TPLN";"Monthly Averages",#N/A,TRUE,"Fcst_TPLN"}</definedName>
    <definedName name="usd">'[99]2000'!$L$1</definedName>
    <definedName name="USD_Rate">[100]KPIs!$AM$2</definedName>
    <definedName name="USRATE">1.5</definedName>
    <definedName name="USRATE01">1.5</definedName>
    <definedName name="VacationCap">[48]Lists!$B$27</definedName>
    <definedName name="VacationEntitlement">[48]Lists!$B$26</definedName>
    <definedName name="validationr1">[23]Validation!$C$27:$O$27,[23]Validation!$D$22:$O$22,[23]Validation!$C$17:$O$17,[23]Validation!$D$10:$O$10</definedName>
    <definedName name="validBook">[76]BSLA!$A$1:$A$27</definedName>
    <definedName name="ValidBooks">[76]BSLA!$A$1:$A$27</definedName>
    <definedName name="ValidClass">'[40]Dont Alter'!$B$3:$B$15</definedName>
    <definedName name="VALIDMONTH">[36]Rates!$AF$13</definedName>
    <definedName name="value">[38]meno!$H$5:$H$6</definedName>
    <definedName name="Values_Entered">IF([0]!Loan_Amount*[0]!Interest_Rate*[0]!Loan_Years*[0]!Loan_Start&gt;0,1,0)</definedName>
    <definedName name="ValuesBSA">[101]BS!$B$2:$O$3,[101]BS!$B$7:$O$13,[101]BS!$C$16:$O$17,[101]BS!$B$20:$O$20,[101]BS!$B$35:$O$37,[101]BS!$B$55:$O$55</definedName>
    <definedName name="ValuesChecks">'[101]Checks &amp; Inputs'!$C$16:$O$17,'[101]Checks &amp; Inputs'!$B$2</definedName>
    <definedName name="vardhman">[102]Input!$C$7</definedName>
    <definedName name="varioustaxes">[103]wwww!$C$59:$C$62</definedName>
    <definedName name="view">[38]meno!$G$5:$G$6</definedName>
    <definedName name="vlook">+VLOOKUP('[20]PL grp'!$B1,[0]!Range,'[20]PL grp'!A$3,FALSE)</definedName>
    <definedName name="Vlook_BS">+VLOOKUP([61]IGAAP!$A1,[0]!Range,[61]IGAAP!A$4,FALSE)</definedName>
    <definedName name="wat">'[85]FORM-16'!$A$1:$J$61</definedName>
    <definedName name="wer" hidden="1">{#N/A,#N/A,FALSE,"Staffnos &amp; cost"}</definedName>
    <definedName name="worksheet">[104]worksheet!$A$1:$P$583</definedName>
    <definedName name="wrn.BsheetPandL." hidden="1">{#N/A,#N/A,FALSE,"p&amp;l";#N/A,#N/A,FALSE,"bs"}</definedName>
    <definedName name="wrn.Comparison." hidden="1">{"Comparison","Comparison",FALSE,"Datenbank"}</definedName>
    <definedName name="wrn.Eingabe." hidden="1">{"Eingabe","Alles anzeigen",FALSE,"Datenbank"}</definedName>
    <definedName name="wrn.Estimate." hidden="1">{"AA_Estimate","Estimate",FALSE,"Datenbank"}</definedName>
    <definedName name="wrn.grouping." hidden="1">{#N/A,#N/A,FALSE,"gbs";#N/A,#N/A,FALSE,"coc";#N/A,#N/A,FALSE,"sao"}</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Plan." hidden="1">{"Plan","Plan",FALSE,"Datenbank"}</definedName>
    <definedName name="wrn.print" hidden="1">{"YTD/Forecast",#N/A,TRUE,"Fcst_TPLN";"Monthly Averages",#N/A,TRUE,"Fcst_TPLN"}</definedName>
    <definedName name="wrn.Print." hidden="1">{"YTD/Forecast",#N/A,TRUE,"Fcst_TPLN";"Monthly Averages",#N/A,TRUE,"Fcst_TPLN"}</definedName>
    <definedName name="wrn.Quality._.KPIs." hidden="1">{#N/A,#N/A,TRUE,"Quality KPIs"}</definedName>
    <definedName name="wrn.schedules." hidden="1">{#N/A,#N/A,FALSE,"sch13-14";#N/A,#N/A,FALSE,"sch12";#N/A,#N/A,FALSE,"sch11";#N/A,#N/A,FALSE,"sch10";#N/A,#N/A,FALSE,"sch9";#N/A,#N/A,FALSE,"sch8-new";#N/A,#N/A,FALSE,"sch7";#N/A,#N/A,FALSE,"sch6";#N/A,#N/A,FALSE,"sch5";#N/A,#N/A,FALSE,"sch3";#N/A,#N/A,FALSE,"sch2";#N/A,#N/A,FALSE,"sch1"}</definedName>
    <definedName name="wrn.Staff._.cost1998." hidden="1">{#N/A,#N/A,TRUE,"Staffnos &amp; cost"}</definedName>
    <definedName name="wrn.Staffcost." hidden="1">{#N/A,#N/A,FALSE,"Staffnos &amp; cost"}</definedName>
    <definedName name="XREF_COLUMN_1" localSheetId="18" hidden="1">#REF!</definedName>
    <definedName name="XREF_COLUMN_1" hidden="1">#REF!</definedName>
    <definedName name="XREF_COLUMN_13" localSheetId="18" hidden="1">#REF!</definedName>
    <definedName name="XREF_COLUMN_13" hidden="1">#REF!</definedName>
    <definedName name="XREF_COLUMN_14" localSheetId="18" hidden="1">#REF!</definedName>
    <definedName name="XREF_COLUMN_14" hidden="1">#REF!</definedName>
    <definedName name="XREF_COLUMN_15" localSheetId="18" hidden="1">#REF!</definedName>
    <definedName name="XREF_COLUMN_15" hidden="1">#REF!</definedName>
    <definedName name="XREF_COLUMN_16" localSheetId="18" hidden="1">#REF!</definedName>
    <definedName name="XREF_COLUMN_16" hidden="1">#REF!</definedName>
    <definedName name="XREF_COLUMN_17" localSheetId="18" hidden="1">#REF!</definedName>
    <definedName name="XREF_COLUMN_17" hidden="1">#REF!</definedName>
    <definedName name="XREF_COLUMN_18" localSheetId="18" hidden="1">#REF!</definedName>
    <definedName name="XREF_COLUMN_18" hidden="1">#REF!</definedName>
    <definedName name="XREF_COLUMN_19" localSheetId="18" hidden="1">#REF!</definedName>
    <definedName name="XREF_COLUMN_19" hidden="1">#REF!</definedName>
    <definedName name="XREF_COLUMN_23" localSheetId="18" hidden="1">#REF!</definedName>
    <definedName name="XREF_COLUMN_23" hidden="1">#REF!</definedName>
    <definedName name="XREF_COLUMN_24" localSheetId="18" hidden="1">#REF!</definedName>
    <definedName name="XREF_COLUMN_24" hidden="1">#REF!</definedName>
    <definedName name="XREF_COLUMN_25" localSheetId="18" hidden="1">#REF!</definedName>
    <definedName name="XREF_COLUMN_25" hidden="1">#REF!</definedName>
    <definedName name="XREF_COLUMN_26" localSheetId="18" hidden="1">#REF!</definedName>
    <definedName name="XREF_COLUMN_26" hidden="1">#REF!</definedName>
    <definedName name="XREF_COLUMN_27" localSheetId="18" hidden="1">#REF!</definedName>
    <definedName name="XREF_COLUMN_27" hidden="1">#REF!</definedName>
    <definedName name="XREF_COLUMN_28" localSheetId="18" hidden="1">#REF!</definedName>
    <definedName name="XREF_COLUMN_28" hidden="1">#REF!</definedName>
    <definedName name="XREF_COLUMN_29" localSheetId="18" hidden="1">#REF!</definedName>
    <definedName name="XREF_COLUMN_29" hidden="1">#REF!</definedName>
    <definedName name="XREF_COLUMN_9" localSheetId="18" hidden="1">#REF!</definedName>
    <definedName name="XREF_COLUMN_9" hidden="1">#REF!</definedName>
    <definedName name="XRefActiveRow" localSheetId="18" hidden="1">#REF!</definedName>
    <definedName name="XRefActiveRow" hidden="1">#REF!</definedName>
    <definedName name="XRefColumnsCount" hidden="1">18</definedName>
    <definedName name="XRefColumnsCount_1" hidden="1">1</definedName>
    <definedName name="XRefColumnsCount_2" hidden="1">4</definedName>
    <definedName name="XRefCopy12Row" localSheetId="18" hidden="1">#REF!</definedName>
    <definedName name="XRefCopy12Row" hidden="1">#REF!</definedName>
    <definedName name="XRefCopy16" localSheetId="18" hidden="1">#REF!</definedName>
    <definedName name="XRefCopy16" hidden="1">#REF!</definedName>
    <definedName name="XRefCopy16Row" localSheetId="18" hidden="1">#REF!</definedName>
    <definedName name="XRefCopy16Row" hidden="1">#REF!</definedName>
    <definedName name="XRefCopy18" localSheetId="18" hidden="1">#REF!</definedName>
    <definedName name="XRefCopy18" hidden="1">#REF!</definedName>
    <definedName name="XRefCopy18Row" localSheetId="18" hidden="1">#REF!</definedName>
    <definedName name="XRefCopy18Row" hidden="1">#REF!</definedName>
    <definedName name="XRefCopy19" localSheetId="18" hidden="1">#REF!</definedName>
    <definedName name="XRefCopy19" hidden="1">#REF!</definedName>
    <definedName name="XRefCopy19Row" localSheetId="18" hidden="1">#REF!</definedName>
    <definedName name="XRefCopy19Row" hidden="1">#REF!</definedName>
    <definedName name="XRefCopy1Row" localSheetId="18" hidden="1">#REF!</definedName>
    <definedName name="XRefCopy1Row" hidden="1">#REF!</definedName>
    <definedName name="XRefCopy2" localSheetId="18" hidden="1">#REF!</definedName>
    <definedName name="XRefCopy2" hidden="1">#REF!</definedName>
    <definedName name="XRefCopy21Row" localSheetId="18" hidden="1">#REF!</definedName>
    <definedName name="XRefCopy21Row" hidden="1">#REF!</definedName>
    <definedName name="XRefCopy24" localSheetId="18" hidden="1">#REF!</definedName>
    <definedName name="XRefCopy24" hidden="1">#REF!</definedName>
    <definedName name="XRefCopy24Row" localSheetId="18" hidden="1">#REF!</definedName>
    <definedName name="XRefCopy24Row" hidden="1">#REF!</definedName>
    <definedName name="XRefCopy25" localSheetId="18" hidden="1">#REF!</definedName>
    <definedName name="XRefCopy25" hidden="1">#REF!</definedName>
    <definedName name="XRefCopy25Row" localSheetId="18" hidden="1">#REF!</definedName>
    <definedName name="XRefCopy25Row" hidden="1">#REF!</definedName>
    <definedName name="XRefCopy26" localSheetId="18" hidden="1">#REF!</definedName>
    <definedName name="XRefCopy26" hidden="1">#REF!</definedName>
    <definedName name="XRefCopy26Row" localSheetId="18" hidden="1">#REF!</definedName>
    <definedName name="XRefCopy26Row" hidden="1">#REF!</definedName>
    <definedName name="XRefCopy27" localSheetId="18" hidden="1">#REF!</definedName>
    <definedName name="XRefCopy27" hidden="1">#REF!</definedName>
    <definedName name="XRefCopy28" localSheetId="18" hidden="1">#REF!</definedName>
    <definedName name="XRefCopy28" hidden="1">#REF!</definedName>
    <definedName name="XRefCopy28Row" localSheetId="18" hidden="1">#REF!</definedName>
    <definedName name="XRefCopy28Row" hidden="1">#REF!</definedName>
    <definedName name="XRefCopy29" localSheetId="18" hidden="1">#REF!</definedName>
    <definedName name="XRefCopy29" hidden="1">#REF!</definedName>
    <definedName name="XRefCopy29Row" localSheetId="18" hidden="1">#REF!</definedName>
    <definedName name="XRefCopy29Row" hidden="1">#REF!</definedName>
    <definedName name="XRefCopy2Row" localSheetId="18" hidden="1">#REF!</definedName>
    <definedName name="XRefCopy2Row" hidden="1">#REF!</definedName>
    <definedName name="XRefCopy3" localSheetId="18" hidden="1">#REF!</definedName>
    <definedName name="XRefCopy3" hidden="1">#REF!</definedName>
    <definedName name="XRefCopy30" localSheetId="18" hidden="1">#REF!</definedName>
    <definedName name="XRefCopy30" hidden="1">#REF!</definedName>
    <definedName name="XRefCopy30Row" localSheetId="18" hidden="1">#REF!</definedName>
    <definedName name="XRefCopy30Row" hidden="1">#REF!</definedName>
    <definedName name="XRefCopy31" localSheetId="18" hidden="1">#REF!</definedName>
    <definedName name="XRefCopy31" hidden="1">#REF!</definedName>
    <definedName name="XRefCopy31Row" localSheetId="18" hidden="1">#REF!</definedName>
    <definedName name="XRefCopy31Row" hidden="1">#REF!</definedName>
    <definedName name="XRefCopy33" localSheetId="18" hidden="1">#REF!</definedName>
    <definedName name="XRefCopy33" hidden="1">#REF!</definedName>
    <definedName name="XRefCopy33Row" localSheetId="18" hidden="1">#REF!</definedName>
    <definedName name="XRefCopy33Row" hidden="1">#REF!</definedName>
    <definedName name="XRefCopy34" localSheetId="18" hidden="1">#REF!</definedName>
    <definedName name="XRefCopy34" hidden="1">#REF!</definedName>
    <definedName name="XRefCopy34Row" localSheetId="18" hidden="1">#REF!</definedName>
    <definedName name="XRefCopy34Row" hidden="1">#REF!</definedName>
    <definedName name="XRefCopy35" localSheetId="18" hidden="1">#REF!</definedName>
    <definedName name="XRefCopy35" hidden="1">#REF!</definedName>
    <definedName name="XRefCopy35Row" localSheetId="18" hidden="1">#REF!</definedName>
    <definedName name="XRefCopy35Row" hidden="1">#REF!</definedName>
    <definedName name="XRefCopy36" localSheetId="18" hidden="1">#REF!</definedName>
    <definedName name="XRefCopy36" hidden="1">#REF!</definedName>
    <definedName name="XRefCopy36Row" localSheetId="18" hidden="1">#REF!</definedName>
    <definedName name="XRefCopy36Row" hidden="1">#REF!</definedName>
    <definedName name="XRefCopy37" localSheetId="18" hidden="1">#REF!</definedName>
    <definedName name="XRefCopy37" hidden="1">#REF!</definedName>
    <definedName name="XRefCopy37Row" localSheetId="18" hidden="1">#REF!</definedName>
    <definedName name="XRefCopy37Row" hidden="1">#REF!</definedName>
    <definedName name="XRefCopy38" localSheetId="18" hidden="1">#REF!</definedName>
    <definedName name="XRefCopy38" hidden="1">#REF!</definedName>
    <definedName name="XRefCopy38Row" localSheetId="18" hidden="1">#REF!</definedName>
    <definedName name="XRefCopy38Row" hidden="1">#REF!</definedName>
    <definedName name="XRefCopy39" localSheetId="18" hidden="1">#REF!</definedName>
    <definedName name="XRefCopy39" hidden="1">#REF!</definedName>
    <definedName name="XRefCopy39Row" localSheetId="18" hidden="1">#REF!</definedName>
    <definedName name="XRefCopy39Row" hidden="1">#REF!</definedName>
    <definedName name="XRefCopy3Row" localSheetId="18" hidden="1">#REF!</definedName>
    <definedName name="XRefCopy3Row" hidden="1">#REF!</definedName>
    <definedName name="XRefCopy4" localSheetId="18" hidden="1">#REF!</definedName>
    <definedName name="XRefCopy4" hidden="1">#REF!</definedName>
    <definedName name="XRefCopy41Row" localSheetId="18" hidden="1">#REF!</definedName>
    <definedName name="XRefCopy41Row" hidden="1">#REF!</definedName>
    <definedName name="XRefCopy42" localSheetId="18" hidden="1">#REF!</definedName>
    <definedName name="XRefCopy42" hidden="1">#REF!</definedName>
    <definedName name="XRefCopy42Row" localSheetId="18" hidden="1">#REF!</definedName>
    <definedName name="XRefCopy42Row" hidden="1">#REF!</definedName>
    <definedName name="XRefCopy43" localSheetId="18" hidden="1">#REF!</definedName>
    <definedName name="XRefCopy43" hidden="1">#REF!</definedName>
    <definedName name="XRefCopy43Row" localSheetId="18" hidden="1">#REF!</definedName>
    <definedName name="XRefCopy43Row" hidden="1">#REF!</definedName>
    <definedName name="XRefCopy44" localSheetId="18" hidden="1">#REF!</definedName>
    <definedName name="XRefCopy44" hidden="1">#REF!</definedName>
    <definedName name="XRefCopy44Row" localSheetId="18" hidden="1">#REF!</definedName>
    <definedName name="XRefCopy44Row" hidden="1">#REF!</definedName>
    <definedName name="XRefCopy45" localSheetId="18" hidden="1">#REF!</definedName>
    <definedName name="XRefCopy45" hidden="1">#REF!</definedName>
    <definedName name="XRefCopy45Row" localSheetId="18" hidden="1">#REF!</definedName>
    <definedName name="XRefCopy45Row" hidden="1">#REF!</definedName>
    <definedName name="XRefCopy46" localSheetId="18" hidden="1">#REF!</definedName>
    <definedName name="XRefCopy46" hidden="1">#REF!</definedName>
    <definedName name="XRefCopy46Row" localSheetId="18" hidden="1">#REF!</definedName>
    <definedName name="XRefCopy46Row" hidden="1">#REF!</definedName>
    <definedName name="XRefCopy47" localSheetId="18" hidden="1">#REF!</definedName>
    <definedName name="XRefCopy47" hidden="1">#REF!</definedName>
    <definedName name="XRefCopy47Row" localSheetId="18" hidden="1">#REF!</definedName>
    <definedName name="XRefCopy47Row" hidden="1">#REF!</definedName>
    <definedName name="XRefCopy48" localSheetId="18" hidden="1">#REF!</definedName>
    <definedName name="XRefCopy48" hidden="1">#REF!</definedName>
    <definedName name="XRefCopy48Row" localSheetId="18" hidden="1">#REF!</definedName>
    <definedName name="XRefCopy48Row" hidden="1">#REF!</definedName>
    <definedName name="XRefCopy49" localSheetId="18" hidden="1">#REF!</definedName>
    <definedName name="XRefCopy49" hidden="1">#REF!</definedName>
    <definedName name="XRefCopy4Row" localSheetId="18" hidden="1">#REF!</definedName>
    <definedName name="XRefCopy4Row" hidden="1">#REF!</definedName>
    <definedName name="XRefCopy51Row" localSheetId="18" hidden="1">#REF!</definedName>
    <definedName name="XRefCopy51Row" hidden="1">#REF!</definedName>
    <definedName name="XRefCopy52" localSheetId="18" hidden="1">#REF!</definedName>
    <definedName name="XRefCopy52" hidden="1">#REF!</definedName>
    <definedName name="XRefCopy52Row" localSheetId="18" hidden="1">#REF!</definedName>
    <definedName name="XRefCopy52Row" hidden="1">#REF!</definedName>
    <definedName name="XRefCopy53" localSheetId="18" hidden="1">#REF!</definedName>
    <definedName name="XRefCopy53" hidden="1">#REF!</definedName>
    <definedName name="XRefCopy53Row" localSheetId="18" hidden="1">#REF!</definedName>
    <definedName name="XRefCopy53Row" hidden="1">#REF!</definedName>
    <definedName name="XRefCopy54" localSheetId="18" hidden="1">#REF!</definedName>
    <definedName name="XRefCopy54" hidden="1">#REF!</definedName>
    <definedName name="XRefCopy54Row" localSheetId="18" hidden="1">#REF!</definedName>
    <definedName name="XRefCopy54Row" hidden="1">#REF!</definedName>
    <definedName name="XRefCopy55" localSheetId="18" hidden="1">#REF!</definedName>
    <definedName name="XRefCopy55" hidden="1">#REF!</definedName>
    <definedName name="XRefCopy55Row" localSheetId="18" hidden="1">#REF!</definedName>
    <definedName name="XRefCopy55Row" hidden="1">#REF!</definedName>
    <definedName name="XRefCopy56" localSheetId="18" hidden="1">#REF!</definedName>
    <definedName name="XRefCopy56" hidden="1">#REF!</definedName>
    <definedName name="XRefCopy56Row" localSheetId="18" hidden="1">#REF!</definedName>
    <definedName name="XRefCopy56Row" hidden="1">#REF!</definedName>
    <definedName name="XRefCopy57" localSheetId="18" hidden="1">#REF!</definedName>
    <definedName name="XRefCopy57" hidden="1">#REF!</definedName>
    <definedName name="XRefCopy57Row" localSheetId="18" hidden="1">#REF!</definedName>
    <definedName name="XRefCopy57Row" hidden="1">#REF!</definedName>
    <definedName name="XRefCopy58" localSheetId="18" hidden="1">#REF!</definedName>
    <definedName name="XRefCopy58" hidden="1">#REF!</definedName>
    <definedName name="XRefCopy58Row" localSheetId="18" hidden="1">#REF!</definedName>
    <definedName name="XRefCopy58Row" hidden="1">#REF!</definedName>
    <definedName name="XRefCopy59" localSheetId="18" hidden="1">#REF!</definedName>
    <definedName name="XRefCopy59" hidden="1">#REF!</definedName>
    <definedName name="XRefCopy59Row" localSheetId="18" hidden="1">#REF!</definedName>
    <definedName name="XRefCopy59Row" hidden="1">#REF!</definedName>
    <definedName name="XRefCopy5Row" localSheetId="18" hidden="1">#REF!</definedName>
    <definedName name="XRefCopy5Row" hidden="1">#REF!</definedName>
    <definedName name="XRefCopyRangeCount" hidden="1">60</definedName>
    <definedName name="XRefCopyRangeCount_1" hidden="1">18</definedName>
    <definedName name="XRefPaste16" localSheetId="18" hidden="1">#REF!</definedName>
    <definedName name="XRefPaste16" hidden="1">#REF!</definedName>
    <definedName name="XRefPaste16Row" localSheetId="18" hidden="1">#REF!</definedName>
    <definedName name="XRefPaste16Row" hidden="1">#REF!</definedName>
    <definedName name="XRefPaste17" localSheetId="18" hidden="1">#REF!</definedName>
    <definedName name="XRefPaste17" hidden="1">#REF!</definedName>
    <definedName name="XRefPaste17Row" localSheetId="18" hidden="1">#REF!</definedName>
    <definedName name="XRefPaste17Row" hidden="1">#REF!</definedName>
    <definedName name="XRefPaste18" localSheetId="18" hidden="1">#REF!</definedName>
    <definedName name="XRefPaste18" hidden="1">#REF!</definedName>
    <definedName name="XRefPaste18Row" localSheetId="18" hidden="1">#REF!</definedName>
    <definedName name="XRefPaste18Row" hidden="1">#REF!</definedName>
    <definedName name="XRefPaste19" localSheetId="18" hidden="1">#REF!</definedName>
    <definedName name="XRefPaste19" hidden="1">#REF!</definedName>
    <definedName name="XRefPaste19Row" localSheetId="18" hidden="1">#REF!</definedName>
    <definedName name="XRefPaste19Row" hidden="1">#REF!</definedName>
    <definedName name="XRefPaste1Row" localSheetId="18" hidden="1">#REF!</definedName>
    <definedName name="XRefPaste1Row" hidden="1">#REF!</definedName>
    <definedName name="XRefPaste2" localSheetId="18" hidden="1">#REF!</definedName>
    <definedName name="XRefPaste2" hidden="1">#REF!</definedName>
    <definedName name="XRefPaste2Row" localSheetId="18" hidden="1">#REF!</definedName>
    <definedName name="XRefPaste2Row" hidden="1">#REF!</definedName>
    <definedName name="XRefPaste3" localSheetId="18" hidden="1">#REF!</definedName>
    <definedName name="XRefPaste3" hidden="1">#REF!</definedName>
    <definedName name="XRefPaste3Row" localSheetId="18" hidden="1">#REF!</definedName>
    <definedName name="XRefPaste3Row" hidden="1">#REF!</definedName>
    <definedName name="XRefPasteRangeCount" hidden="1">22</definedName>
    <definedName name="XRefPasteRangeCount_1" hidden="1">1</definedName>
    <definedName name="xxxx" hidden="1">{"'Form 3CD'!$A$2"}</definedName>
    <definedName name="Years">[23]Data!$A$2:$IV$2</definedName>
    <definedName name="YearType">[23]Data!$A$1:$IV$1</definedName>
    <definedName name="Yes">"Yes"</definedName>
    <definedName name="yes1">[58]Input!$B$162</definedName>
    <definedName name="yes10">[58]Input!$K$162</definedName>
    <definedName name="yes2">[58]Input!$C$162</definedName>
    <definedName name="yes3">[58]Input!$D$162</definedName>
    <definedName name="yes4">[58]Input!$E$162</definedName>
    <definedName name="yes5">[58]Input!$F$162</definedName>
    <definedName name="yes6">[58]Input!$G$162</definedName>
    <definedName name="yes7">[58]Input!$H$162</definedName>
    <definedName name="yes8">[58]Input!$I$162</definedName>
    <definedName name="yes9">[58]Input!$J$162</definedName>
    <definedName name="yesno">'[105]working sheet'!$A$3:$A$4</definedName>
    <definedName name="yhjkrtjgnsdfght" hidden="1">{"YTD/Forecast",#N/A,TRUE,"Fcst_TPLN";"Monthly Averages",#N/A,TRUE,"Fcst_TPLN"}</definedName>
    <definedName name="Z_344F5AB5_F908_11D8_871D_00508D3936C3_.wvu.Rows" hidden="1">[106]Sheet1!$A$7:$IV$7,[106]Sheet1!$A$10:$IV$10,[106]Sheet1!$A$27:$IV$28,[106]Sheet1!$A$30:$IV$30,[106]Sheet1!$A$37:$IV$40,[106]Sheet1!$A$45:$IV$45,[106]Sheet1!$A$66:$IV$66,[106]Sheet1!$A$69:$IV$69,[106]Sheet1!$A$81:$IV$82,[106]Sheet1!$A$85:$IV$85,[106]Sheet1!$A$122:$IV$124,[106]Sheet1!$A$133:$IV$133,[106]Sheet1!$A$146:$IV$146,[106]Sheet1!$A$174:$IV$175,[106]Sheet1!$A$177:$IV$177,[106]Sheet1!$A$179:$IV$179,[106]Sheet1!$A$187:$IV$188,[106]Sheet1!$A$193:$IV$201</definedName>
    <definedName name="Z_5EC7122A_2F1A_11D9_A08B_000129091764_.wvu.Cols" localSheetId="18" hidden="1">#REF!</definedName>
    <definedName name="Z_5EC7122A_2F1A_11D9_A08B_000129091764_.wvu.Cols" hidden="1">#REF!</definedName>
    <definedName name="Z_5EC7122A_2F1A_11D9_A08B_000129091764_.wvu.Rows" localSheetId="18" hidden="1">#REF!,#REF!</definedName>
    <definedName name="Z_5EC7122A_2F1A_11D9_A08B_000129091764_.wvu.Rows" hidden="1">#REF!,#REF!</definedName>
    <definedName name="Z_67EFEDCD_998B_11D7_BAAE_00508D3936C3_.wvu.PrintTitles" hidden="1">[107]SLB_PROD!$A$1:$A$65536,[107]SLB_PROD!$A$5:$IV$8</definedName>
    <definedName name="Z_9EF739CB_9998_11D7_8C04_00508D4511B4_.wvu.PrintTitles" hidden="1">[107]SLB_PROD!$A$1:$A$65536,[107]SLB_PROD!$A$5:$IV$8</definedName>
    <definedName name="Z_F93949A5_3508_11D6_AB98_0080AD7F2B9C_.wvu.PrintTitles" hidden="1">[107]SLB_PROD!$A$1:$A$65536,[107]SLB_PROD!$A$5:$IV$8</definedName>
  </definedNames>
  <calcPr calcId="191029"/>
</workbook>
</file>

<file path=xl/calcChain.xml><?xml version="1.0" encoding="utf-8"?>
<calcChain xmlns="http://schemas.openxmlformats.org/spreadsheetml/2006/main">
  <c r="K396" i="67" l="1"/>
  <c r="K190" i="67"/>
  <c r="K189" i="67"/>
  <c r="H11" i="47" l="1"/>
  <c r="J11" i="47" s="1"/>
  <c r="I11" i="47"/>
  <c r="H12" i="47"/>
  <c r="I12" i="47"/>
  <c r="H13" i="47"/>
  <c r="J13" i="47" s="1"/>
  <c r="I13" i="47"/>
  <c r="H14" i="47"/>
  <c r="J14" i="47" s="1"/>
  <c r="I14" i="47"/>
  <c r="H15" i="47"/>
  <c r="I15" i="47"/>
  <c r="J15" i="47"/>
  <c r="H16" i="47"/>
  <c r="J16" i="47" s="1"/>
  <c r="I16" i="47"/>
  <c r="H17" i="47"/>
  <c r="I17" i="47"/>
  <c r="H18" i="47"/>
  <c r="I18" i="47"/>
  <c r="J18" i="47"/>
  <c r="H19" i="47"/>
  <c r="I19" i="47"/>
  <c r="H20" i="47"/>
  <c r="I20" i="47"/>
  <c r="H21" i="47"/>
  <c r="I21" i="47"/>
  <c r="H24" i="47"/>
  <c r="J24" i="47" s="1"/>
  <c r="I24" i="47"/>
  <c r="H25" i="47"/>
  <c r="I25" i="47"/>
  <c r="H26" i="47"/>
  <c r="I26" i="47"/>
  <c r="J26" i="47"/>
  <c r="H27" i="47"/>
  <c r="I27" i="47"/>
  <c r="H28" i="47"/>
  <c r="I28" i="47"/>
  <c r="H29" i="47"/>
  <c r="J29" i="47" s="1"/>
  <c r="I29" i="47"/>
  <c r="H30" i="47"/>
  <c r="I30" i="47"/>
  <c r="J30" i="47"/>
  <c r="H31" i="47"/>
  <c r="J31" i="47" s="1"/>
  <c r="I31" i="47"/>
  <c r="H32" i="47"/>
  <c r="I32" i="47"/>
  <c r="H33" i="47"/>
  <c r="I33" i="47"/>
  <c r="H34" i="47"/>
  <c r="I34" i="47"/>
  <c r="J34" i="47" s="1"/>
  <c r="H35" i="47"/>
  <c r="I35" i="47"/>
  <c r="J35" i="47"/>
  <c r="H36" i="47"/>
  <c r="J36" i="47" s="1"/>
  <c r="I36" i="47"/>
  <c r="H37" i="47"/>
  <c r="I37" i="47"/>
  <c r="H38" i="47"/>
  <c r="J38" i="47" s="1"/>
  <c r="I38" i="47"/>
  <c r="H39" i="47"/>
  <c r="J39" i="47" s="1"/>
  <c r="I39" i="47"/>
  <c r="H40" i="47"/>
  <c r="I40" i="47"/>
  <c r="H41" i="47"/>
  <c r="J41" i="47" s="1"/>
  <c r="I41" i="47"/>
  <c r="F44" i="46"/>
  <c r="K45" i="46"/>
  <c r="I45" i="46"/>
  <c r="I44" i="46"/>
  <c r="K43" i="46"/>
  <c r="I43" i="46"/>
  <c r="F45" i="46"/>
  <c r="F43" i="46"/>
  <c r="F42" i="46"/>
  <c r="J33" i="47" l="1"/>
  <c r="J40" i="47"/>
  <c r="J37" i="47"/>
  <c r="J25" i="47"/>
  <c r="J28" i="47"/>
  <c r="J27" i="47"/>
  <c r="J17" i="47"/>
  <c r="J12" i="47"/>
  <c r="J20" i="47"/>
  <c r="J21" i="47"/>
  <c r="J19" i="47"/>
  <c r="J43" i="46"/>
  <c r="J45" i="46"/>
  <c r="J32" i="47"/>
  <c r="K44" i="46"/>
  <c r="J44" i="46"/>
  <c r="K233" i="67" l="1"/>
  <c r="K440" i="67"/>
  <c r="K422" i="67"/>
  <c r="K416" i="67"/>
  <c r="K249" i="67"/>
  <c r="K226" i="67"/>
  <c r="K423" i="67"/>
  <c r="K239" i="67"/>
  <c r="K224" i="67"/>
  <c r="K223" i="67"/>
  <c r="K221" i="67"/>
  <c r="K245" i="67"/>
  <c r="K412" i="67"/>
  <c r="P447" i="67"/>
  <c r="P444" i="67"/>
  <c r="P443" i="67"/>
  <c r="P442" i="67"/>
  <c r="P441" i="67"/>
  <c r="P440" i="67"/>
  <c r="P436" i="67"/>
  <c r="P435" i="67"/>
  <c r="P434" i="67"/>
  <c r="P433" i="67"/>
  <c r="P432" i="67"/>
  <c r="P431" i="67"/>
  <c r="P430" i="67"/>
  <c r="P424" i="67"/>
  <c r="P423" i="67"/>
  <c r="P422" i="67"/>
  <c r="P421" i="67"/>
  <c r="P418" i="67"/>
  <c r="P417" i="67"/>
  <c r="P416" i="67"/>
  <c r="P412" i="67"/>
  <c r="P249" i="67"/>
  <c r="P248" i="67"/>
  <c r="P247" i="67"/>
  <c r="P246" i="67"/>
  <c r="P245" i="67"/>
  <c r="P244" i="67"/>
  <c r="P243" i="67"/>
  <c r="P242" i="67"/>
  <c r="P241" i="67"/>
  <c r="P239" i="67"/>
  <c r="P238" i="67"/>
  <c r="P233" i="67"/>
  <c r="P232" i="67"/>
  <c r="P231" i="67"/>
  <c r="P230" i="67"/>
  <c r="P229" i="67"/>
  <c r="P228" i="67"/>
  <c r="P227" i="67"/>
  <c r="P226" i="67"/>
  <c r="P225" i="67"/>
  <c r="P224" i="67"/>
  <c r="P223" i="67"/>
  <c r="P222" i="67"/>
  <c r="P221" i="67"/>
  <c r="P217" i="67"/>
  <c r="P216" i="67"/>
  <c r="P209" i="67"/>
  <c r="P208" i="67"/>
  <c r="P207" i="67"/>
  <c r="P206" i="67"/>
  <c r="P201" i="67"/>
  <c r="K420" i="67"/>
  <c r="K219" i="67"/>
  <c r="K218" i="67"/>
  <c r="K213" i="67"/>
  <c r="K429" i="67"/>
  <c r="K428" i="67"/>
  <c r="K205" i="67"/>
  <c r="K204" i="67"/>
  <c r="K203" i="67"/>
  <c r="K202" i="67"/>
  <c r="K419" i="67"/>
  <c r="K240" i="67"/>
  <c r="K215" i="67"/>
  <c r="K214" i="67"/>
  <c r="K197" i="67"/>
  <c r="K414" i="67"/>
  <c r="K415" i="67"/>
  <c r="K413" i="67"/>
  <c r="K445" i="67"/>
  <c r="K236" i="67"/>
  <c r="K235" i="67"/>
  <c r="K234" i="67"/>
  <c r="K200" i="67"/>
  <c r="K199" i="67"/>
  <c r="K198" i="67"/>
  <c r="K446" i="67"/>
  <c r="K438" i="67"/>
  <c r="K437" i="67"/>
  <c r="K237" i="67"/>
  <c r="K220" i="67"/>
  <c r="K212" i="67"/>
  <c r="K211" i="67"/>
  <c r="K210" i="67"/>
  <c r="K410" i="67"/>
  <c r="K411" i="67"/>
  <c r="K408" i="67"/>
  <c r="K407" i="67"/>
  <c r="K196" i="67"/>
  <c r="K195" i="67"/>
  <c r="K194" i="67"/>
  <c r="K193" i="67"/>
  <c r="K409" i="67"/>
  <c r="K401" i="67"/>
  <c r="K406" i="67"/>
  <c r="K405" i="67"/>
  <c r="K404" i="67"/>
  <c r="K403" i="67"/>
  <c r="K402" i="67"/>
  <c r="K192" i="67"/>
  <c r="K399" i="67"/>
  <c r="K400" i="67"/>
  <c r="K398" i="67"/>
  <c r="K397" i="67"/>
  <c r="I448" i="67"/>
  <c r="I447" i="67"/>
  <c r="K382" i="67" l="1"/>
  <c r="K381" i="67"/>
  <c r="K380" i="67"/>
  <c r="K379" i="67"/>
  <c r="K370" i="67"/>
  <c r="K369" i="67"/>
  <c r="K368" i="67"/>
  <c r="K366" i="67"/>
  <c r="K364" i="67"/>
  <c r="K362" i="67"/>
  <c r="K361" i="67"/>
  <c r="K142" i="67"/>
  <c r="K187" i="67"/>
  <c r="K184" i="67"/>
  <c r="K186" i="67"/>
  <c r="K346" i="67"/>
  <c r="K342" i="67"/>
  <c r="K338" i="67"/>
  <c r="K117" i="67"/>
  <c r="K116" i="67"/>
  <c r="K374" i="67"/>
  <c r="K373" i="67"/>
  <c r="K371" i="67"/>
  <c r="K180" i="67"/>
  <c r="K179" i="67"/>
  <c r="K262" i="67"/>
  <c r="K271" i="67"/>
  <c r="K269" i="67"/>
  <c r="K268" i="67"/>
  <c r="K266" i="67"/>
  <c r="K265" i="67"/>
  <c r="K261" i="67"/>
  <c r="K260" i="67"/>
  <c r="K257" i="67"/>
  <c r="K256" i="67"/>
  <c r="K255" i="67"/>
  <c r="K322" i="67"/>
  <c r="K313" i="67"/>
  <c r="K297" i="67"/>
  <c r="K110" i="67"/>
  <c r="K109" i="67"/>
  <c r="K106" i="67"/>
  <c r="K102" i="67"/>
  <c r="K100" i="67"/>
  <c r="K98" i="67"/>
  <c r="K95" i="67"/>
  <c r="K93" i="67"/>
  <c r="K92" i="67"/>
  <c r="K88" i="67"/>
  <c r="K87" i="67"/>
  <c r="K86" i="67"/>
  <c r="K85" i="67"/>
  <c r="K84" i="67"/>
  <c r="K83" i="67"/>
  <c r="K82" i="67"/>
  <c r="K81" i="67"/>
  <c r="K78" i="67"/>
  <c r="K77" i="67"/>
  <c r="K72" i="67"/>
  <c r="K68" i="67"/>
  <c r="K67" i="67"/>
  <c r="K66" i="67"/>
  <c r="K63" i="67"/>
  <c r="K60" i="67"/>
  <c r="K58" i="67"/>
  <c r="K55" i="67"/>
  <c r="K54" i="67"/>
  <c r="K53" i="67"/>
  <c r="K52" i="67"/>
  <c r="K49" i="67"/>
  <c r="K44" i="67"/>
  <c r="K40" i="67"/>
  <c r="K38" i="67"/>
  <c r="K35" i="67"/>
  <c r="K32" i="67"/>
  <c r="C78" i="32"/>
  <c r="C35" i="32"/>
  <c r="A34" i="51"/>
  <c r="B34" i="51"/>
  <c r="C34" i="51"/>
  <c r="D34" i="51"/>
  <c r="E34" i="51"/>
  <c r="A35" i="51"/>
  <c r="B35" i="51"/>
  <c r="C35" i="51"/>
  <c r="D35" i="51"/>
  <c r="E35" i="51"/>
  <c r="A36" i="51"/>
  <c r="B36" i="51"/>
  <c r="C36" i="51"/>
  <c r="D36" i="51"/>
  <c r="E36" i="51"/>
  <c r="E33" i="51"/>
  <c r="D33" i="51"/>
  <c r="C33" i="51"/>
  <c r="B33" i="51"/>
  <c r="A33" i="51"/>
  <c r="D10" i="51"/>
  <c r="I412" i="67"/>
  <c r="I413" i="67"/>
  <c r="I414" i="67"/>
  <c r="I415" i="67"/>
  <c r="I416" i="67"/>
  <c r="I417" i="67"/>
  <c r="I418" i="67"/>
  <c r="I419" i="67"/>
  <c r="I420" i="67"/>
  <c r="I421" i="67"/>
  <c r="I422" i="67"/>
  <c r="I423" i="67"/>
  <c r="I424" i="67"/>
  <c r="I425" i="67"/>
  <c r="I426" i="67"/>
  <c r="I427" i="67"/>
  <c r="I428" i="67"/>
  <c r="I429" i="67"/>
  <c r="I430" i="67"/>
  <c r="I431" i="67"/>
  <c r="I432" i="67"/>
  <c r="I433" i="67"/>
  <c r="I434" i="67"/>
  <c r="I435" i="67"/>
  <c r="I436" i="67"/>
  <c r="I437" i="67"/>
  <c r="I438" i="67"/>
  <c r="I439" i="67"/>
  <c r="I440" i="67"/>
  <c r="I441" i="67"/>
  <c r="I442" i="67"/>
  <c r="I443" i="67"/>
  <c r="I444" i="67"/>
  <c r="I445" i="67"/>
  <c r="I446" i="67"/>
  <c r="I407" i="67"/>
  <c r="I408" i="67"/>
  <c r="I409" i="67"/>
  <c r="I410" i="67"/>
  <c r="I411" i="67"/>
  <c r="I401" i="67"/>
  <c r="I402" i="67"/>
  <c r="I403" i="67"/>
  <c r="I404" i="67"/>
  <c r="I405" i="67"/>
  <c r="I406" i="67"/>
  <c r="I396" i="67"/>
  <c r="I397" i="67"/>
  <c r="I398" i="67"/>
  <c r="I399" i="67"/>
  <c r="I400" i="67"/>
  <c r="I395" i="67"/>
  <c r="I372" i="67"/>
  <c r="I373" i="67"/>
  <c r="I374" i="67"/>
  <c r="I375" i="67"/>
  <c r="I376" i="67"/>
  <c r="I377" i="67"/>
  <c r="I378" i="67"/>
  <c r="I379" i="67"/>
  <c r="I380" i="67"/>
  <c r="I381" i="67"/>
  <c r="L448" i="67" s="1"/>
  <c r="I382" i="67"/>
  <c r="I383" i="67"/>
  <c r="I384" i="67"/>
  <c r="I385" i="67"/>
  <c r="I386" i="67"/>
  <c r="I387" i="67"/>
  <c r="I388" i="67"/>
  <c r="I389" i="67"/>
  <c r="I390" i="67"/>
  <c r="I391" i="67"/>
  <c r="I392" i="67"/>
  <c r="I393" i="67"/>
  <c r="I394" i="67"/>
  <c r="I371" i="67"/>
  <c r="I362" i="67"/>
  <c r="I363" i="67"/>
  <c r="I364" i="67"/>
  <c r="I365" i="67"/>
  <c r="I366" i="67"/>
  <c r="I367" i="67"/>
  <c r="I368" i="67"/>
  <c r="I369" i="67"/>
  <c r="I370" i="67"/>
  <c r="I361" i="67"/>
  <c r="I347" i="67"/>
  <c r="I348" i="67"/>
  <c r="I349" i="67"/>
  <c r="I350" i="67"/>
  <c r="I351" i="67"/>
  <c r="I352" i="67"/>
  <c r="I353" i="67"/>
  <c r="I354" i="67"/>
  <c r="I355" i="67"/>
  <c r="I356" i="67"/>
  <c r="I357" i="67"/>
  <c r="I358" i="67"/>
  <c r="I359" i="67"/>
  <c r="I360" i="67"/>
  <c r="I297" i="67"/>
  <c r="I298" i="67"/>
  <c r="I299" i="67"/>
  <c r="I300" i="67"/>
  <c r="I301" i="67"/>
  <c r="I302" i="67"/>
  <c r="I303" i="67"/>
  <c r="I304" i="67"/>
  <c r="I305" i="67"/>
  <c r="I306" i="67"/>
  <c r="I307" i="67"/>
  <c r="I308" i="67"/>
  <c r="I309" i="67"/>
  <c r="I310" i="67"/>
  <c r="I311" i="67"/>
  <c r="I312" i="67"/>
  <c r="I313" i="67"/>
  <c r="I314" i="67"/>
  <c r="I315" i="67"/>
  <c r="I316" i="67"/>
  <c r="I317" i="67"/>
  <c r="I318" i="67"/>
  <c r="I319" i="67"/>
  <c r="I320" i="67"/>
  <c r="I321" i="67"/>
  <c r="I322" i="67"/>
  <c r="I323" i="67"/>
  <c r="I324" i="67"/>
  <c r="I325" i="67"/>
  <c r="I326" i="67"/>
  <c r="I327" i="67"/>
  <c r="I328" i="67"/>
  <c r="I329" i="67"/>
  <c r="I330" i="67"/>
  <c r="I331" i="67"/>
  <c r="I332" i="67"/>
  <c r="I333" i="67"/>
  <c r="I334" i="67"/>
  <c r="I335" i="67"/>
  <c r="I336" i="67"/>
  <c r="I337" i="67"/>
  <c r="I338" i="67"/>
  <c r="I339" i="67"/>
  <c r="I340" i="67"/>
  <c r="I341" i="67"/>
  <c r="I342" i="67"/>
  <c r="I343" i="67"/>
  <c r="I344" i="67"/>
  <c r="I345" i="67"/>
  <c r="I346" i="67"/>
  <c r="I273" i="67"/>
  <c r="I274" i="67"/>
  <c r="I275" i="67"/>
  <c r="I276" i="67"/>
  <c r="I277" i="67"/>
  <c r="I278" i="67"/>
  <c r="I279" i="67"/>
  <c r="I280" i="67"/>
  <c r="I281" i="67"/>
  <c r="I282" i="67"/>
  <c r="I283" i="67"/>
  <c r="I284" i="67"/>
  <c r="I285" i="67"/>
  <c r="I286" i="67"/>
  <c r="I287" i="67"/>
  <c r="I288" i="67"/>
  <c r="I289" i="67"/>
  <c r="I290" i="67"/>
  <c r="I291" i="67"/>
  <c r="I292" i="67"/>
  <c r="I293" i="67"/>
  <c r="I294" i="67"/>
  <c r="I295" i="67"/>
  <c r="I296" i="67"/>
  <c r="I259" i="67"/>
  <c r="I260" i="67"/>
  <c r="I261" i="67"/>
  <c r="I262" i="67"/>
  <c r="I263" i="67"/>
  <c r="I264" i="67"/>
  <c r="I265" i="67"/>
  <c r="I266" i="67"/>
  <c r="I267" i="67"/>
  <c r="I268" i="67"/>
  <c r="I269" i="67"/>
  <c r="I270" i="67"/>
  <c r="I271" i="67"/>
  <c r="I272" i="67"/>
  <c r="I255" i="67"/>
  <c r="I256" i="67"/>
  <c r="I257" i="67"/>
  <c r="I258" i="67"/>
  <c r="I250" i="67"/>
  <c r="I251" i="67"/>
  <c r="I252" i="67"/>
  <c r="I253" i="67"/>
  <c r="I254" i="67"/>
  <c r="I197" i="67"/>
  <c r="I198" i="67"/>
  <c r="I199" i="67"/>
  <c r="I200" i="67"/>
  <c r="I201" i="67"/>
  <c r="I202" i="67"/>
  <c r="I203" i="67"/>
  <c r="I204" i="67"/>
  <c r="I205" i="67"/>
  <c r="I206" i="67"/>
  <c r="I207" i="67"/>
  <c r="I208" i="67"/>
  <c r="F20" i="5" s="1"/>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193" i="67"/>
  <c r="I194" i="67"/>
  <c r="I195" i="67"/>
  <c r="I196" i="67"/>
  <c r="I192" i="67"/>
  <c r="I189" i="67"/>
  <c r="I190" i="67"/>
  <c r="I191" i="67"/>
  <c r="I188" i="67"/>
  <c r="I179" i="67"/>
  <c r="I180" i="67"/>
  <c r="I181" i="67"/>
  <c r="I182" i="67"/>
  <c r="I183" i="67"/>
  <c r="I184" i="67"/>
  <c r="I185" i="67"/>
  <c r="I186" i="67"/>
  <c r="I187" i="67"/>
  <c r="I178" i="67"/>
  <c r="B110" i="35"/>
  <c r="B120" i="35"/>
  <c r="B30" i="32"/>
  <c r="B22" i="35"/>
  <c r="B135" i="35"/>
  <c r="B139" i="35"/>
  <c r="B138" i="35"/>
  <c r="B27" i="32"/>
  <c r="B116" i="35"/>
  <c r="B24" i="35"/>
  <c r="B114" i="35"/>
  <c r="B38" i="35"/>
  <c r="B131" i="35"/>
  <c r="B140" i="35"/>
  <c r="B122" i="35"/>
  <c r="B124" i="35"/>
  <c r="B121" i="35"/>
  <c r="L418" i="67" l="1"/>
  <c r="L336" i="67"/>
  <c r="L434" i="67"/>
  <c r="L250" i="67"/>
  <c r="L404" i="67"/>
  <c r="L447" i="67"/>
  <c r="L320" i="67"/>
  <c r="L304" i="67"/>
  <c r="L422" i="67"/>
  <c r="L254" i="67"/>
  <c r="L374" i="67"/>
  <c r="L270" i="67"/>
  <c r="L266" i="67"/>
  <c r="L262" i="67"/>
  <c r="L390" i="67"/>
  <c r="L332" i="67"/>
  <c r="L316" i="67"/>
  <c r="L300" i="67"/>
  <c r="L386" i="67"/>
  <c r="L400" i="67"/>
  <c r="L446" i="67"/>
  <c r="L430" i="67"/>
  <c r="L414" i="67"/>
  <c r="L256" i="67"/>
  <c r="L328" i="67"/>
  <c r="L312" i="67"/>
  <c r="L382" i="67"/>
  <c r="L396" i="67"/>
  <c r="L442" i="67"/>
  <c r="L426" i="67"/>
  <c r="L340" i="67"/>
  <c r="L324" i="67"/>
  <c r="L308" i="67"/>
  <c r="L394" i="67"/>
  <c r="L409" i="67"/>
  <c r="L438" i="67"/>
  <c r="L415" i="67"/>
  <c r="L253" i="67"/>
  <c r="L269" i="67"/>
  <c r="L261" i="67"/>
  <c r="L327" i="67"/>
  <c r="L319" i="67"/>
  <c r="L311" i="67"/>
  <c r="L303" i="67"/>
  <c r="L365" i="67"/>
  <c r="L389" i="67"/>
  <c r="L381" i="67"/>
  <c r="L373" i="67"/>
  <c r="L403" i="67"/>
  <c r="L445" i="67"/>
  <c r="L441" i="67"/>
  <c r="L433" i="67"/>
  <c r="L425" i="67"/>
  <c r="L417" i="67"/>
  <c r="L252" i="67"/>
  <c r="L272" i="67"/>
  <c r="L264" i="67"/>
  <c r="L260" i="67"/>
  <c r="L346" i="67"/>
  <c r="L342" i="67"/>
  <c r="L338" i="67"/>
  <c r="L334" i="67"/>
  <c r="L330" i="67"/>
  <c r="L326" i="67"/>
  <c r="L318" i="67"/>
  <c r="L314" i="67"/>
  <c r="L310" i="67"/>
  <c r="L306" i="67"/>
  <c r="L302" i="67"/>
  <c r="L298" i="67"/>
  <c r="L371" i="67"/>
  <c r="L392" i="67"/>
  <c r="L388" i="67"/>
  <c r="L384" i="67"/>
  <c r="L380" i="67"/>
  <c r="L376" i="67"/>
  <c r="L372" i="67"/>
  <c r="L395" i="67"/>
  <c r="L398" i="67"/>
  <c r="L406" i="67"/>
  <c r="L402" i="67"/>
  <c r="L411" i="67"/>
  <c r="L407" i="67"/>
  <c r="L444" i="67"/>
  <c r="L440" i="67"/>
  <c r="L436" i="67"/>
  <c r="L432" i="67"/>
  <c r="L428" i="67"/>
  <c r="L424" i="67"/>
  <c r="L420" i="67"/>
  <c r="L416" i="67"/>
  <c r="L412" i="67"/>
  <c r="L255" i="67"/>
  <c r="L265" i="67"/>
  <c r="L335" i="67"/>
  <c r="L331" i="67"/>
  <c r="L323" i="67"/>
  <c r="L315" i="67"/>
  <c r="L307" i="67"/>
  <c r="L299" i="67"/>
  <c r="L393" i="67"/>
  <c r="L385" i="67"/>
  <c r="L399" i="67"/>
  <c r="L408" i="67"/>
  <c r="L437" i="67"/>
  <c r="L429" i="67"/>
  <c r="L421" i="67"/>
  <c r="L413" i="67"/>
  <c r="L258" i="67"/>
  <c r="L268" i="67"/>
  <c r="L251" i="67"/>
  <c r="L257" i="67"/>
  <c r="L271" i="67"/>
  <c r="L267" i="67"/>
  <c r="L263" i="67"/>
  <c r="L259" i="67"/>
  <c r="L333" i="67"/>
  <c r="L329" i="67"/>
  <c r="L325" i="67"/>
  <c r="L321" i="67"/>
  <c r="L317" i="67"/>
  <c r="L309" i="67"/>
  <c r="L305" i="67"/>
  <c r="L301" i="67"/>
  <c r="L367" i="67"/>
  <c r="L363" i="67"/>
  <c r="L391" i="67"/>
  <c r="L387" i="67"/>
  <c r="L383" i="67"/>
  <c r="L379" i="67"/>
  <c r="L375" i="67"/>
  <c r="L397" i="67"/>
  <c r="L405" i="67"/>
  <c r="L401" i="67"/>
  <c r="L410" i="67"/>
  <c r="L443" i="67"/>
  <c r="L439" i="67"/>
  <c r="L435" i="67"/>
  <c r="L431" i="67"/>
  <c r="L423" i="67"/>
  <c r="L419" i="67"/>
  <c r="B49" i="35"/>
  <c r="B132" i="35"/>
  <c r="B31" i="32"/>
  <c r="B108" i="35"/>
  <c r="B130" i="35"/>
  <c r="B28" i="32"/>
  <c r="B125" i="35"/>
  <c r="A159" i="35" l="1"/>
  <c r="A157" i="35"/>
  <c r="A155" i="35"/>
  <c r="A154" i="35"/>
  <c r="A149" i="35"/>
  <c r="A63" i="46"/>
  <c r="A61" i="46"/>
  <c r="A59" i="46"/>
  <c r="A58" i="46"/>
  <c r="A53" i="46"/>
  <c r="A62" i="51"/>
  <c r="A60" i="51"/>
  <c r="A58" i="51"/>
  <c r="A57" i="51"/>
  <c r="A52" i="51"/>
  <c r="F46" i="32" l="1"/>
  <c r="G31" i="4"/>
  <c r="B7" i="51"/>
  <c r="C7" i="51"/>
  <c r="I5" i="67" l="1"/>
  <c r="I6"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L361" i="67" s="1"/>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C41" i="35"/>
  <c r="L362" i="67" l="1"/>
  <c r="L368" i="67"/>
  <c r="L369" i="67"/>
  <c r="L366" i="67"/>
  <c r="L370" i="67"/>
  <c r="L364" i="67"/>
  <c r="L294" i="67"/>
  <c r="L341" i="67"/>
  <c r="L345" i="67"/>
  <c r="L339" i="67"/>
  <c r="L337" i="67"/>
  <c r="L427" i="67"/>
  <c r="L343" i="67"/>
  <c r="L344" i="67"/>
  <c r="L358" i="67"/>
  <c r="L354" i="67"/>
  <c r="L357" i="67"/>
  <c r="L360" i="67"/>
  <c r="L355" i="67"/>
  <c r="L347" i="67"/>
  <c r="L353" i="67"/>
  <c r="L356" i="67"/>
  <c r="L351" i="67"/>
  <c r="L352" i="67"/>
  <c r="L359" i="67"/>
  <c r="L350" i="67"/>
  <c r="L349" i="67"/>
  <c r="L348" i="67"/>
  <c r="L278" i="67"/>
  <c r="L290" i="67"/>
  <c r="L286" i="67"/>
  <c r="L378" i="67"/>
  <c r="L277" i="67"/>
  <c r="L292" i="67"/>
  <c r="L276" i="67"/>
  <c r="L293" i="67"/>
  <c r="L283" i="67"/>
  <c r="L288" i="67"/>
  <c r="L289" i="67"/>
  <c r="L295" i="67"/>
  <c r="L279" i="67"/>
  <c r="L274" i="67"/>
  <c r="L273" i="67"/>
  <c r="L282" i="67"/>
  <c r="L284" i="67"/>
  <c r="L281" i="67"/>
  <c r="L377" i="67"/>
  <c r="L291" i="67"/>
  <c r="L275" i="67"/>
  <c r="L285" i="67"/>
  <c r="L287" i="67"/>
  <c r="L296" i="67"/>
  <c r="L280" i="67"/>
  <c r="L313" i="67"/>
  <c r="L297" i="67"/>
  <c r="L322" i="67"/>
  <c r="L200" i="67"/>
  <c r="L204" i="67"/>
  <c r="L208" i="67"/>
  <c r="L212" i="67"/>
  <c r="L216" i="67"/>
  <c r="L220" i="67"/>
  <c r="L224" i="67"/>
  <c r="L228" i="67"/>
  <c r="L232" i="67"/>
  <c r="L236" i="67"/>
  <c r="L240" i="67"/>
  <c r="L244" i="67"/>
  <c r="L248" i="67"/>
  <c r="L195" i="67"/>
  <c r="L190" i="67"/>
  <c r="L182" i="67"/>
  <c r="L186" i="67"/>
  <c r="L187" i="67"/>
  <c r="L207" i="67"/>
  <c r="L219" i="67"/>
  <c r="L231" i="67"/>
  <c r="L243" i="67"/>
  <c r="L194" i="67"/>
  <c r="L188" i="67"/>
  <c r="L181" i="67"/>
  <c r="L197" i="67"/>
  <c r="L201" i="67"/>
  <c r="L205" i="67"/>
  <c r="L209" i="67"/>
  <c r="L213" i="67"/>
  <c r="L217" i="67"/>
  <c r="L221" i="67"/>
  <c r="L225" i="67"/>
  <c r="L229" i="67"/>
  <c r="L233" i="67"/>
  <c r="L237" i="67"/>
  <c r="L241" i="67"/>
  <c r="L245" i="67"/>
  <c r="L249" i="67"/>
  <c r="L196" i="67"/>
  <c r="L191" i="67"/>
  <c r="L179" i="67"/>
  <c r="L183" i="67"/>
  <c r="L203" i="67"/>
  <c r="L215" i="67"/>
  <c r="L227" i="67"/>
  <c r="L239" i="67"/>
  <c r="L192" i="67"/>
  <c r="L185" i="67"/>
  <c r="L198" i="67"/>
  <c r="L202" i="67"/>
  <c r="L206" i="67"/>
  <c r="L210" i="67"/>
  <c r="L214" i="67"/>
  <c r="L218" i="67"/>
  <c r="L222" i="67"/>
  <c r="L226" i="67"/>
  <c r="L230" i="67"/>
  <c r="L234" i="67"/>
  <c r="L238" i="67"/>
  <c r="L242" i="67"/>
  <c r="L246" i="67"/>
  <c r="L193" i="67"/>
  <c r="L180" i="67"/>
  <c r="L184" i="67"/>
  <c r="L199" i="67"/>
  <c r="L211" i="67"/>
  <c r="L223" i="67"/>
  <c r="L235" i="67"/>
  <c r="L247" i="67"/>
  <c r="L189" i="67"/>
  <c r="L178" i="67"/>
  <c r="C44" i="32"/>
  <c r="C144" i="35"/>
  <c r="B21" i="35"/>
  <c r="B48" i="35"/>
  <c r="B11" i="35"/>
  <c r="B141" i="35"/>
  <c r="B39" i="35"/>
  <c r="B76" i="35"/>
  <c r="B134" i="35"/>
  <c r="B113" i="35"/>
  <c r="B137" i="35"/>
  <c r="B25" i="35"/>
  <c r="B136" i="35"/>
  <c r="B23" i="35"/>
  <c r="B119" i="35"/>
  <c r="B111" i="35"/>
  <c r="B10" i="35"/>
  <c r="B133" i="35"/>
  <c r="B118" i="35"/>
  <c r="B117" i="35"/>
  <c r="B142" i="35"/>
  <c r="B112" i="35"/>
  <c r="B115" i="35"/>
  <c r="B20" i="35"/>
  <c r="B9" i="35"/>
  <c r="B123" i="35"/>
  <c r="C49" i="32" l="1"/>
  <c r="C52" i="32" s="1"/>
  <c r="F44" i="32"/>
  <c r="F48" i="32" s="1"/>
  <c r="C50" i="35"/>
  <c r="C34" i="33" l="1"/>
  <c r="C27" i="33"/>
  <c r="G38" i="4" s="1"/>
  <c r="E9" i="5"/>
  <c r="E41" i="4"/>
  <c r="A28" i="33" s="1"/>
  <c r="E19" i="4"/>
  <c r="E18" i="4"/>
  <c r="E17" i="4"/>
  <c r="E14" i="4"/>
  <c r="E13" i="4"/>
  <c r="E12" i="4"/>
  <c r="A4" i="51"/>
  <c r="A4" i="5"/>
  <c r="A4" i="4"/>
  <c r="A3" i="4"/>
  <c r="A2" i="4"/>
  <c r="A1" i="4"/>
  <c r="B34" i="68"/>
  <c r="B36" i="68"/>
  <c r="D10" i="75"/>
  <c r="D11" i="74"/>
  <c r="D8" i="74"/>
  <c r="F137" i="73"/>
  <c r="F133" i="73"/>
  <c r="F108" i="73"/>
  <c r="E35" i="73"/>
  <c r="I35" i="73"/>
  <c r="D22" i="73"/>
  <c r="H12" i="73"/>
  <c r="C4" i="73"/>
  <c r="H8" i="73"/>
  <c r="C87" i="72"/>
  <c r="N89" i="72"/>
  <c r="C59" i="72"/>
  <c r="C50" i="72"/>
  <c r="C44" i="72"/>
  <c r="C41" i="72"/>
  <c r="I30" i="72"/>
  <c r="I29" i="72"/>
  <c r="I22" i="72"/>
  <c r="K11" i="72"/>
  <c r="C232" i="71"/>
  <c r="C164" i="72" s="1"/>
  <c r="C231" i="71"/>
  <c r="C163" i="72" s="1"/>
  <c r="C229" i="71"/>
  <c r="F229" i="71" s="1"/>
  <c r="E161" i="72" s="1"/>
  <c r="D192" i="71"/>
  <c r="D43" i="71"/>
  <c r="E19" i="68"/>
  <c r="E18" i="68"/>
  <c r="E17" i="68"/>
  <c r="C17" i="68" s="1"/>
  <c r="F40" i="73" s="1"/>
  <c r="J101" i="71"/>
  <c r="D58" i="71"/>
  <c r="D26" i="71"/>
  <c r="H46" i="71"/>
  <c r="I46" i="71" s="1"/>
  <c r="J39" i="71"/>
  <c r="D42" i="71"/>
  <c r="D41" i="71"/>
  <c r="D12" i="71"/>
  <c r="M5" i="71"/>
  <c r="G100" i="73" l="1"/>
  <c r="H133" i="73" s="1"/>
  <c r="G101" i="73"/>
  <c r="H137" i="73" s="1"/>
  <c r="C161" i="72"/>
  <c r="B2" i="71" l="1"/>
  <c r="B2" i="72" s="1"/>
  <c r="B1" i="71"/>
  <c r="E9" i="70"/>
  <c r="E8" i="70"/>
  <c r="D9" i="70"/>
  <c r="D8" i="70"/>
  <c r="B1" i="70"/>
  <c r="B2" i="70"/>
  <c r="B3" i="70"/>
  <c r="B3" i="71" s="1"/>
  <c r="B3" i="72" s="1"/>
  <c r="C222" i="71" l="1"/>
  <c r="C154" i="72" s="1"/>
  <c r="B1" i="72"/>
  <c r="B249" i="69"/>
  <c r="B248" i="69"/>
  <c r="B247" i="69"/>
  <c r="B246" i="69"/>
  <c r="B240" i="69"/>
  <c r="B239" i="69"/>
  <c r="B237" i="69"/>
  <c r="B236" i="69"/>
  <c r="G237" i="69"/>
  <c r="I245" i="69"/>
  <c r="G245" i="69"/>
  <c r="C63" i="5"/>
  <c r="C62" i="5"/>
  <c r="C61" i="5"/>
  <c r="G60" i="5"/>
  <c r="F60" i="5"/>
  <c r="C60" i="5"/>
  <c r="A59" i="5"/>
  <c r="G58" i="5"/>
  <c r="C155" i="35" s="1"/>
  <c r="F58" i="5"/>
  <c r="B155" i="35" s="1"/>
  <c r="A58" i="5"/>
  <c r="C54" i="5"/>
  <c r="A52" i="5"/>
  <c r="F51" i="4"/>
  <c r="G238" i="69" s="1"/>
  <c r="G56" i="4"/>
  <c r="F58" i="4"/>
  <c r="G58" i="4"/>
  <c r="A57" i="4"/>
  <c r="B245" i="69" s="1"/>
  <c r="A56" i="4"/>
  <c r="B244" i="69" s="1"/>
  <c r="F56" i="4"/>
  <c r="C61" i="4"/>
  <c r="C249" i="69" s="1"/>
  <c r="C60" i="4"/>
  <c r="C59" i="4"/>
  <c r="C58" i="4"/>
  <c r="C246" i="69" s="1"/>
  <c r="C52" i="4"/>
  <c r="C240" i="69" s="1"/>
  <c r="A50" i="4"/>
  <c r="B238" i="69" s="1"/>
  <c r="A148" i="35" l="1"/>
  <c r="A51" i="51"/>
  <c r="A52" i="46"/>
  <c r="A150" i="35"/>
  <c r="A54" i="46"/>
  <c r="A53" i="51"/>
  <c r="A158" i="35"/>
  <c r="A62" i="46"/>
  <c r="A61" i="51"/>
  <c r="A60" i="46"/>
  <c r="A59" i="51"/>
  <c r="A156" i="35"/>
  <c r="C247" i="69"/>
  <c r="D231" i="71"/>
  <c r="D163" i="72" s="1"/>
  <c r="I244" i="69"/>
  <c r="F227" i="71"/>
  <c r="E159" i="72" s="1"/>
  <c r="C248" i="69"/>
  <c r="D232" i="71"/>
  <c r="D164" i="72" s="1"/>
  <c r="I246" i="69"/>
  <c r="F228" i="71"/>
  <c r="E160" i="72" s="1"/>
  <c r="G244" i="69"/>
  <c r="C227" i="71"/>
  <c r="C159" i="72" s="1"/>
  <c r="G246" i="69"/>
  <c r="C228" i="71"/>
  <c r="C160" i="72" s="1"/>
  <c r="H118" i="69"/>
  <c r="D108" i="69"/>
  <c r="D107" i="69"/>
  <c r="D106" i="69"/>
  <c r="D105" i="69"/>
  <c r="H97" i="69" l="1"/>
  <c r="F97" i="69"/>
  <c r="C90" i="69"/>
  <c r="H85" i="69"/>
  <c r="C76" i="69"/>
  <c r="D76" i="69" s="1"/>
  <c r="D75" i="69"/>
  <c r="D74" i="69"/>
  <c r="C15" i="69"/>
  <c r="B3" i="69" l="1"/>
  <c r="B2" i="69"/>
  <c r="B1" i="69"/>
  <c r="C9" i="69" s="1"/>
  <c r="F71" i="78"/>
  <c r="C71" i="78"/>
  <c r="F70" i="78"/>
  <c r="C70" i="78"/>
  <c r="F69" i="78"/>
  <c r="C69" i="78"/>
  <c r="C64" i="78"/>
  <c r="I57" i="78"/>
  <c r="I56" i="78"/>
  <c r="I52" i="78"/>
  <c r="I51" i="78"/>
  <c r="D11" i="78"/>
  <c r="D10" i="78"/>
  <c r="H4" i="78"/>
  <c r="B4" i="78"/>
  <c r="I50" i="78" s="1"/>
  <c r="C67" i="77"/>
  <c r="F64" i="77"/>
  <c r="C64" i="77"/>
  <c r="F63" i="77"/>
  <c r="C63" i="77"/>
  <c r="D45" i="77"/>
  <c r="D43" i="77"/>
  <c r="C32" i="77"/>
  <c r="F29" i="77"/>
  <c r="C29" i="77"/>
  <c r="F28" i="77"/>
  <c r="C28" i="77"/>
  <c r="D10" i="77"/>
  <c r="D8" i="77"/>
  <c r="C3" i="77"/>
  <c r="C38" i="77" s="1"/>
  <c r="C2" i="77"/>
  <c r="C37" i="77" s="1"/>
  <c r="C1" i="77"/>
  <c r="C23" i="77" s="1"/>
  <c r="C23" i="76"/>
  <c r="M23" i="76" s="1"/>
  <c r="V23" i="76" s="1"/>
  <c r="P21" i="76"/>
  <c r="Y21" i="76" s="1"/>
  <c r="M21" i="76"/>
  <c r="V21" i="76" s="1"/>
  <c r="F20" i="76"/>
  <c r="P20" i="76" s="1"/>
  <c r="Y20" i="76" s="1"/>
  <c r="C20" i="76"/>
  <c r="M20" i="76" s="1"/>
  <c r="V20" i="76" s="1"/>
  <c r="F19" i="76"/>
  <c r="P19" i="76" s="1"/>
  <c r="Y19" i="76" s="1"/>
  <c r="C19" i="76"/>
  <c r="M19" i="76" s="1"/>
  <c r="V19" i="76" s="1"/>
  <c r="E11" i="76"/>
  <c r="E9" i="76"/>
  <c r="C3" i="76"/>
  <c r="M3" i="76" s="1"/>
  <c r="V3" i="76" s="1"/>
  <c r="C2" i="76"/>
  <c r="M2" i="76" s="1"/>
  <c r="V2" i="76" s="1"/>
  <c r="C1" i="76"/>
  <c r="C14" i="76" s="1"/>
  <c r="M14" i="76" s="1"/>
  <c r="V14" i="76" s="1"/>
  <c r="C28" i="75"/>
  <c r="C27" i="75"/>
  <c r="F24" i="75"/>
  <c r="C24" i="75"/>
  <c r="F23" i="75"/>
  <c r="C23" i="75"/>
  <c r="X14" i="75"/>
  <c r="X11" i="76" s="1"/>
  <c r="O14" i="75"/>
  <c r="O11" i="76" s="1"/>
  <c r="X13" i="75"/>
  <c r="X9" i="76" s="1"/>
  <c r="O13" i="75"/>
  <c r="O9" i="76" s="1"/>
  <c r="C3" i="75"/>
  <c r="C2" i="75"/>
  <c r="C1" i="75"/>
  <c r="C18" i="75" s="1"/>
  <c r="L208" i="73"/>
  <c r="K208" i="73"/>
  <c r="J208" i="73"/>
  <c r="M208" i="73" s="1"/>
  <c r="M207" i="73"/>
  <c r="M206" i="73"/>
  <c r="M205" i="73"/>
  <c r="M204" i="73"/>
  <c r="M203" i="73"/>
  <c r="M202" i="73"/>
  <c r="M201" i="73"/>
  <c r="M200" i="73"/>
  <c r="M199" i="73"/>
  <c r="G190" i="73"/>
  <c r="K189" i="73"/>
  <c r="I189" i="73"/>
  <c r="I190" i="73" s="1"/>
  <c r="G189" i="73"/>
  <c r="M188" i="73"/>
  <c r="M187" i="73"/>
  <c r="M186" i="73"/>
  <c r="M185" i="73"/>
  <c r="K184" i="73"/>
  <c r="K190" i="73" s="1"/>
  <c r="I184" i="73"/>
  <c r="G184" i="73"/>
  <c r="M183" i="73"/>
  <c r="M182" i="73"/>
  <c r="M184" i="73" s="1"/>
  <c r="M181" i="73"/>
  <c r="K175" i="73"/>
  <c r="I175" i="73"/>
  <c r="M174" i="73"/>
  <c r="M173" i="73"/>
  <c r="M172" i="73"/>
  <c r="M171" i="73"/>
  <c r="M170" i="73"/>
  <c r="M169" i="73"/>
  <c r="M168" i="73"/>
  <c r="M167" i="73"/>
  <c r="K164" i="73"/>
  <c r="I164" i="73"/>
  <c r="J159" i="73"/>
  <c r="H159" i="73"/>
  <c r="F159" i="73"/>
  <c r="L158" i="73"/>
  <c r="L157" i="73"/>
  <c r="L159" i="73" s="1"/>
  <c r="L156" i="73"/>
  <c r="J154" i="73"/>
  <c r="H154" i="73"/>
  <c r="F154" i="73"/>
  <c r="L153" i="73"/>
  <c r="L154" i="73" s="1"/>
  <c r="L152" i="73"/>
  <c r="J150" i="73"/>
  <c r="H150" i="73"/>
  <c r="F150" i="73"/>
  <c r="L149" i="73"/>
  <c r="L148" i="73"/>
  <c r="L147" i="73"/>
  <c r="K137" i="73"/>
  <c r="C136" i="73"/>
  <c r="K133" i="73"/>
  <c r="C122" i="73"/>
  <c r="K94" i="73"/>
  <c r="K93" i="73"/>
  <c r="K92" i="73"/>
  <c r="G92" i="73"/>
  <c r="M92" i="73" s="1"/>
  <c r="J90" i="73"/>
  <c r="J91" i="73" s="1"/>
  <c r="I90" i="73"/>
  <c r="I91" i="73" s="1"/>
  <c r="F90" i="73"/>
  <c r="F91" i="73" s="1"/>
  <c r="E90" i="73"/>
  <c r="E91" i="73" s="1"/>
  <c r="E95" i="73" s="1"/>
  <c r="K89" i="73"/>
  <c r="G89" i="73"/>
  <c r="M89" i="73" s="1"/>
  <c r="K88" i="73"/>
  <c r="M88" i="73" s="1"/>
  <c r="G88" i="73"/>
  <c r="K87" i="73"/>
  <c r="G87" i="73"/>
  <c r="M86" i="73"/>
  <c r="K86" i="73"/>
  <c r="G86" i="73"/>
  <c r="K84" i="73"/>
  <c r="M84" i="73" s="1"/>
  <c r="G84" i="73"/>
  <c r="K83" i="73"/>
  <c r="G83" i="73"/>
  <c r="M83" i="73" s="1"/>
  <c r="K78" i="73"/>
  <c r="G78" i="73"/>
  <c r="K74" i="73"/>
  <c r="M74" i="73" s="1"/>
  <c r="G74" i="73"/>
  <c r="K72" i="73"/>
  <c r="G72" i="73"/>
  <c r="M72" i="73" s="1"/>
  <c r="K71" i="73"/>
  <c r="M71" i="73" s="1"/>
  <c r="G71" i="73"/>
  <c r="J68" i="73"/>
  <c r="I68" i="73"/>
  <c r="F68" i="73"/>
  <c r="E68" i="73"/>
  <c r="M67" i="73"/>
  <c r="K67" i="73"/>
  <c r="G67" i="73"/>
  <c r="K65" i="73"/>
  <c r="G65" i="73"/>
  <c r="K64" i="73"/>
  <c r="M64" i="73" s="1"/>
  <c r="G64" i="73"/>
  <c r="K63" i="73"/>
  <c r="G63" i="73"/>
  <c r="K61" i="73"/>
  <c r="G61" i="73"/>
  <c r="M61" i="73" s="1"/>
  <c r="K60" i="73"/>
  <c r="G60" i="73"/>
  <c r="K59" i="73"/>
  <c r="M59" i="73" s="1"/>
  <c r="G59" i="73"/>
  <c r="K58" i="73"/>
  <c r="G58" i="73"/>
  <c r="M57" i="73"/>
  <c r="K57" i="73"/>
  <c r="G57" i="73"/>
  <c r="E53" i="73"/>
  <c r="J52" i="73"/>
  <c r="I52" i="73"/>
  <c r="I53" i="73" s="1"/>
  <c r="F52" i="73"/>
  <c r="E52" i="73"/>
  <c r="K51" i="73"/>
  <c r="M51" i="73" s="1"/>
  <c r="G51" i="73"/>
  <c r="M50" i="73"/>
  <c r="K50" i="73"/>
  <c r="G50" i="73"/>
  <c r="K49" i="73"/>
  <c r="M49" i="73" s="1"/>
  <c r="G49" i="73"/>
  <c r="K48" i="73"/>
  <c r="K52" i="73" s="1"/>
  <c r="G48" i="73"/>
  <c r="M48" i="73" s="1"/>
  <c r="I46" i="73"/>
  <c r="F46" i="73"/>
  <c r="E46" i="73"/>
  <c r="M45" i="73"/>
  <c r="K45" i="73"/>
  <c r="G45" i="73"/>
  <c r="K44" i="73"/>
  <c r="M44" i="73" s="1"/>
  <c r="G44" i="73"/>
  <c r="K43" i="73"/>
  <c r="G43" i="73"/>
  <c r="M43" i="73" s="1"/>
  <c r="K42" i="73"/>
  <c r="G42" i="73"/>
  <c r="K41" i="73"/>
  <c r="M41" i="73" s="1"/>
  <c r="G41" i="73"/>
  <c r="G40" i="73"/>
  <c r="H10" i="73"/>
  <c r="C9" i="73"/>
  <c r="C10" i="73" s="1"/>
  <c r="C11" i="73" s="1"/>
  <c r="C12" i="73" s="1"/>
  <c r="C14" i="73" s="1"/>
  <c r="C15" i="73" s="1"/>
  <c r="E72" i="72"/>
  <c r="F72" i="72" s="1"/>
  <c r="G72" i="72" s="1"/>
  <c r="F71" i="72"/>
  <c r="G71" i="72" s="1"/>
  <c r="C8" i="72"/>
  <c r="C221" i="71"/>
  <c r="C153" i="72" s="1"/>
  <c r="D9" i="71"/>
  <c r="D7" i="71"/>
  <c r="B25" i="70"/>
  <c r="B24" i="70"/>
  <c r="D22" i="70"/>
  <c r="B22" i="70"/>
  <c r="D21" i="70"/>
  <c r="B21" i="70"/>
  <c r="D20" i="70"/>
  <c r="B20" i="70"/>
  <c r="B14" i="70"/>
  <c r="B13" i="70"/>
  <c r="B5" i="70"/>
  <c r="E174" i="71"/>
  <c r="F85" i="69"/>
  <c r="B12" i="69"/>
  <c r="C49" i="68"/>
  <c r="C46" i="68"/>
  <c r="C42" i="68"/>
  <c r="G41" i="68"/>
  <c r="F41" i="68"/>
  <c r="H8" i="78" s="1"/>
  <c r="I59" i="78" s="1"/>
  <c r="C41" i="68"/>
  <c r="C68" i="77" s="1"/>
  <c r="E13" i="68"/>
  <c r="H9" i="73" s="1"/>
  <c r="E8" i="68"/>
  <c r="C8" i="68"/>
  <c r="B6" i="68"/>
  <c r="L39" i="71" s="1"/>
  <c r="G5" i="68"/>
  <c r="F5" i="68"/>
  <c r="E5" i="68"/>
  <c r="G4" i="68" s="1"/>
  <c r="D5" i="68"/>
  <c r="C5" i="68"/>
  <c r="F4" i="68"/>
  <c r="E4" i="68"/>
  <c r="D4" i="68"/>
  <c r="C4" i="68"/>
  <c r="Z2" i="68"/>
  <c r="Z3" i="68" s="1"/>
  <c r="Z4" i="68" s="1"/>
  <c r="Z5" i="68" s="1"/>
  <c r="Z8" i="68" s="1"/>
  <c r="Z9" i="68" s="1"/>
  <c r="Z10" i="68" s="1"/>
  <c r="Z11" i="68" s="1"/>
  <c r="Z12" i="68" s="1"/>
  <c r="Z13" i="68" s="1"/>
  <c r="Z14" i="68" s="1"/>
  <c r="Z15" i="68" s="1"/>
  <c r="Z29" i="68" s="1"/>
  <c r="Z30" i="68" s="1"/>
  <c r="Z31" i="68" s="1"/>
  <c r="Z32" i="68" s="1"/>
  <c r="Z33" i="68" s="1"/>
  <c r="Z34" i="68" s="1"/>
  <c r="Z35" i="68" s="1"/>
  <c r="Z36" i="68" s="1"/>
  <c r="Z37" i="68" s="1"/>
  <c r="Z38" i="68" s="1"/>
  <c r="Z39" i="68" s="1"/>
  <c r="Z40" i="68" s="1"/>
  <c r="Z41" i="68" s="1"/>
  <c r="Z42" i="68" s="1"/>
  <c r="Z43" i="68" s="1"/>
  <c r="Z44" i="68" s="1"/>
  <c r="Z45" i="68" s="1"/>
  <c r="Z46" i="68" s="1"/>
  <c r="Z47" i="68" s="1"/>
  <c r="Z48" i="68" s="1"/>
  <c r="Z49" i="68" s="1"/>
  <c r="Z50" i="68" s="1"/>
  <c r="Z51" i="68" s="1"/>
  <c r="Z52" i="68" s="1"/>
  <c r="Z53" i="68" s="1"/>
  <c r="Z54" i="68" s="1"/>
  <c r="Z55" i="68" s="1"/>
  <c r="Z56" i="68" s="1"/>
  <c r="Z57" i="68" s="1"/>
  <c r="Z58" i="68" s="1"/>
  <c r="Z59" i="68" s="1"/>
  <c r="Z63" i="68" s="1"/>
  <c r="Z64" i="68" s="1"/>
  <c r="Z65" i="68" s="1"/>
  <c r="Z66" i="68" s="1"/>
  <c r="Z67" i="68" s="1"/>
  <c r="Z68" i="68" s="1"/>
  <c r="Z69" i="68" s="1"/>
  <c r="Z70" i="68" s="1"/>
  <c r="Z71" i="68" s="1"/>
  <c r="Z72" i="68" s="1"/>
  <c r="M175" i="73" l="1"/>
  <c r="G46" i="73"/>
  <c r="G53" i="73" s="1"/>
  <c r="G68" i="73"/>
  <c r="F139" i="73"/>
  <c r="F110" i="73"/>
  <c r="F135" i="73"/>
  <c r="M42" i="73"/>
  <c r="G52" i="73"/>
  <c r="L150" i="73"/>
  <c r="M189" i="73"/>
  <c r="M190" i="73" s="1"/>
  <c r="M191" i="73" s="1"/>
  <c r="C52" i="77"/>
  <c r="F53" i="73"/>
  <c r="F95" i="73" s="1"/>
  <c r="D151" i="71"/>
  <c r="D38" i="71"/>
  <c r="C36" i="77"/>
  <c r="M1" i="76"/>
  <c r="V1" i="76" s="1"/>
  <c r="G8" i="68"/>
  <c r="D46" i="68"/>
  <c r="C17" i="77" s="1"/>
  <c r="C58" i="77"/>
  <c r="D71" i="72"/>
  <c r="D132" i="73"/>
  <c r="D41" i="68"/>
  <c r="M60" i="73"/>
  <c r="G90" i="73"/>
  <c r="K90" i="73"/>
  <c r="M78" i="73"/>
  <c r="H5" i="77"/>
  <c r="H40" i="77" s="1"/>
  <c r="M63" i="73"/>
  <c r="I95" i="73"/>
  <c r="C33" i="77"/>
  <c r="C24" i="76"/>
  <c r="M24" i="76" s="1"/>
  <c r="V24" i="76" s="1"/>
  <c r="D136" i="73"/>
  <c r="D72" i="72"/>
  <c r="E175" i="71"/>
  <c r="M52" i="73"/>
  <c r="K68" i="73"/>
  <c r="D100" i="71"/>
  <c r="F8" i="68"/>
  <c r="C20" i="78" s="1"/>
  <c r="C17" i="71"/>
  <c r="M58" i="73"/>
  <c r="M65" i="73"/>
  <c r="M87" i="73"/>
  <c r="C10" i="72"/>
  <c r="C88" i="72" l="1"/>
  <c r="N90" i="72"/>
  <c r="C6" i="76"/>
  <c r="M6" i="76" s="1"/>
  <c r="V6" i="76" s="1"/>
  <c r="C7" i="75"/>
  <c r="M90" i="73"/>
  <c r="K91" i="73"/>
  <c r="M68" i="73"/>
  <c r="G91" i="73"/>
  <c r="M91" i="73" l="1"/>
  <c r="G95" i="73"/>
  <c r="H91" i="73" l="1"/>
  <c r="H108" i="73"/>
  <c r="J137" i="73"/>
  <c r="J125" i="73"/>
  <c r="J123" i="73"/>
  <c r="H87" i="73"/>
  <c r="H78" i="73"/>
  <c r="H63" i="73"/>
  <c r="H58" i="73"/>
  <c r="H51" i="73"/>
  <c r="H42" i="73"/>
  <c r="J133" i="73"/>
  <c r="J119" i="73"/>
  <c r="H86" i="73"/>
  <c r="H74" i="73"/>
  <c r="H67" i="73"/>
  <c r="H61" i="73"/>
  <c r="H57" i="73"/>
  <c r="H50" i="73"/>
  <c r="H45" i="73"/>
  <c r="H41" i="73"/>
  <c r="J124" i="73"/>
  <c r="H101" i="73"/>
  <c r="J120" i="73"/>
  <c r="H71" i="73"/>
  <c r="H88" i="73"/>
  <c r="H59" i="73"/>
  <c r="H100" i="73"/>
  <c r="H92" i="73"/>
  <c r="H83" i="73"/>
  <c r="J118" i="73"/>
  <c r="H64" i="73"/>
  <c r="H48" i="73"/>
  <c r="H43" i="73"/>
  <c r="H44" i="73"/>
  <c r="H52" i="73"/>
  <c r="H60" i="73"/>
  <c r="H40" i="73"/>
  <c r="H49" i="73"/>
  <c r="H68" i="73"/>
  <c r="H72" i="73"/>
  <c r="H46" i="73"/>
  <c r="H84" i="73"/>
  <c r="H89" i="73"/>
  <c r="H65" i="73"/>
  <c r="H53" i="73"/>
  <c r="H90" i="73"/>
  <c r="H95" i="73" l="1"/>
  <c r="K108" i="73"/>
  <c r="D100" i="73" l="1"/>
  <c r="D101" i="73"/>
  <c r="F6" i="4"/>
  <c r="B65" i="33" l="1"/>
  <c r="B74" i="33"/>
  <c r="C6" i="51"/>
  <c r="E6" i="51"/>
  <c r="K133" i="64"/>
  <c r="K120" i="64"/>
  <c r="K109" i="64"/>
  <c r="K102" i="64"/>
  <c r="K89" i="64"/>
  <c r="K223" i="64"/>
  <c r="K222" i="64"/>
  <c r="K220" i="64"/>
  <c r="F44" i="61"/>
  <c r="E44" i="61"/>
  <c r="D44" i="61"/>
  <c r="C44" i="61"/>
  <c r="B44" i="61"/>
  <c r="C43" i="33"/>
  <c r="C68" i="32"/>
  <c r="C55" i="32"/>
  <c r="K299" i="64"/>
  <c r="B53" i="32"/>
  <c r="H49" i="46"/>
  <c r="G49" i="46"/>
  <c r="E49" i="46"/>
  <c r="D49" i="46"/>
  <c r="C49" i="46"/>
  <c r="K46" i="46"/>
  <c r="I46" i="46"/>
  <c r="F46" i="46"/>
  <c r="J46" i="46" l="1"/>
  <c r="C30" i="35" l="1"/>
  <c r="J101" i="73" l="1"/>
  <c r="J42" i="71"/>
  <c r="F9" i="70"/>
  <c r="J41" i="71"/>
  <c r="F8" i="70"/>
  <c r="H47" i="71"/>
  <c r="H48" i="71"/>
  <c r="I48" i="71" s="1"/>
  <c r="C90" i="35"/>
  <c r="G19" i="5" s="1"/>
  <c r="K287" i="64"/>
  <c r="B63" i="35"/>
  <c r="C66" i="35"/>
  <c r="C60" i="35"/>
  <c r="K260" i="64"/>
  <c r="K259" i="64"/>
  <c r="K258" i="64"/>
  <c r="K249" i="64"/>
  <c r="K250" i="64"/>
  <c r="K248" i="64"/>
  <c r="K247" i="64"/>
  <c r="K241" i="64"/>
  <c r="K242" i="64"/>
  <c r="K243" i="64"/>
  <c r="K244" i="64"/>
  <c r="K245" i="64"/>
  <c r="K246" i="64"/>
  <c r="K240" i="64"/>
  <c r="K234" i="64"/>
  <c r="K235" i="64"/>
  <c r="K236" i="64"/>
  <c r="K237" i="64"/>
  <c r="K238" i="64"/>
  <c r="K239" i="64"/>
  <c r="K233" i="64"/>
  <c r="K231" i="64"/>
  <c r="K232" i="64"/>
  <c r="K230" i="64"/>
  <c r="K229" i="64"/>
  <c r="K226" i="64"/>
  <c r="K227" i="64"/>
  <c r="K228" i="64"/>
  <c r="K224" i="64"/>
  <c r="K221" i="64"/>
  <c r="K204" i="64"/>
  <c r="K205" i="64"/>
  <c r="K206" i="64"/>
  <c r="K207" i="64"/>
  <c r="K208" i="64"/>
  <c r="K209" i="64"/>
  <c r="K210" i="64"/>
  <c r="K211" i="64"/>
  <c r="K212" i="64"/>
  <c r="K213" i="64"/>
  <c r="K214" i="64"/>
  <c r="K215" i="64"/>
  <c r="K216" i="64"/>
  <c r="K217" i="64"/>
  <c r="K218" i="64"/>
  <c r="K203" i="64"/>
  <c r="K219" i="64"/>
  <c r="K201" i="64"/>
  <c r="K202" i="64"/>
  <c r="K200" i="64"/>
  <c r="K199" i="64"/>
  <c r="K185" i="64"/>
  <c r="K182" i="64"/>
  <c r="K181" i="64"/>
  <c r="K158" i="64"/>
  <c r="K162" i="64"/>
  <c r="K159" i="64"/>
  <c r="K157" i="64"/>
  <c r="K74" i="64"/>
  <c r="K72" i="64"/>
  <c r="K71" i="64"/>
  <c r="K70" i="64"/>
  <c r="K69" i="64"/>
  <c r="K135" i="64"/>
  <c r="K136" i="64"/>
  <c r="K137" i="64"/>
  <c r="K138" i="64"/>
  <c r="K139" i="64"/>
  <c r="K140" i="64"/>
  <c r="K141" i="64"/>
  <c r="K142" i="64"/>
  <c r="K143" i="64"/>
  <c r="K144" i="64"/>
  <c r="K145" i="64"/>
  <c r="K146" i="64"/>
  <c r="K147" i="64"/>
  <c r="K148" i="64"/>
  <c r="K149" i="64"/>
  <c r="K150" i="64"/>
  <c r="K151" i="64"/>
  <c r="K152" i="64"/>
  <c r="K153" i="64"/>
  <c r="K154" i="64"/>
  <c r="K155" i="64"/>
  <c r="K134" i="64"/>
  <c r="K122" i="64"/>
  <c r="K54" i="64"/>
  <c r="K114" i="64"/>
  <c r="K106" i="64"/>
  <c r="K97" i="64"/>
  <c r="K62" i="64"/>
  <c r="K50" i="64"/>
  <c r="K49" i="64"/>
  <c r="K45" i="64"/>
  <c r="K46" i="64"/>
  <c r="K47" i="64"/>
  <c r="K48" i="64"/>
  <c r="K44"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18" i="64"/>
  <c r="I21" i="72" l="1"/>
  <c r="F43" i="66"/>
  <c r="F10" i="70"/>
  <c r="J100" i="73"/>
  <c r="J40" i="73"/>
  <c r="L41" i="71"/>
  <c r="K41" i="71"/>
  <c r="H138" i="73"/>
  <c r="M101" i="73"/>
  <c r="L42" i="71"/>
  <c r="K42" i="71"/>
  <c r="I47" i="71"/>
  <c r="H49" i="71"/>
  <c r="I49" i="71" s="1"/>
  <c r="C68" i="35"/>
  <c r="L117" i="64"/>
  <c r="L93" i="64"/>
  <c r="L73" i="64"/>
  <c r="L61" i="64"/>
  <c r="L53" i="64"/>
  <c r="I6" i="64"/>
  <c r="L6" i="64" s="1"/>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I98" i="64"/>
  <c r="I99" i="64"/>
  <c r="I100" i="64"/>
  <c r="I101" i="64"/>
  <c r="I102" i="64"/>
  <c r="I103" i="64"/>
  <c r="I104" i="64"/>
  <c r="I105" i="64"/>
  <c r="I106" i="64"/>
  <c r="I107" i="64"/>
  <c r="I108" i="64"/>
  <c r="I109" i="64"/>
  <c r="I110" i="64"/>
  <c r="I111" i="64"/>
  <c r="I112" i="64"/>
  <c r="I113" i="64"/>
  <c r="I114" i="64"/>
  <c r="I115" i="64"/>
  <c r="I116" i="64"/>
  <c r="I117" i="64"/>
  <c r="I118" i="64"/>
  <c r="I119" i="64"/>
  <c r="I120" i="64"/>
  <c r="I121" i="64"/>
  <c r="I122" i="64"/>
  <c r="I123" i="64"/>
  <c r="I124" i="64"/>
  <c r="I125" i="64"/>
  <c r="I126" i="64"/>
  <c r="I127" i="64"/>
  <c r="I128" i="64"/>
  <c r="I129" i="64"/>
  <c r="I130" i="64"/>
  <c r="I131" i="64"/>
  <c r="I132" i="64"/>
  <c r="I133" i="64"/>
  <c r="I134" i="64"/>
  <c r="I135" i="64"/>
  <c r="I136" i="64"/>
  <c r="I137" i="64"/>
  <c r="I138" i="64"/>
  <c r="I139" i="64"/>
  <c r="I140" i="64"/>
  <c r="I141" i="64"/>
  <c r="I142" i="64"/>
  <c r="I143" i="64"/>
  <c r="I144" i="64"/>
  <c r="I145" i="64"/>
  <c r="I146" i="64"/>
  <c r="I147" i="64"/>
  <c r="I148" i="64"/>
  <c r="I149" i="64"/>
  <c r="I150" i="64"/>
  <c r="I151" i="64"/>
  <c r="I152" i="64"/>
  <c r="I153" i="64"/>
  <c r="I154" i="64"/>
  <c r="I155" i="64"/>
  <c r="I156" i="64"/>
  <c r="I157" i="64"/>
  <c r="I158" i="64"/>
  <c r="I159" i="64"/>
  <c r="I160" i="64"/>
  <c r="I161" i="64"/>
  <c r="I162" i="64"/>
  <c r="I163" i="64"/>
  <c r="I164" i="64"/>
  <c r="I165" i="64"/>
  <c r="I166" i="64"/>
  <c r="I167" i="64"/>
  <c r="I168" i="64"/>
  <c r="I169" i="64"/>
  <c r="I170" i="64"/>
  <c r="I171" i="64"/>
  <c r="I172" i="64"/>
  <c r="I173" i="64"/>
  <c r="I174" i="64"/>
  <c r="I175" i="64"/>
  <c r="I176" i="64"/>
  <c r="I177" i="64"/>
  <c r="I178" i="64"/>
  <c r="I179" i="64"/>
  <c r="L179" i="64" s="1"/>
  <c r="I180" i="64"/>
  <c r="I181" i="64"/>
  <c r="I182" i="64"/>
  <c r="I183" i="64"/>
  <c r="I184" i="64"/>
  <c r="I185" i="64"/>
  <c r="I186" i="64"/>
  <c r="I187" i="64"/>
  <c r="I188" i="64"/>
  <c r="I189" i="64"/>
  <c r="I190" i="64"/>
  <c r="I191" i="64"/>
  <c r="I192" i="64"/>
  <c r="I193" i="64"/>
  <c r="I194" i="64"/>
  <c r="I195" i="64"/>
  <c r="I196" i="64"/>
  <c r="I197" i="64"/>
  <c r="I198" i="64"/>
  <c r="I199" i="64"/>
  <c r="I200" i="64"/>
  <c r="I201" i="64"/>
  <c r="I202" i="64"/>
  <c r="I203" i="64"/>
  <c r="I204" i="64"/>
  <c r="I205" i="64"/>
  <c r="I206" i="64"/>
  <c r="I207" i="64"/>
  <c r="I208" i="64"/>
  <c r="I209" i="64"/>
  <c r="I210" i="64"/>
  <c r="I211" i="64"/>
  <c r="I212" i="64"/>
  <c r="I213" i="64"/>
  <c r="I214" i="64"/>
  <c r="I215" i="64"/>
  <c r="I216" i="64"/>
  <c r="I217" i="64"/>
  <c r="I218" i="64"/>
  <c r="I219" i="64"/>
  <c r="I220" i="64"/>
  <c r="I221" i="64"/>
  <c r="I222" i="64"/>
  <c r="I223" i="64"/>
  <c r="I224" i="64"/>
  <c r="I225" i="64"/>
  <c r="I226" i="64"/>
  <c r="I227" i="64"/>
  <c r="I228" i="64"/>
  <c r="I229" i="64"/>
  <c r="L229" i="64" s="1"/>
  <c r="I230" i="64"/>
  <c r="I231" i="64"/>
  <c r="I232" i="64"/>
  <c r="I233" i="64"/>
  <c r="I234" i="64"/>
  <c r="I235" i="64"/>
  <c r="I236" i="64"/>
  <c r="I237" i="64"/>
  <c r="I238" i="64"/>
  <c r="I239" i="64"/>
  <c r="I240" i="64"/>
  <c r="I241" i="64"/>
  <c r="I242" i="64"/>
  <c r="I243" i="64"/>
  <c r="I244" i="64"/>
  <c r="I245" i="64"/>
  <c r="I246" i="64"/>
  <c r="I247" i="64"/>
  <c r="L247" i="64" s="1"/>
  <c r="I248" i="64"/>
  <c r="I249" i="64"/>
  <c r="I250" i="64"/>
  <c r="I251" i="64"/>
  <c r="I252" i="64"/>
  <c r="I253" i="64"/>
  <c r="I254" i="64"/>
  <c r="L254" i="64" s="1"/>
  <c r="I255" i="64"/>
  <c r="L255" i="64" s="1"/>
  <c r="I256" i="64"/>
  <c r="I257" i="64"/>
  <c r="I258" i="64"/>
  <c r="L258" i="64" s="1"/>
  <c r="I259" i="64"/>
  <c r="I260" i="64"/>
  <c r="I261" i="64"/>
  <c r="I262" i="64"/>
  <c r="I263" i="64"/>
  <c r="I264" i="64"/>
  <c r="I265" i="64"/>
  <c r="I266" i="64"/>
  <c r="I267" i="64"/>
  <c r="I268" i="64"/>
  <c r="I269" i="64"/>
  <c r="I270" i="64"/>
  <c r="L270" i="64" s="1"/>
  <c r="I271" i="64"/>
  <c r="I272" i="64"/>
  <c r="L272" i="64" s="1"/>
  <c r="I273" i="64"/>
  <c r="I274" i="64"/>
  <c r="I275" i="64"/>
  <c r="I276" i="64"/>
  <c r="I277" i="64"/>
  <c r="I278" i="64"/>
  <c r="L278" i="64" s="1"/>
  <c r="I279" i="64"/>
  <c r="I280" i="64"/>
  <c r="I281" i="64"/>
  <c r="L281" i="64" s="1"/>
  <c r="I282" i="64"/>
  <c r="L282" i="64" s="1"/>
  <c r="I283" i="64"/>
  <c r="I284" i="64"/>
  <c r="I285" i="64"/>
  <c r="I286" i="64"/>
  <c r="I287" i="64"/>
  <c r="I288" i="64"/>
  <c r="I289" i="64"/>
  <c r="I290" i="64"/>
  <c r="L290" i="64" s="1"/>
  <c r="I291" i="64"/>
  <c r="I292" i="64"/>
  <c r="I293" i="64"/>
  <c r="L293" i="64" s="1"/>
  <c r="I294" i="64"/>
  <c r="I295" i="64"/>
  <c r="I296" i="64"/>
  <c r="I297" i="64"/>
  <c r="I5" i="64"/>
  <c r="F38" i="66"/>
  <c r="F75" i="66"/>
  <c r="F70" i="66" s="1"/>
  <c r="E75" i="66"/>
  <c r="E70" i="66" s="1"/>
  <c r="F42" i="66"/>
  <c r="L94" i="64" l="1"/>
  <c r="L75" i="64"/>
  <c r="L91" i="64"/>
  <c r="L107" i="64"/>
  <c r="L123" i="64"/>
  <c r="L183" i="64"/>
  <c r="L60" i="64"/>
  <c r="L80" i="64"/>
  <c r="L96" i="64"/>
  <c r="L112" i="64"/>
  <c r="L132" i="64"/>
  <c r="L180" i="64"/>
  <c r="L301" i="64"/>
  <c r="L161" i="64"/>
  <c r="L78" i="64"/>
  <c r="L126" i="64"/>
  <c r="L55" i="64"/>
  <c r="L260" i="64"/>
  <c r="L57" i="64"/>
  <c r="L77" i="64"/>
  <c r="L101" i="64"/>
  <c r="L121" i="64"/>
  <c r="L165" i="64"/>
  <c r="L82" i="64"/>
  <c r="L98" i="64"/>
  <c r="L130" i="64"/>
  <c r="L59" i="64"/>
  <c r="L79" i="64"/>
  <c r="L95" i="64"/>
  <c r="L111" i="64"/>
  <c r="L127" i="64"/>
  <c r="L8" i="64"/>
  <c r="L64" i="64"/>
  <c r="L84" i="64"/>
  <c r="L100" i="64"/>
  <c r="L116" i="64"/>
  <c r="L156" i="64"/>
  <c r="L184" i="64"/>
  <c r="L105" i="64"/>
  <c r="L58" i="64"/>
  <c r="L110" i="64"/>
  <c r="L63" i="64"/>
  <c r="L83" i="64"/>
  <c r="L99" i="64"/>
  <c r="L115" i="64"/>
  <c r="L131" i="64"/>
  <c r="L52" i="64"/>
  <c r="L68" i="64"/>
  <c r="L88" i="64"/>
  <c r="L104" i="64"/>
  <c r="L124" i="64"/>
  <c r="L160" i="64"/>
  <c r="L5" i="64"/>
  <c r="L81" i="64"/>
  <c r="L125" i="64"/>
  <c r="L86" i="64"/>
  <c r="L7" i="64"/>
  <c r="L50" i="64"/>
  <c r="L65" i="64"/>
  <c r="L85" i="64"/>
  <c r="L113" i="64"/>
  <c r="L129" i="64"/>
  <c r="L66" i="64"/>
  <c r="L90" i="64"/>
  <c r="L118" i="64"/>
  <c r="L51" i="64"/>
  <c r="L67" i="64"/>
  <c r="L87" i="64"/>
  <c r="L103" i="64"/>
  <c r="L119" i="64"/>
  <c r="L163" i="64"/>
  <c r="L56" i="64"/>
  <c r="L76" i="64"/>
  <c r="L92" i="64"/>
  <c r="L108" i="64"/>
  <c r="L128" i="64"/>
  <c r="L164" i="64"/>
  <c r="M42" i="71"/>
  <c r="H139" i="73"/>
  <c r="K138" i="73"/>
  <c r="H134" i="73"/>
  <c r="M100" i="73"/>
  <c r="K40" i="73"/>
  <c r="J46" i="73"/>
  <c r="J53" i="73" s="1"/>
  <c r="J95" i="73" s="1"/>
  <c r="M41" i="71"/>
  <c r="L200" i="64"/>
  <c r="L54" i="64"/>
  <c r="L201" i="64"/>
  <c r="L185" i="64"/>
  <c r="L159" i="64"/>
  <c r="L9" i="64"/>
  <c r="L262" i="64"/>
  <c r="L284" i="64"/>
  <c r="L279" i="64"/>
  <c r="L97" i="64"/>
  <c r="L294" i="64"/>
  <c r="L295" i="64"/>
  <c r="L249" i="64"/>
  <c r="L47" i="64"/>
  <c r="L13" i="64"/>
  <c r="L291" i="64"/>
  <c r="L276" i="64"/>
  <c r="L271" i="64"/>
  <c r="L263" i="64"/>
  <c r="L287" i="64"/>
  <c r="L251" i="64"/>
  <c r="L212" i="64"/>
  <c r="L145" i="64"/>
  <c r="L109" i="64"/>
  <c r="L41" i="64"/>
  <c r="L15" i="64"/>
  <c r="L11" i="64"/>
  <c r="L265" i="64"/>
  <c r="L283" i="64"/>
  <c r="L230" i="64"/>
  <c r="L196" i="64"/>
  <c r="L175" i="64"/>
  <c r="L148" i="64"/>
  <c r="L228" i="64"/>
  <c r="L36" i="64"/>
  <c r="L257" i="64"/>
  <c r="L239" i="64"/>
  <c r="L89" i="64"/>
  <c r="L102" i="64"/>
  <c r="L268" i="64"/>
  <c r="L240" i="64"/>
  <c r="L29" i="64"/>
  <c r="L141" i="64"/>
  <c r="L157" i="64"/>
  <c r="L173" i="64"/>
  <c r="L189" i="64"/>
  <c r="L205" i="64"/>
  <c r="L221" i="64"/>
  <c r="L253" i="64"/>
  <c r="L269" i="64"/>
  <c r="L289" i="64"/>
  <c r="L10" i="64"/>
  <c r="L26" i="64"/>
  <c r="L42" i="64"/>
  <c r="L74" i="64"/>
  <c r="L106" i="64"/>
  <c r="L122" i="64"/>
  <c r="L138" i="64"/>
  <c r="L154" i="64"/>
  <c r="L170" i="64"/>
  <c r="L186" i="64"/>
  <c r="L202" i="64"/>
  <c r="L218" i="64"/>
  <c r="L250" i="64"/>
  <c r="L266" i="64"/>
  <c r="L267" i="64"/>
  <c r="L280" i="64"/>
  <c r="L19" i="64"/>
  <c r="L35" i="64"/>
  <c r="L147" i="64"/>
  <c r="L195" i="64"/>
  <c r="L211" i="64"/>
  <c r="L227" i="64"/>
  <c r="L24" i="64"/>
  <c r="L40" i="64"/>
  <c r="L72" i="64"/>
  <c r="L120" i="64"/>
  <c r="L136" i="64"/>
  <c r="L152" i="64"/>
  <c r="L168" i="64"/>
  <c r="L216" i="64"/>
  <c r="L248" i="64"/>
  <c r="L264" i="64"/>
  <c r="L288" i="64"/>
  <c r="L292" i="64"/>
  <c r="L296" i="64"/>
  <c r="L241" i="64"/>
  <c r="L17" i="64"/>
  <c r="L33" i="64"/>
  <c r="L177" i="64"/>
  <c r="L193" i="64"/>
  <c r="L209" i="64"/>
  <c r="L225" i="64"/>
  <c r="L273" i="64"/>
  <c r="L14" i="64"/>
  <c r="L30" i="64"/>
  <c r="L46" i="64"/>
  <c r="L62" i="64"/>
  <c r="L142" i="64"/>
  <c r="L158" i="64"/>
  <c r="L174" i="64"/>
  <c r="L190" i="64"/>
  <c r="L206" i="64"/>
  <c r="L286" i="64"/>
  <c r="L275" i="64"/>
  <c r="L23" i="64"/>
  <c r="L39" i="64"/>
  <c r="L71" i="64"/>
  <c r="L135" i="64"/>
  <c r="L151" i="64"/>
  <c r="L167" i="64"/>
  <c r="L199" i="64"/>
  <c r="L215" i="64"/>
  <c r="L231" i="64"/>
  <c r="L259" i="64"/>
  <c r="L12" i="64"/>
  <c r="L28" i="64"/>
  <c r="L44" i="64"/>
  <c r="L140" i="64"/>
  <c r="L172" i="64"/>
  <c r="L188" i="64"/>
  <c r="L204" i="64"/>
  <c r="L252" i="64"/>
  <c r="L242" i="64"/>
  <c r="L243" i="64"/>
  <c r="L244" i="64"/>
  <c r="L245" i="64"/>
  <c r="L232" i="64"/>
  <c r="L21" i="64"/>
  <c r="L37" i="64"/>
  <c r="L69" i="64"/>
  <c r="L133" i="64"/>
  <c r="L149" i="64"/>
  <c r="L181" i="64"/>
  <c r="L197" i="64"/>
  <c r="L213" i="64"/>
  <c r="L261" i="64"/>
  <c r="L277" i="64"/>
  <c r="L297" i="64"/>
  <c r="L18" i="64"/>
  <c r="L34" i="64"/>
  <c r="L114" i="64"/>
  <c r="L146" i="64"/>
  <c r="L162" i="64"/>
  <c r="L178" i="64"/>
  <c r="L194" i="64"/>
  <c r="L210" i="64"/>
  <c r="L226" i="64"/>
  <c r="L274" i="64"/>
  <c r="L27" i="64"/>
  <c r="L43" i="64"/>
  <c r="L139" i="64"/>
  <c r="L155" i="64"/>
  <c r="L171" i="64"/>
  <c r="L187" i="64"/>
  <c r="L203" i="64"/>
  <c r="L219" i="64"/>
  <c r="L16" i="64"/>
  <c r="L32" i="64"/>
  <c r="L48" i="64"/>
  <c r="L144" i="64"/>
  <c r="L176" i="64"/>
  <c r="L192" i="64"/>
  <c r="L208" i="64"/>
  <c r="L224" i="64"/>
  <c r="L256" i="64"/>
  <c r="L246" i="64"/>
  <c r="L234" i="64"/>
  <c r="L235" i="64"/>
  <c r="L233" i="64"/>
  <c r="L45" i="64"/>
  <c r="L25" i="64"/>
  <c r="L137" i="64"/>
  <c r="L153" i="64"/>
  <c r="L169" i="64"/>
  <c r="L217" i="64"/>
  <c r="L285" i="64"/>
  <c r="L22" i="64"/>
  <c r="L38" i="64"/>
  <c r="L70" i="64"/>
  <c r="L134" i="64"/>
  <c r="L150" i="64"/>
  <c r="L166" i="64"/>
  <c r="L182" i="64"/>
  <c r="L198" i="64"/>
  <c r="L214" i="64"/>
  <c r="L31" i="64"/>
  <c r="L143" i="64"/>
  <c r="L191" i="64"/>
  <c r="L207" i="64"/>
  <c r="L20" i="64"/>
  <c r="L236" i="64"/>
  <c r="L237" i="64"/>
  <c r="L238" i="64"/>
  <c r="K139" i="73" l="1"/>
  <c r="M40" i="73"/>
  <c r="K46" i="73"/>
  <c r="H135" i="73"/>
  <c r="K134" i="73"/>
  <c r="M46" i="73" l="1"/>
  <c r="K53" i="73"/>
  <c r="K135" i="73"/>
  <c r="A51" i="46"/>
  <c r="A50" i="51"/>
  <c r="B32" i="51"/>
  <c r="M53" i="73" l="1"/>
  <c r="M95" i="73" s="1"/>
  <c r="K95" i="73"/>
  <c r="M135" i="73" s="1"/>
  <c r="G6" i="4"/>
  <c r="C65" i="33" s="1"/>
  <c r="A1" i="33"/>
  <c r="G37" i="4"/>
  <c r="F37" i="4"/>
  <c r="A1" i="35"/>
  <c r="G36" i="4"/>
  <c r="G16" i="4"/>
  <c r="C22" i="61"/>
  <c r="D22" i="61"/>
  <c r="E22" i="61"/>
  <c r="B22" i="61"/>
  <c r="C12" i="61"/>
  <c r="D12" i="61"/>
  <c r="E12" i="61"/>
  <c r="L49" i="73" l="1"/>
  <c r="L48" i="73"/>
  <c r="M123" i="73"/>
  <c r="L87" i="73"/>
  <c r="L89" i="73"/>
  <c r="L60" i="73"/>
  <c r="M120" i="73"/>
  <c r="L88" i="73"/>
  <c r="L59" i="73"/>
  <c r="M133" i="73"/>
  <c r="M125" i="73"/>
  <c r="L41" i="73"/>
  <c r="L78" i="73"/>
  <c r="L52" i="73"/>
  <c r="L68" i="73"/>
  <c r="L65" i="73"/>
  <c r="L92" i="73"/>
  <c r="M118" i="73"/>
  <c r="L45" i="73"/>
  <c r="L57" i="73"/>
  <c r="M137" i="73"/>
  <c r="L64" i="73"/>
  <c r="L42" i="73"/>
  <c r="L51" i="73"/>
  <c r="H110" i="73"/>
  <c r="M119" i="73"/>
  <c r="L72" i="73"/>
  <c r="L44" i="73"/>
  <c r="L71" i="73"/>
  <c r="L43" i="73"/>
  <c r="L50" i="73"/>
  <c r="L61" i="73"/>
  <c r="L86" i="73"/>
  <c r="L63" i="73"/>
  <c r="L90" i="73"/>
  <c r="L91" i="73" s="1"/>
  <c r="L84" i="73"/>
  <c r="M124" i="73"/>
  <c r="L83" i="73"/>
  <c r="L74" i="73"/>
  <c r="L67" i="73"/>
  <c r="L58" i="73"/>
  <c r="J108" i="73"/>
  <c r="M108" i="73"/>
  <c r="K101" i="73"/>
  <c r="K100" i="73"/>
  <c r="J139" i="73"/>
  <c r="J138" i="73" s="1"/>
  <c r="M138" i="73"/>
  <c r="L40" i="73"/>
  <c r="M134" i="73"/>
  <c r="J135" i="73"/>
  <c r="J134" i="73" s="1"/>
  <c r="M139" i="73"/>
  <c r="L46" i="73"/>
  <c r="L53" i="73"/>
  <c r="E37" i="4"/>
  <c r="A13" i="33" s="1"/>
  <c r="B85" i="35"/>
  <c r="B73" i="35"/>
  <c r="C73" i="35"/>
  <c r="C85" i="35"/>
  <c r="C74" i="33"/>
  <c r="C7" i="35"/>
  <c r="C51" i="33"/>
  <c r="C16" i="33"/>
  <c r="C6" i="32"/>
  <c r="C41" i="33"/>
  <c r="C24" i="33" s="1"/>
  <c r="B7" i="35"/>
  <c r="B51" i="33"/>
  <c r="B16" i="33"/>
  <c r="B41" i="33"/>
  <c r="B24" i="33" s="1"/>
  <c r="B6" i="32"/>
  <c r="F13" i="65"/>
  <c r="E13" i="65"/>
  <c r="F12" i="65"/>
  <c r="F11" i="65"/>
  <c r="E11" i="65"/>
  <c r="F10" i="65"/>
  <c r="E10" i="65"/>
  <c r="F9" i="65"/>
  <c r="G9" i="65" s="1"/>
  <c r="H9" i="65" s="1"/>
  <c r="E8" i="65"/>
  <c r="F8" i="65" s="1"/>
  <c r="F7" i="65"/>
  <c r="E7" i="65"/>
  <c r="E6" i="65"/>
  <c r="F6" i="65" s="1"/>
  <c r="F5" i="65"/>
  <c r="E5" i="65"/>
  <c r="F4" i="65"/>
  <c r="E4" i="65"/>
  <c r="C1" i="65"/>
  <c r="K110" i="73" l="1"/>
  <c r="M110" i="73" s="1"/>
  <c r="H109" i="73"/>
  <c r="J110" i="73"/>
  <c r="L95" i="73"/>
  <c r="C39" i="32"/>
  <c r="C24" i="32"/>
  <c r="C59" i="32"/>
  <c r="C73" i="32"/>
  <c r="C82" i="32"/>
  <c r="B96" i="35"/>
  <c r="B35" i="35"/>
  <c r="B46" i="35" s="1"/>
  <c r="B105" i="35"/>
  <c r="B55" i="35"/>
  <c r="B18" i="35"/>
  <c r="B82" i="32"/>
  <c r="B73" i="32"/>
  <c r="B39" i="32"/>
  <c r="B24" i="32"/>
  <c r="B59" i="32"/>
  <c r="C105" i="35"/>
  <c r="C96" i="35"/>
  <c r="C35" i="35"/>
  <c r="C46" i="35" s="1"/>
  <c r="C55" i="35"/>
  <c r="C18" i="35"/>
  <c r="G13" i="65"/>
  <c r="H13" i="65" s="1"/>
  <c r="G4" i="65"/>
  <c r="H4" i="65" s="1"/>
  <c r="G10" i="65"/>
  <c r="H10" i="65" s="1"/>
  <c r="G7" i="65"/>
  <c r="H7" i="65" s="1"/>
  <c r="G5" i="65"/>
  <c r="H5" i="65" s="1"/>
  <c r="G11" i="65"/>
  <c r="H11" i="65" s="1"/>
  <c r="G6" i="65"/>
  <c r="H6" i="65" s="1"/>
  <c r="G8" i="65"/>
  <c r="H8" i="65" s="1"/>
  <c r="G12" i="65"/>
  <c r="H12" i="65" s="1"/>
  <c r="J109" i="73" l="1"/>
  <c r="K109" i="73"/>
  <c r="M109" i="73" s="1"/>
  <c r="G21" i="4"/>
  <c r="I42" i="46" l="1"/>
  <c r="B10" i="51"/>
  <c r="C82" i="33"/>
  <c r="K42" i="46"/>
  <c r="C80" i="35"/>
  <c r="E17" i="51"/>
  <c r="E10" i="51"/>
  <c r="E7" i="51"/>
  <c r="D7" i="51"/>
  <c r="C10" i="51"/>
  <c r="D37" i="71" s="1"/>
  <c r="D36" i="71"/>
  <c r="B64" i="35"/>
  <c r="B66" i="35" s="1"/>
  <c r="A2" i="5"/>
  <c r="G16" i="5"/>
  <c r="C19" i="33"/>
  <c r="C34" i="61"/>
  <c r="D34" i="61"/>
  <c r="E34" i="61"/>
  <c r="F34" i="61"/>
  <c r="I18" i="72" l="1"/>
  <c r="F68" i="66"/>
  <c r="J102" i="71"/>
  <c r="F49" i="46"/>
  <c r="C101" i="35" l="1"/>
  <c r="F37" i="66" s="1"/>
  <c r="C45" i="33"/>
  <c r="G42" i="4" s="1"/>
  <c r="G5" i="4"/>
  <c r="C7" i="33" s="1"/>
  <c r="C40" i="33" s="1"/>
  <c r="C23" i="33" s="1"/>
  <c r="F5" i="4"/>
  <c r="B7" i="33" s="1"/>
  <c r="B40" i="33" s="1"/>
  <c r="B23" i="33" s="1"/>
  <c r="C51" i="51"/>
  <c r="G15" i="5"/>
  <c r="G21" i="5"/>
  <c r="D56" i="51"/>
  <c r="C56" i="51"/>
  <c r="E13" i="51"/>
  <c r="G10" i="4" s="1"/>
  <c r="D13" i="51"/>
  <c r="C13" i="51"/>
  <c r="B13" i="51"/>
  <c r="E8" i="59"/>
  <c r="E9" i="59"/>
  <c r="E79" i="63"/>
  <c r="G79" i="63" s="1"/>
  <c r="C69" i="33"/>
  <c r="G45" i="4" s="1"/>
  <c r="B19" i="51"/>
  <c r="A3" i="5"/>
  <c r="G76" i="63"/>
  <c r="A36" i="61"/>
  <c r="G43" i="61"/>
  <c r="G42" i="61"/>
  <c r="G41" i="61"/>
  <c r="G40" i="61"/>
  <c r="G39" i="61"/>
  <c r="A26" i="61"/>
  <c r="G30" i="61"/>
  <c r="G31" i="61"/>
  <c r="G32" i="61"/>
  <c r="F21" i="61"/>
  <c r="F20" i="61"/>
  <c r="F19" i="61"/>
  <c r="F18" i="61"/>
  <c r="F17" i="61"/>
  <c r="F11" i="61"/>
  <c r="F10" i="61"/>
  <c r="F9" i="61"/>
  <c r="F7" i="61"/>
  <c r="F22" i="4" s="1"/>
  <c r="G78" i="63"/>
  <c r="C13" i="35"/>
  <c r="G8" i="5" s="1"/>
  <c r="F54" i="59"/>
  <c r="F52" i="59"/>
  <c r="F47" i="59"/>
  <c r="G58" i="46"/>
  <c r="E58" i="46"/>
  <c r="G56" i="46"/>
  <c r="E56" i="46"/>
  <c r="I53" i="47"/>
  <c r="G53" i="47"/>
  <c r="I51" i="47"/>
  <c r="G51" i="47"/>
  <c r="C157" i="35"/>
  <c r="B157" i="35"/>
  <c r="D58" i="51"/>
  <c r="C58" i="51"/>
  <c r="F62" i="59"/>
  <c r="D62" i="59"/>
  <c r="F60" i="59"/>
  <c r="D60" i="59"/>
  <c r="F61" i="59"/>
  <c r="A60" i="59"/>
  <c r="K51" i="60"/>
  <c r="K49" i="60"/>
  <c r="K50" i="60"/>
  <c r="H51" i="60"/>
  <c r="H49" i="60"/>
  <c r="B49" i="60"/>
  <c r="G46" i="4"/>
  <c r="C156" i="35"/>
  <c r="B156" i="35"/>
  <c r="C6" i="35"/>
  <c r="B6" i="35"/>
  <c r="I52" i="47"/>
  <c r="G52" i="47"/>
  <c r="G57" i="46"/>
  <c r="E57" i="46"/>
  <c r="D57" i="51"/>
  <c r="C57" i="51"/>
  <c r="D61" i="59"/>
  <c r="A63" i="59"/>
  <c r="A62" i="59"/>
  <c r="A61" i="59"/>
  <c r="A57" i="59"/>
  <c r="H50" i="60"/>
  <c r="B54" i="60"/>
  <c r="B53" i="60"/>
  <c r="B50" i="60"/>
  <c r="B46" i="60"/>
  <c r="A2" i="47"/>
  <c r="C35" i="46"/>
  <c r="A1" i="32"/>
  <c r="F38" i="59"/>
  <c r="F18" i="59"/>
  <c r="F25" i="59"/>
  <c r="G17" i="5"/>
  <c r="I19" i="72" s="1"/>
  <c r="C10" i="32"/>
  <c r="B8" i="32" s="1"/>
  <c r="I10" i="47"/>
  <c r="H10" i="47"/>
  <c r="C60" i="33"/>
  <c r="G44" i="4" s="1"/>
  <c r="D54" i="59" s="1"/>
  <c r="G10" i="5"/>
  <c r="I14" i="72" s="1"/>
  <c r="G18" i="5"/>
  <c r="I20" i="72" s="1"/>
  <c r="C88" i="32"/>
  <c r="G25" i="4" s="1"/>
  <c r="G24" i="4"/>
  <c r="C31" i="33" s="1"/>
  <c r="J42" i="46"/>
  <c r="F31" i="59"/>
  <c r="C11" i="33"/>
  <c r="G35" i="4" s="1"/>
  <c r="D43" i="59"/>
  <c r="C36" i="59"/>
  <c r="D38" i="59" s="1"/>
  <c r="G15" i="4"/>
  <c r="D44" i="47"/>
  <c r="E44" i="47"/>
  <c r="F44" i="47"/>
  <c r="G44" i="47"/>
  <c r="G20" i="4"/>
  <c r="A1" i="51"/>
  <c r="A1" i="59" s="1"/>
  <c r="A1" i="5"/>
  <c r="F53" i="5" s="1"/>
  <c r="B148" i="35" s="1"/>
  <c r="F13" i="46"/>
  <c r="G13" i="46"/>
  <c r="G22" i="46" s="1"/>
  <c r="F14" i="46"/>
  <c r="G14" i="46"/>
  <c r="F15" i="46"/>
  <c r="G15" i="46"/>
  <c r="F16" i="46"/>
  <c r="G16" i="46"/>
  <c r="F17" i="46"/>
  <c r="G17" i="46"/>
  <c r="F18" i="46"/>
  <c r="G18" i="46"/>
  <c r="F19" i="46"/>
  <c r="G19" i="46"/>
  <c r="F20" i="46"/>
  <c r="G20" i="46"/>
  <c r="C22" i="46"/>
  <c r="E22" i="46"/>
  <c r="K49" i="46"/>
  <c r="C28" i="59"/>
  <c r="G37" i="60"/>
  <c r="E16" i="51"/>
  <c r="E80" i="63"/>
  <c r="G80" i="63" s="1"/>
  <c r="G28" i="60"/>
  <c r="E81" i="63"/>
  <c r="G81" i="63" s="1"/>
  <c r="E75" i="63"/>
  <c r="G75" i="63" s="1"/>
  <c r="E77" i="63"/>
  <c r="G77" i="63" s="1"/>
  <c r="E82" i="63"/>
  <c r="G82" i="63" s="1"/>
  <c r="E84" i="63"/>
  <c r="G84" i="63" s="1"/>
  <c r="E83" i="63"/>
  <c r="G83" i="63" s="1"/>
  <c r="E51" i="46"/>
  <c r="G46" i="60"/>
  <c r="D57" i="59"/>
  <c r="C17" i="51" l="1"/>
  <c r="C16" i="51"/>
  <c r="G23" i="5"/>
  <c r="I49" i="46"/>
  <c r="I23" i="72"/>
  <c r="I17" i="72"/>
  <c r="F55" i="66"/>
  <c r="F61" i="66" s="1"/>
  <c r="I13" i="72"/>
  <c r="I15" i="72" s="1"/>
  <c r="C5" i="32"/>
  <c r="C81" i="32" s="1"/>
  <c r="D5" i="51"/>
  <c r="E165" i="69"/>
  <c r="E151" i="69"/>
  <c r="E137" i="69"/>
  <c r="E158" i="69"/>
  <c r="E144" i="69"/>
  <c r="E120" i="69"/>
  <c r="F94" i="69"/>
  <c r="F80" i="69"/>
  <c r="C15" i="33"/>
  <c r="H165" i="69"/>
  <c r="H151" i="69"/>
  <c r="H137" i="69"/>
  <c r="H158" i="69"/>
  <c r="H144" i="69"/>
  <c r="H120" i="69"/>
  <c r="H94" i="69"/>
  <c r="H80" i="69"/>
  <c r="B5" i="32"/>
  <c r="B58" i="32" s="1"/>
  <c r="B38" i="32" s="1"/>
  <c r="G44" i="61"/>
  <c r="G43" i="4" s="1"/>
  <c r="F65" i="66" s="1"/>
  <c r="F63" i="66" s="1"/>
  <c r="B84" i="35"/>
  <c r="B72" i="35"/>
  <c r="C84" i="35"/>
  <c r="C72" i="35"/>
  <c r="F28" i="66"/>
  <c r="B5" i="51"/>
  <c r="B15" i="33"/>
  <c r="F58" i="66"/>
  <c r="F105" i="66"/>
  <c r="F26" i="66"/>
  <c r="F22" i="61"/>
  <c r="G23" i="4" s="1"/>
  <c r="F10" i="4"/>
  <c r="G22" i="60" s="1"/>
  <c r="J10" i="47"/>
  <c r="C104" i="35"/>
  <c r="C17" i="35"/>
  <c r="B54" i="35"/>
  <c r="B17" i="35"/>
  <c r="I44" i="47"/>
  <c r="F66" i="47" s="1"/>
  <c r="H44" i="47"/>
  <c r="H15" i="46"/>
  <c r="H13" i="46"/>
  <c r="H22" i="46" s="1"/>
  <c r="H20" i="46"/>
  <c r="H18" i="46"/>
  <c r="H16" i="46"/>
  <c r="F64" i="47"/>
  <c r="H17" i="46"/>
  <c r="H14" i="46"/>
  <c r="H19" i="46"/>
  <c r="F22" i="46"/>
  <c r="E19" i="51"/>
  <c r="E10" i="59"/>
  <c r="F12" i="59" s="1"/>
  <c r="B34" i="35"/>
  <c r="B45" i="35" s="1"/>
  <c r="B95" i="35"/>
  <c r="B104" i="35"/>
  <c r="C34" i="35"/>
  <c r="C45" i="35" s="1"/>
  <c r="C95" i="35"/>
  <c r="C54" i="35"/>
  <c r="G12" i="5"/>
  <c r="O37" i="72" s="1"/>
  <c r="Q37" i="72" s="1"/>
  <c r="C64" i="33"/>
  <c r="C73" i="33" s="1"/>
  <c r="C50" i="33"/>
  <c r="B64" i="33"/>
  <c r="B73" i="33" s="1"/>
  <c r="B50" i="33"/>
  <c r="J49" i="46" l="1"/>
  <c r="F31" i="4" s="1"/>
  <c r="F82" i="66"/>
  <c r="E81" i="66" s="1"/>
  <c r="C30" i="33"/>
  <c r="I24" i="72"/>
  <c r="I26" i="72" s="1"/>
  <c r="I32" i="72" s="1"/>
  <c r="G25" i="5"/>
  <c r="G29" i="5" s="1"/>
  <c r="G33" i="5" s="1"/>
  <c r="G40" i="5" s="1"/>
  <c r="F86" i="66"/>
  <c r="F85" i="66" s="1"/>
  <c r="F97" i="66" s="1"/>
  <c r="E64" i="66"/>
  <c r="C23" i="32"/>
  <c r="G47" i="4"/>
  <c r="C58" i="32"/>
  <c r="C38" i="32" s="1"/>
  <c r="C72" i="32"/>
  <c r="F21" i="66"/>
  <c r="F91" i="66" s="1"/>
  <c r="B23" i="32"/>
  <c r="B72" i="32"/>
  <c r="B81" i="32"/>
  <c r="F25" i="66"/>
  <c r="F56" i="66"/>
  <c r="F54" i="66" s="1"/>
  <c r="F10" i="66" s="1"/>
  <c r="E57" i="66"/>
  <c r="F22" i="66"/>
  <c r="F92" i="66" s="1"/>
  <c r="F60" i="66"/>
  <c r="F11" i="66" s="1"/>
  <c r="J44" i="47"/>
  <c r="B43" i="32" s="1"/>
  <c r="C19" i="51"/>
  <c r="F80" i="66" l="1"/>
  <c r="F67" i="66" s="1"/>
  <c r="F12" i="66" s="1"/>
  <c r="G49" i="5"/>
  <c r="G48" i="5"/>
  <c r="F20" i="66"/>
  <c r="F6" i="66" s="1"/>
  <c r="F6" i="59"/>
  <c r="F39" i="59" s="1"/>
  <c r="F53" i="59" s="1"/>
  <c r="F55" i="59" s="1"/>
  <c r="F35" i="66"/>
  <c r="F40" i="66" s="1"/>
  <c r="F93" i="66"/>
  <c r="F90" i="66" s="1"/>
  <c r="B42" i="32"/>
  <c r="G64" i="47"/>
  <c r="G66" i="47"/>
  <c r="B44" i="32" l="1"/>
  <c r="E44" i="32" s="1"/>
  <c r="G44" i="32" s="1"/>
  <c r="I34" i="72"/>
  <c r="G45" i="5"/>
  <c r="I33" i="72"/>
  <c r="F33" i="66"/>
  <c r="F8" i="66" s="1"/>
  <c r="F100" i="66"/>
  <c r="E89" i="66"/>
  <c r="F88" i="66"/>
  <c r="G67" i="47"/>
  <c r="F84" i="66" l="1"/>
  <c r="F13" i="66" s="1"/>
  <c r="C14" i="32"/>
  <c r="C17" i="32" s="1"/>
  <c r="O38" i="72"/>
  <c r="Q38" i="72" s="1"/>
  <c r="F48" i="66"/>
  <c r="F96" i="66"/>
  <c r="F95" i="66" s="1"/>
  <c r="F14" i="66" s="1"/>
  <c r="G69" i="47"/>
  <c r="G70" i="47" s="1"/>
  <c r="C19" i="32" l="1"/>
  <c r="G11" i="4" s="1"/>
  <c r="B13" i="32"/>
  <c r="U38" i="72"/>
  <c r="E50" i="66" l="1"/>
  <c r="G27" i="4"/>
  <c r="F51" i="66"/>
  <c r="F49" i="66" s="1"/>
  <c r="F47" i="66" s="1"/>
  <c r="F9" i="66" s="1"/>
  <c r="F31" i="66"/>
  <c r="J48" i="4" l="1"/>
  <c r="G48" i="4"/>
  <c r="F102" i="66"/>
  <c r="F104" i="66" s="1"/>
  <c r="F101" i="66" s="1"/>
  <c r="F24" i="66"/>
  <c r="F7" i="66" s="1"/>
  <c r="F99" i="66" l="1"/>
  <c r="F15" i="66" s="1"/>
  <c r="F2" i="67"/>
  <c r="G2" i="67" l="1"/>
  <c r="I2" i="67" l="1"/>
  <c r="H2" i="67"/>
  <c r="I1" i="67" s="1"/>
  <c r="L157" i="67" l="1"/>
  <c r="L87" i="67"/>
  <c r="L169" i="67"/>
  <c r="L47" i="67"/>
  <c r="L31" i="67"/>
  <c r="L104" i="67"/>
  <c r="L158" i="67"/>
  <c r="L12" i="67"/>
  <c r="L33" i="67"/>
  <c r="L83" i="67"/>
  <c r="L53" i="67"/>
  <c r="L141" i="67"/>
  <c r="L113" i="67"/>
  <c r="L23" i="67"/>
  <c r="L60" i="67"/>
  <c r="L146" i="67"/>
  <c r="L35" i="67"/>
  <c r="L90" i="67"/>
  <c r="L15" i="67"/>
  <c r="L176" i="67"/>
  <c r="L74" i="67"/>
  <c r="L55" i="67"/>
  <c r="L116" i="67"/>
  <c r="L40" i="67"/>
  <c r="L91" i="67"/>
  <c r="L45" i="67"/>
  <c r="L133" i="67"/>
  <c r="L18" i="67"/>
  <c r="L122" i="67"/>
  <c r="L46" i="67"/>
  <c r="L71" i="67"/>
  <c r="L123" i="67"/>
  <c r="L164" i="67"/>
  <c r="L98" i="67"/>
  <c r="L11" i="67"/>
  <c r="L139" i="67"/>
  <c r="L70" i="67"/>
  <c r="L129" i="67"/>
  <c r="L160" i="67"/>
  <c r="L28" i="67"/>
  <c r="L165" i="67"/>
  <c r="L19" i="67"/>
  <c r="L84" i="67"/>
  <c r="L26" i="67"/>
  <c r="L108" i="67"/>
  <c r="L21" i="67"/>
  <c r="L88" i="67"/>
  <c r="L7" i="67"/>
  <c r="L167" i="67"/>
  <c r="L173" i="67"/>
  <c r="L42" i="67"/>
  <c r="L56" i="67"/>
  <c r="L124" i="67"/>
  <c r="L89" i="67"/>
  <c r="L161" i="67"/>
  <c r="L17" i="67"/>
  <c r="L153" i="67"/>
  <c r="L20" i="67"/>
  <c r="L166" i="67"/>
  <c r="L64" i="67"/>
  <c r="L150" i="67"/>
  <c r="L36" i="67"/>
  <c r="L147" i="67"/>
  <c r="L110" i="67"/>
  <c r="L162" i="67"/>
  <c r="L125" i="67"/>
  <c r="L94" i="67"/>
  <c r="L77" i="67"/>
  <c r="L72" i="67"/>
  <c r="L168" i="67"/>
  <c r="L10" i="67"/>
  <c r="L126" i="67"/>
  <c r="L93" i="67"/>
  <c r="L149" i="67"/>
  <c r="L136" i="67"/>
  <c r="L61" i="67"/>
  <c r="L127" i="67"/>
  <c r="L24" i="67"/>
  <c r="L75" i="67"/>
  <c r="L132" i="67"/>
  <c r="L120" i="67"/>
  <c r="L8" i="67"/>
  <c r="L58" i="67"/>
  <c r="L138" i="67"/>
  <c r="L50" i="67"/>
  <c r="L112" i="67"/>
  <c r="L41" i="67"/>
  <c r="L99" i="67"/>
  <c r="L142" i="67"/>
  <c r="L43" i="67"/>
  <c r="L121" i="67"/>
  <c r="L82" i="67"/>
  <c r="L69" i="67"/>
  <c r="L25" i="67"/>
  <c r="L85" i="67"/>
  <c r="L51" i="67"/>
  <c r="L14" i="67"/>
  <c r="L118" i="67"/>
  <c r="L134" i="67"/>
  <c r="L163" i="67"/>
  <c r="L172" i="67"/>
  <c r="L67" i="67"/>
  <c r="L152" i="67"/>
  <c r="L37" i="67"/>
  <c r="L171" i="67"/>
  <c r="L155" i="67"/>
  <c r="L59" i="67"/>
  <c r="L80" i="67"/>
  <c r="L57" i="67"/>
  <c r="L52" i="67"/>
  <c r="L174" i="67"/>
  <c r="L145" i="67"/>
  <c r="L115" i="67"/>
  <c r="L107" i="67"/>
  <c r="L140" i="67"/>
  <c r="L170" i="67"/>
  <c r="L119" i="67"/>
  <c r="L109" i="67"/>
  <c r="L128" i="67"/>
  <c r="L131" i="67"/>
  <c r="L92" i="67"/>
  <c r="L159" i="67"/>
  <c r="L62" i="67"/>
  <c r="L76" i="67"/>
  <c r="L103" i="67"/>
  <c r="L79" i="67"/>
  <c r="L32" i="67"/>
  <c r="L156" i="67"/>
  <c r="L135" i="67"/>
  <c r="L29" i="67"/>
  <c r="L105" i="67"/>
  <c r="L143" i="67"/>
  <c r="L177" i="67"/>
  <c r="L44" i="67"/>
  <c r="L38" i="67"/>
  <c r="L101" i="67"/>
  <c r="L9" i="67"/>
  <c r="L54" i="67"/>
  <c r="L81" i="67"/>
  <c r="L48" i="67"/>
  <c r="L117" i="67"/>
  <c r="L68" i="67"/>
  <c r="L5" i="67"/>
  <c r="L148" i="67"/>
  <c r="L96" i="67"/>
  <c r="L97" i="67"/>
  <c r="L137" i="67"/>
  <c r="L86" i="67"/>
  <c r="L151" i="67"/>
  <c r="L30" i="67"/>
  <c r="L66" i="67"/>
  <c r="L39" i="67"/>
  <c r="L65" i="67"/>
  <c r="L34" i="67"/>
  <c r="L27" i="67"/>
  <c r="L100" i="67"/>
  <c r="L16" i="67"/>
  <c r="L22" i="67"/>
  <c r="L111" i="67"/>
  <c r="L106" i="67"/>
  <c r="L175" i="67"/>
  <c r="L63" i="67"/>
  <c r="L130" i="67"/>
  <c r="L154" i="67"/>
  <c r="L114" i="67"/>
  <c r="L73" i="67"/>
  <c r="L102" i="67"/>
  <c r="L144" i="67"/>
  <c r="L13" i="67"/>
  <c r="L95" i="67"/>
  <c r="L78" i="67"/>
  <c r="L49" i="67"/>
  <c r="B57" i="35"/>
  <c r="B107" i="35"/>
  <c r="B129" i="35"/>
  <c r="B75" i="35"/>
  <c r="B76" i="33"/>
  <c r="B78" i="33"/>
  <c r="B87" i="35"/>
  <c r="B84" i="32"/>
  <c r="B80" i="33"/>
  <c r="B25" i="33"/>
  <c r="B77" i="35"/>
  <c r="B78" i="35"/>
  <c r="B75" i="32"/>
  <c r="B55" i="33"/>
  <c r="B79" i="33"/>
  <c r="B33" i="32"/>
  <c r="B58" i="33"/>
  <c r="B127" i="35"/>
  <c r="B88" i="35"/>
  <c r="B62" i="32"/>
  <c r="B126" i="35"/>
  <c r="B76" i="32"/>
  <c r="B9" i="33"/>
  <c r="B67" i="33"/>
  <c r="B86" i="35"/>
  <c r="B85" i="32"/>
  <c r="B37" i="35"/>
  <c r="B98" i="35"/>
  <c r="B32" i="33"/>
  <c r="B99" i="35"/>
  <c r="B128" i="35"/>
  <c r="B86" i="32"/>
  <c r="B41" i="35" l="1"/>
  <c r="F15" i="5" s="1"/>
  <c r="F17" i="72" s="1"/>
  <c r="B43" i="33"/>
  <c r="B45" i="33" s="1"/>
  <c r="F42" i="4" s="1"/>
  <c r="B60" i="35"/>
  <c r="B68" i="35" s="1"/>
  <c r="F17" i="5" s="1"/>
  <c r="F19" i="72" s="1"/>
  <c r="B50" i="35"/>
  <c r="F16" i="5" s="1"/>
  <c r="G24" i="60"/>
  <c r="B34" i="33"/>
  <c r="B11" i="33"/>
  <c r="F35" i="4" s="1"/>
  <c r="E35" i="4" s="1"/>
  <c r="A5" i="33" s="1"/>
  <c r="B101" i="35"/>
  <c r="B27" i="33"/>
  <c r="F38" i="4" s="1"/>
  <c r="B74" i="32"/>
  <c r="E58" i="66" l="1"/>
  <c r="E56" i="66" s="1"/>
  <c r="C20" i="59"/>
  <c r="E68" i="66"/>
  <c r="F18" i="72"/>
  <c r="D45" i="59"/>
  <c r="D47" i="59" s="1"/>
  <c r="G29" i="60"/>
  <c r="B69" i="33"/>
  <c r="F45" i="4" s="1"/>
  <c r="B19" i="35"/>
  <c r="C21" i="59" l="1"/>
  <c r="B30" i="35"/>
  <c r="F10" i="5" s="1"/>
  <c r="F14" i="72" l="1"/>
  <c r="B90" i="35"/>
  <c r="F19" i="5" s="1"/>
  <c r="B74" i="35"/>
  <c r="E43" i="66" l="1"/>
  <c r="E42" i="66" s="1"/>
  <c r="F21" i="72"/>
  <c r="E37" i="66"/>
  <c r="B80" i="35"/>
  <c r="F18" i="5" s="1"/>
  <c r="B83" i="32"/>
  <c r="F20" i="72" l="1"/>
  <c r="B88" i="32"/>
  <c r="F25" i="4" s="1"/>
  <c r="L6" i="67"/>
  <c r="H35" i="61"/>
  <c r="B77" i="33"/>
  <c r="H34" i="61"/>
  <c r="C30" i="59" l="1"/>
  <c r="F43" i="4"/>
  <c r="C15" i="59" l="1"/>
  <c r="D18" i="59" s="1"/>
  <c r="E65" i="66"/>
  <c r="E63" i="66" s="1"/>
  <c r="B34" i="61"/>
  <c r="G29" i="61"/>
  <c r="G34" i="61" s="1"/>
  <c r="B68" i="32"/>
  <c r="F20" i="4" s="1"/>
  <c r="B35" i="32" l="1"/>
  <c r="G25" i="60" s="1"/>
  <c r="I34" i="61"/>
  <c r="J103" i="71"/>
  <c r="J104" i="71" s="1"/>
  <c r="C27" i="59"/>
  <c r="D31" i="59" s="1"/>
  <c r="E28" i="66"/>
  <c r="B9" i="32"/>
  <c r="F15" i="4" l="1"/>
  <c r="B10" i="32"/>
  <c r="B17" i="33"/>
  <c r="D49" i="59" l="1"/>
  <c r="D52" i="59" s="1"/>
  <c r="E105" i="66"/>
  <c r="E26" i="66"/>
  <c r="E25" i="66" s="1"/>
  <c r="B19" i="33"/>
  <c r="B54" i="33"/>
  <c r="D118" i="71" l="1"/>
  <c r="B60" i="33"/>
  <c r="F44" i="4" s="1"/>
  <c r="B75" i="33"/>
  <c r="B82" i="33" l="1"/>
  <c r="F46" i="4" s="1"/>
  <c r="G31" i="60" l="1"/>
  <c r="C24" i="59"/>
  <c r="D25" i="59" s="1"/>
  <c r="E21" i="66"/>
  <c r="B13" i="35"/>
  <c r="F8" i="5" s="1"/>
  <c r="H12" i="61"/>
  <c r="B12" i="61" l="1"/>
  <c r="H8" i="5"/>
  <c r="I13" i="5"/>
  <c r="E55" i="66"/>
  <c r="F13" i="72"/>
  <c r="F15" i="72" s="1"/>
  <c r="F12" i="5"/>
  <c r="E91" i="66"/>
  <c r="B144" i="35" l="1"/>
  <c r="F21" i="5" s="1"/>
  <c r="I8" i="5"/>
  <c r="H10" i="5"/>
  <c r="F8" i="61"/>
  <c r="F12" i="61" s="1"/>
  <c r="N37" i="72"/>
  <c r="P37" i="72" s="1"/>
  <c r="R37" i="72" s="1"/>
  <c r="G34" i="60"/>
  <c r="E61" i="66"/>
  <c r="E60" i="66" s="1"/>
  <c r="E11" i="66" s="1"/>
  <c r="G11" i="66" s="1"/>
  <c r="E54" i="66"/>
  <c r="E10" i="66" s="1"/>
  <c r="G10" i="66" s="1"/>
  <c r="E86" i="66"/>
  <c r="E85" i="66" s="1"/>
  <c r="C37" i="72"/>
  <c r="F23" i="4" l="1"/>
  <c r="E82" i="66" s="1"/>
  <c r="E80" i="66" s="1"/>
  <c r="E67" i="66" s="1"/>
  <c r="E12" i="66" s="1"/>
  <c r="G12" i="66" s="1"/>
  <c r="V37" i="72"/>
  <c r="S37" i="72"/>
  <c r="E97" i="66"/>
  <c r="F23" i="72"/>
  <c r="B30" i="33" l="1"/>
  <c r="B78" i="32" l="1"/>
  <c r="F24" i="4" s="1"/>
  <c r="B31" i="33" l="1"/>
  <c r="E22" i="66"/>
  <c r="C29" i="59"/>
  <c r="E20" i="66" l="1"/>
  <c r="E6" i="66" s="1"/>
  <c r="G6" i="66" s="1"/>
  <c r="E92" i="66"/>
  <c r="E93" i="66" s="1"/>
  <c r="E90" i="66" s="1"/>
  <c r="E88" i="66" s="1"/>
  <c r="E84" i="66" s="1"/>
  <c r="E13" i="66" s="1"/>
  <c r="G13" i="66" s="1"/>
  <c r="E38" i="4" l="1"/>
  <c r="A21" i="33" s="1"/>
  <c r="E45" i="4" l="1"/>
  <c r="A62" i="33" s="1"/>
  <c r="C8" i="59"/>
  <c r="F22" i="72"/>
  <c r="F24" i="72" s="1"/>
  <c r="F26" i="72" s="1"/>
  <c r="F23" i="5"/>
  <c r="F25" i="5" s="1"/>
  <c r="G36" i="60" s="1"/>
  <c r="E38" i="66"/>
  <c r="G35" i="60" l="1"/>
  <c r="F29" i="5"/>
  <c r="F33" i="5" s="1"/>
  <c r="F63" i="47" l="1"/>
  <c r="F65" i="47" s="1"/>
  <c r="F67" i="47" s="1"/>
  <c r="F69" i="47" s="1"/>
  <c r="F70" i="47" s="1"/>
  <c r="E35" i="66"/>
  <c r="E40" i="66" s="1"/>
  <c r="J33" i="5"/>
  <c r="E33" i="66" l="1"/>
  <c r="E100" i="66"/>
  <c r="B49" i="32"/>
  <c r="B52" i="32" s="1"/>
  <c r="E46" i="32"/>
  <c r="C68" i="47"/>
  <c r="C73" i="47"/>
  <c r="C72" i="47" l="1"/>
  <c r="F298" i="64"/>
  <c r="E8" i="66"/>
  <c r="G8" i="66" s="1"/>
  <c r="E48" i="32"/>
  <c r="G46" i="32"/>
  <c r="G48" i="32" s="1"/>
  <c r="B55" i="32"/>
  <c r="F16" i="4" s="1"/>
  <c r="F36" i="4"/>
  <c r="F47" i="4" s="1"/>
  <c r="G20" i="60" s="1"/>
  <c r="F37" i="5"/>
  <c r="D60" i="71" l="1"/>
  <c r="F29" i="72"/>
  <c r="C9" i="59"/>
  <c r="F38" i="5"/>
  <c r="F2" i="64"/>
  <c r="H298" i="64"/>
  <c r="G299" i="64"/>
  <c r="G30" i="60"/>
  <c r="H299" i="64" l="1"/>
  <c r="I299" i="64" s="1"/>
  <c r="P63" i="71"/>
  <c r="Q63" i="71" s="1"/>
  <c r="C63" i="71" s="1"/>
  <c r="F30" i="72"/>
  <c r="F32" i="72" s="1"/>
  <c r="C38" i="72" s="1"/>
  <c r="C10" i="59"/>
  <c r="D12" i="59" s="1"/>
  <c r="D39" i="59" s="1"/>
  <c r="D53" i="59" s="1"/>
  <c r="D55" i="59" s="1"/>
  <c r="I298" i="64"/>
  <c r="F40" i="5"/>
  <c r="F45" i="5" s="1"/>
  <c r="I301" i="64"/>
  <c r="I300" i="64"/>
  <c r="B14" i="32" l="1"/>
  <c r="B17" i="32" s="1"/>
  <c r="B19" i="32" s="1"/>
  <c r="F11" i="4" s="1"/>
  <c r="F48" i="5"/>
  <c r="F49" i="5"/>
  <c r="F34" i="72" s="1"/>
  <c r="E96" i="66"/>
  <c r="E95" i="66" s="1"/>
  <c r="E14" i="66" s="1"/>
  <c r="G14" i="66" s="1"/>
  <c r="N38" i="72"/>
  <c r="E48" i="66"/>
  <c r="I2" i="64"/>
  <c r="L298" i="64"/>
  <c r="L300" i="64"/>
  <c r="G2" i="64"/>
  <c r="H2" i="64"/>
  <c r="L222" i="64"/>
  <c r="L299" i="64"/>
  <c r="L220" i="64"/>
  <c r="L223" i="64"/>
  <c r="L49" i="64"/>
  <c r="G38" i="60" l="1"/>
  <c r="F33" i="72"/>
  <c r="T38" i="72"/>
  <c r="P38" i="72"/>
  <c r="R38" i="72" s="1"/>
  <c r="J11" i="4"/>
  <c r="I10" i="4"/>
  <c r="E11" i="4"/>
  <c r="E51" i="66"/>
  <c r="E49" i="66" s="1"/>
  <c r="E47" i="66" s="1"/>
  <c r="E9" i="66" s="1"/>
  <c r="G9" i="66" s="1"/>
  <c r="F27" i="4"/>
  <c r="F48" i="4" s="1"/>
  <c r="E31" i="66"/>
  <c r="G23" i="60"/>
  <c r="E15" i="4" l="1"/>
  <c r="A21" i="32" s="1"/>
  <c r="A4" i="32"/>
  <c r="E24" i="66"/>
  <c r="E7" i="66" s="1"/>
  <c r="G7" i="66" s="1"/>
  <c r="E102" i="66"/>
  <c r="E104" i="66" s="1"/>
  <c r="E101" i="66" s="1"/>
  <c r="E99" i="66" s="1"/>
  <c r="E15" i="66" s="1"/>
  <c r="G15" i="66" s="1"/>
  <c r="G19" i="60"/>
  <c r="I48" i="4"/>
  <c r="J12" i="4"/>
  <c r="S38" i="72"/>
  <c r="V38" i="72"/>
  <c r="E16" i="4" l="1"/>
  <c r="E36" i="4" l="1"/>
  <c r="E20" i="4"/>
  <c r="A57" i="32" s="1"/>
  <c r="A37" i="32"/>
  <c r="E21" i="4" l="1"/>
  <c r="A2" i="61" s="1"/>
  <c r="E22" i="4" l="1"/>
  <c r="E23" i="4" s="1"/>
  <c r="E24" i="4" s="1"/>
  <c r="A71" i="32" s="1"/>
  <c r="E25" i="4" l="1"/>
  <c r="A80" i="32" s="1"/>
  <c r="E31" i="4" l="1"/>
  <c r="E42" i="4" s="1"/>
  <c r="A37" i="33" s="1"/>
  <c r="A34" i="46" l="1"/>
  <c r="E20" i="5"/>
  <c r="E43" i="4"/>
  <c r="A25" i="61" s="1"/>
  <c r="E44" i="4" l="1"/>
  <c r="A48" i="33" s="1"/>
  <c r="E46" i="4" l="1"/>
  <c r="A71" i="33" l="1"/>
  <c r="E8" i="5"/>
  <c r="E10" i="5" l="1"/>
  <c r="A4" i="35"/>
  <c r="A15" i="35" l="1"/>
  <c r="E15" i="5"/>
  <c r="A32" i="35" s="1"/>
  <c r="E16" i="5" l="1"/>
  <c r="A43" i="35" s="1"/>
  <c r="E17" i="5" l="1"/>
  <c r="A52" i="35" l="1"/>
  <c r="E18" i="5"/>
  <c r="A70" i="35" s="1"/>
  <c r="E19" i="5" l="1"/>
  <c r="A82" i="35" s="1"/>
  <c r="E21" i="5" l="1"/>
  <c r="A103" i="35" s="1"/>
  <c r="B69" i="69" l="1"/>
  <c r="B71" i="69" s="1"/>
  <c r="B77" i="69" s="1"/>
  <c r="B79" i="69" s="1"/>
  <c r="B88" i="69" s="1"/>
  <c r="B90" i="69" s="1"/>
  <c r="B92" i="69" s="1"/>
  <c r="B99" i="69" s="1"/>
  <c r="B142" i="69" s="1"/>
  <c r="B149" i="69" s="1"/>
  <c r="B156" i="69" s="1"/>
  <c r="B163" i="69" s="1"/>
  <c r="B170" i="69" s="1"/>
  <c r="B172" i="69" s="1"/>
  <c r="B174" i="69" s="1"/>
</calcChain>
</file>

<file path=xl/sharedStrings.xml><?xml version="1.0" encoding="utf-8"?>
<sst xmlns="http://schemas.openxmlformats.org/spreadsheetml/2006/main" count="5909" uniqueCount="1905">
  <si>
    <t>%</t>
  </si>
  <si>
    <t>ANNEXURE-B</t>
  </si>
  <si>
    <t>PARTICULARS</t>
  </si>
  <si>
    <t>RATE</t>
  </si>
  <si>
    <t>LESS :</t>
  </si>
  <si>
    <t>OF</t>
  </si>
  <si>
    <t xml:space="preserve">OPENING </t>
  </si>
  <si>
    <t>SALES /</t>
  </si>
  <si>
    <t>DEPRECIATION</t>
  </si>
  <si>
    <t xml:space="preserve">BALANCE </t>
  </si>
  <si>
    <t>DEP.</t>
  </si>
  <si>
    <t>BALANCE</t>
  </si>
  <si>
    <t>ADJUSTED /</t>
  </si>
  <si>
    <t>AMOUNT</t>
  </si>
  <si>
    <t>DURING THE</t>
  </si>
  <si>
    <t>AS ON</t>
  </si>
  <si>
    <t xml:space="preserve">DISPOSED </t>
  </si>
  <si>
    <t>YEAR</t>
  </si>
  <si>
    <t>01.04.2009</t>
  </si>
  <si>
    <t>OFF</t>
  </si>
  <si>
    <t>AIR CONDITIONER</t>
  </si>
  <si>
    <t>COMPUTER EQUIPMENT</t>
  </si>
  <si>
    <t>ELECTRONIC WEIGHING SCALE</t>
  </si>
  <si>
    <t>PLANT &amp; MACHINERY</t>
  </si>
  <si>
    <t>SEWING MACHINE</t>
  </si>
  <si>
    <t>LAND</t>
  </si>
  <si>
    <t xml:space="preserve">            Current  Year  Total :-</t>
  </si>
  <si>
    <t xml:space="preserve">           Previous  Year Total :-</t>
  </si>
  <si>
    <t xml:space="preserve">                                                                                                                                                                                                                                                               </t>
  </si>
  <si>
    <t>RATE OF</t>
  </si>
  <si>
    <t>G  R   O   S   S ------- B   L   O   C   K</t>
  </si>
  <si>
    <t xml:space="preserve">DEPRECIATION  </t>
  </si>
  <si>
    <t>DEPRI-</t>
  </si>
  <si>
    <t>CIATION</t>
  </si>
  <si>
    <t>ADDITIONS</t>
  </si>
  <si>
    <t xml:space="preserve">AS ON </t>
  </si>
  <si>
    <t xml:space="preserve">UP TO </t>
  </si>
  <si>
    <t xml:space="preserve">    YEAR</t>
  </si>
  <si>
    <t>PREVIOUS YEAR</t>
  </si>
  <si>
    <t>I</t>
  </si>
  <si>
    <t>Addition during the year</t>
  </si>
  <si>
    <t xml:space="preserve">Deductions </t>
  </si>
  <si>
    <t xml:space="preserve">WDV as on </t>
  </si>
  <si>
    <t xml:space="preserve">More than </t>
  </si>
  <si>
    <t xml:space="preserve">Less than </t>
  </si>
  <si>
    <t>during the</t>
  </si>
  <si>
    <t>Depreciation</t>
  </si>
  <si>
    <t>WDV as on</t>
  </si>
  <si>
    <t>180 days</t>
  </si>
  <si>
    <t>year</t>
  </si>
  <si>
    <t>allowable</t>
  </si>
  <si>
    <t>Working Note:</t>
  </si>
  <si>
    <t>Calculation of Deferred Tax</t>
  </si>
  <si>
    <t>Taxable Income</t>
  </si>
  <si>
    <t>Add: Dep cos act</t>
  </si>
  <si>
    <t>Accounting Income or PBT</t>
  </si>
  <si>
    <t>Less: Dep IT Act</t>
  </si>
  <si>
    <t>Tax on accounting Income</t>
  </si>
  <si>
    <t>Prov fot I.T</t>
  </si>
  <si>
    <t>II</t>
  </si>
  <si>
    <t>Since PBT is more than Taxable Income there is Deferred Tax Liability.</t>
  </si>
  <si>
    <t>Hence Deferred Tax Liability</t>
  </si>
  <si>
    <t>Current Tax</t>
  </si>
  <si>
    <t>Particulars</t>
  </si>
  <si>
    <t>A</t>
  </si>
  <si>
    <t>EQUITY AND LIABILITIES</t>
  </si>
  <si>
    <t>Shareholders’ funds</t>
  </si>
  <si>
    <t xml:space="preserve">(a) Share capital </t>
  </si>
  <si>
    <t>(b) Reserves and surplus</t>
  </si>
  <si>
    <t>Non-current liabilities</t>
  </si>
  <si>
    <t>(a) Long-term borrowings</t>
  </si>
  <si>
    <t>(b) Deferred tax liabilities (net)</t>
  </si>
  <si>
    <t>Current liabilities</t>
  </si>
  <si>
    <t>TOTAL</t>
  </si>
  <si>
    <t>B</t>
  </si>
  <si>
    <t>ASSETS</t>
  </si>
  <si>
    <t>Non-current assets</t>
  </si>
  <si>
    <t>(b) Non-current investments</t>
  </si>
  <si>
    <t>Current assets</t>
  </si>
  <si>
    <t>See accompanying notes forming part of the financial statements</t>
  </si>
  <si>
    <t xml:space="preserve">In terms of our report attached. </t>
  </si>
  <si>
    <t xml:space="preserve"> </t>
  </si>
  <si>
    <t>Revenue from operations (gross)</t>
  </si>
  <si>
    <t>Expenses</t>
  </si>
  <si>
    <t>(a) Cost of materials consumed</t>
  </si>
  <si>
    <t>Opening balance</t>
  </si>
  <si>
    <t>Closing balance</t>
  </si>
  <si>
    <t>Add: Profit / (Loss) for the year</t>
  </si>
  <si>
    <t>Total</t>
  </si>
  <si>
    <t>(At lower of cost and net realisable value)</t>
  </si>
  <si>
    <t xml:space="preserve">Total </t>
  </si>
  <si>
    <t>Inventories at the end of the year:</t>
  </si>
  <si>
    <t>Finished goods</t>
  </si>
  <si>
    <t>Work-in-progress</t>
  </si>
  <si>
    <t>Inventories at the beginning of the year:</t>
  </si>
  <si>
    <t>Net (increase) / decrease</t>
  </si>
  <si>
    <t>(a) Authorised</t>
  </si>
  <si>
    <t>Miscellaneous Expenditure</t>
  </si>
  <si>
    <t>(b) Issued,  Subscribed and Paid up</t>
  </si>
  <si>
    <t>Bonus</t>
  </si>
  <si>
    <t>Bank Charges</t>
  </si>
  <si>
    <t>Bank Interest</t>
  </si>
  <si>
    <t>Interest on Unsecured loan</t>
  </si>
  <si>
    <t>As per our report of even date attached</t>
  </si>
  <si>
    <t>(A) Securities premium account</t>
  </si>
  <si>
    <t xml:space="preserve">(B) Surplus / (Deficit) in Statement of Profit and Loss </t>
  </si>
  <si>
    <t>NOTES ANNEXED TO AND FORMING PART OF THE BALANCE SHEET</t>
  </si>
  <si>
    <t>Rs.</t>
  </si>
  <si>
    <t xml:space="preserve">FOR THE </t>
  </si>
  <si>
    <t>(a) Current tax expense</t>
  </si>
  <si>
    <t>(b) Trade payables</t>
  </si>
  <si>
    <t>(c) Other current liabilities</t>
  </si>
  <si>
    <t>(d) Short-term provisions</t>
  </si>
  <si>
    <t xml:space="preserve">TOTAL  </t>
  </si>
  <si>
    <t>Name of Shareholders</t>
  </si>
  <si>
    <t>Total Value</t>
  </si>
  <si>
    <t>Note
 No.</t>
  </si>
  <si>
    <t>List of Shareholders holding more than 5% share capital</t>
  </si>
  <si>
    <t>ANNEXURE - A</t>
  </si>
  <si>
    <t xml:space="preserve">Chartered Accountants </t>
  </si>
  <si>
    <t>Other Income</t>
  </si>
  <si>
    <t>Total Expenses</t>
  </si>
  <si>
    <t>Tax Expense:</t>
  </si>
  <si>
    <t xml:space="preserve">Particulars of Depreciation allowable as per the Income Tax Act, 1961 in respect of each asset or block of asset as the case may be. </t>
  </si>
  <si>
    <t>Statement of Cash Flows</t>
  </si>
  <si>
    <t xml:space="preserve">Cash Flows from Operating Activities </t>
  </si>
  <si>
    <t xml:space="preserve">   Net Income </t>
  </si>
  <si>
    <t>Add:</t>
  </si>
  <si>
    <t xml:space="preserve">Expenses Not Requiring Cash: </t>
  </si>
  <si>
    <t xml:space="preserve">    Depreciation </t>
  </si>
  <si>
    <t xml:space="preserve">    Income Tax</t>
  </si>
  <si>
    <t xml:space="preserve">    Differed Tax</t>
  </si>
  <si>
    <t>Less</t>
  </si>
  <si>
    <t>Tax of Previous year</t>
  </si>
  <si>
    <t xml:space="preserve">    Other</t>
  </si>
  <si>
    <t>Add:- Decrease in Current Assets :-</t>
  </si>
  <si>
    <t>Less :- Increase in Current Assets :-</t>
  </si>
  <si>
    <t>Inventories</t>
  </si>
  <si>
    <t>Short-term loans and advances</t>
  </si>
  <si>
    <t>Other current liabilities</t>
  </si>
  <si>
    <t>Add:- Increase in Current Liability :</t>
  </si>
  <si>
    <t>Short-term provisions</t>
  </si>
  <si>
    <t>Less;- Decrease in Current Liabilities-</t>
  </si>
  <si>
    <t>Trade payables</t>
  </si>
  <si>
    <t xml:space="preserve">  Net Cash from Operating Activities </t>
  </si>
  <si>
    <t xml:space="preserve">Cash Flows from Investing Activities </t>
  </si>
  <si>
    <t>Add:-</t>
  </si>
  <si>
    <t xml:space="preserve">  Sale of Fixed Assets </t>
  </si>
  <si>
    <t>Less:-</t>
  </si>
  <si>
    <t xml:space="preserve">  Purchase of New Equipment </t>
  </si>
  <si>
    <t>Investments Decreased</t>
  </si>
  <si>
    <t>Investments Increased</t>
  </si>
  <si>
    <t xml:space="preserve">  Other  </t>
  </si>
  <si>
    <t xml:space="preserve">  Net Cash Used for Investing Activities </t>
  </si>
  <si>
    <t>Add</t>
  </si>
  <si>
    <t>Share Capital</t>
  </si>
  <si>
    <t>Long-term borrowings</t>
  </si>
  <si>
    <t xml:space="preserve">  Other</t>
  </si>
  <si>
    <t xml:space="preserve">  Net Cash from Financing Activities</t>
  </si>
  <si>
    <t xml:space="preserve">NET INCREASE/(DECREASE) IN CASH </t>
  </si>
  <si>
    <t>Other current assets</t>
  </si>
  <si>
    <t xml:space="preserve">    Short Term Borrowings</t>
  </si>
  <si>
    <t xml:space="preserve"> Short-term loans and advances</t>
  </si>
  <si>
    <t xml:space="preserve"> Trade receivables</t>
  </si>
  <si>
    <t xml:space="preserve"> Inventories</t>
  </si>
  <si>
    <t xml:space="preserve">BALANCE SHEET ABSTRACT IN COMPANIES GENERAL BUSINESS PROFILE </t>
  </si>
  <si>
    <t>I.</t>
  </si>
  <si>
    <t>Registration Details</t>
  </si>
  <si>
    <t>Registration No.</t>
  </si>
  <si>
    <t>State Code</t>
  </si>
  <si>
    <t>Balance Sheet Date</t>
  </si>
  <si>
    <t>II.</t>
  </si>
  <si>
    <t>Capital Raised during the year</t>
  </si>
  <si>
    <t>(Amount in Rs.Lacs)</t>
  </si>
  <si>
    <t>Public Issues</t>
  </si>
  <si>
    <t>Right Issue</t>
  </si>
  <si>
    <t xml:space="preserve"> Bonus Issue</t>
  </si>
  <si>
    <t>Private Placement</t>
  </si>
  <si>
    <t>III.</t>
  </si>
  <si>
    <t>Position Of Mobilisation and</t>
  </si>
  <si>
    <t>Deployment of Funds</t>
  </si>
  <si>
    <t>(Amount in Rs. Lacs)</t>
  </si>
  <si>
    <t>Total Liabilities</t>
  </si>
  <si>
    <t>Total Assets</t>
  </si>
  <si>
    <t>Sources Of Funds</t>
  </si>
  <si>
    <t>Paidup Capital</t>
  </si>
  <si>
    <t>Reserve &amp; Surplus</t>
  </si>
  <si>
    <t>Secured Loans</t>
  </si>
  <si>
    <t>Unsecured Loans</t>
  </si>
  <si>
    <t>Application Of Fund</t>
  </si>
  <si>
    <t>Net Fixed Assets</t>
  </si>
  <si>
    <t>Investment</t>
  </si>
  <si>
    <t>Net Current Assets</t>
  </si>
  <si>
    <t>IV.</t>
  </si>
  <si>
    <t>Performance Of the Comapnay</t>
  </si>
  <si>
    <t>(amount in Rs. Lacs)</t>
  </si>
  <si>
    <t>Total Turnover</t>
  </si>
  <si>
    <t>Total Expentidure</t>
  </si>
  <si>
    <t>Profit Before Tax</t>
  </si>
  <si>
    <t>Profit After Tax</t>
  </si>
  <si>
    <t>Earning per Share</t>
  </si>
  <si>
    <t>Dividend Rate (%)</t>
  </si>
  <si>
    <t>V.</t>
  </si>
  <si>
    <t>Generic Name Of Principal</t>
  </si>
  <si>
    <t>Products of the Company</t>
  </si>
  <si>
    <t>(DIRECTOR)</t>
  </si>
  <si>
    <t>CASH,  &amp; CASH EQUIVALENT AT THE END OF YEAR</t>
  </si>
  <si>
    <t xml:space="preserve">CASH,  &amp; CASH EQUIVALENT AT THEBEGINNING OF YEAR </t>
  </si>
  <si>
    <t>Short Term Provision</t>
  </si>
  <si>
    <t>Trade receivable</t>
  </si>
  <si>
    <t>Less:- Loss Due to Change in Rate of Depriciation as per Company Act 2013</t>
  </si>
  <si>
    <t xml:space="preserve">     (a) Short Term Borrowings</t>
  </si>
  <si>
    <t>AS PER SCHEDULE III OF THE COMPANIES ACT,2013</t>
  </si>
  <si>
    <t>M/S ALSTONE GREEN INDIA PRIVATE LIMITED</t>
  </si>
  <si>
    <t>31.03.2020</t>
  </si>
  <si>
    <t>067712</t>
  </si>
  <si>
    <t>Other Current Assets</t>
  </si>
  <si>
    <t xml:space="preserve">    N  E T   --   B  L  O  C  K</t>
  </si>
  <si>
    <t>(i) Property, Plant and Equipment</t>
  </si>
  <si>
    <t>(iii) Capital Work in progress</t>
  </si>
  <si>
    <t>(iv) Intangible Assets under Development</t>
  </si>
  <si>
    <t>(d) Long term loans and Advances</t>
  </si>
  <si>
    <t>(e) Other Non Current Assets</t>
  </si>
  <si>
    <t>(a) Current Investments</t>
  </si>
  <si>
    <t>(b) Inventories</t>
  </si>
  <si>
    <t>(c) Trade receivables</t>
  </si>
  <si>
    <t>(d) Cash and cash equivalents</t>
  </si>
  <si>
    <t>(e) Short-term loans and advances</t>
  </si>
  <si>
    <t>(f) Other Current Assets</t>
  </si>
  <si>
    <t>(b) Money Received against share warrents</t>
  </si>
  <si>
    <t xml:space="preserve"> Share application money pending allotments</t>
  </si>
  <si>
    <t>(c) Other Long Term Liabilities</t>
  </si>
  <si>
    <t>(d) Long term provision</t>
  </si>
  <si>
    <t>(A) total outstanding dues of micro enterprises and small enterprises</t>
  </si>
  <si>
    <t>(B) total outstanding dues of Creditors other than micro enterprises and small enterprises</t>
  </si>
  <si>
    <t>III</t>
  </si>
  <si>
    <t xml:space="preserve">Other Income </t>
  </si>
  <si>
    <t>Total Income (I+II)</t>
  </si>
  <si>
    <t>(b) Purchase of Stock in Trade</t>
  </si>
  <si>
    <t>(c) Changes in inventories of finished goods, work-in-progress and stock-in-trade</t>
  </si>
  <si>
    <t>(d) Employee benefits expenses</t>
  </si>
  <si>
    <t>(e) Finance costs</t>
  </si>
  <si>
    <t>(f) Depreciation and amortisation expenses</t>
  </si>
  <si>
    <t>(g) Other expenses</t>
  </si>
  <si>
    <t>IV</t>
  </si>
  <si>
    <t>V</t>
  </si>
  <si>
    <t>VI</t>
  </si>
  <si>
    <t>Profit before exceptional and extraordinary iteam and tax</t>
  </si>
  <si>
    <t>Exceptional Iteams</t>
  </si>
  <si>
    <t>VII</t>
  </si>
  <si>
    <t>Profit before extraordinary iteam and tax</t>
  </si>
  <si>
    <t>VIII</t>
  </si>
  <si>
    <t>Extraordinary Iteams</t>
  </si>
  <si>
    <t>IX</t>
  </si>
  <si>
    <t>Profit before Tax</t>
  </si>
  <si>
    <t>(b) Deferred tax</t>
  </si>
  <si>
    <t>X</t>
  </si>
  <si>
    <t xml:space="preserve">Profit / (Loss) for the period from continuing operations </t>
  </si>
  <si>
    <t>XI</t>
  </si>
  <si>
    <t>XII</t>
  </si>
  <si>
    <t xml:space="preserve">Profit / (Loss)  from discontinuing operations </t>
  </si>
  <si>
    <t>XIII</t>
  </si>
  <si>
    <t>Tax from discontinuing operations</t>
  </si>
  <si>
    <t>XIV</t>
  </si>
  <si>
    <t>Profit/ (Loss) from discontinuing operations</t>
  </si>
  <si>
    <t>XV</t>
  </si>
  <si>
    <t xml:space="preserve"> (Loss) for the Period</t>
  </si>
  <si>
    <t>XVI</t>
  </si>
  <si>
    <t>Total - Sales</t>
  </si>
  <si>
    <t>Note 21  FINANCE COST</t>
  </si>
  <si>
    <t>Outstanding for following periods from due date of payment</t>
  </si>
  <si>
    <t>Less than 1 Year</t>
  </si>
  <si>
    <t>1-2 Years</t>
  </si>
  <si>
    <t>2-3 Years</t>
  </si>
  <si>
    <t>More than 3 Years</t>
  </si>
  <si>
    <t>MSME</t>
  </si>
  <si>
    <t>Others</t>
  </si>
  <si>
    <t>Dispute dues-MSME</t>
  </si>
  <si>
    <t>Dispute dues</t>
  </si>
  <si>
    <t>Expenses Payable</t>
  </si>
  <si>
    <t>(ii) Intangible assets</t>
  </si>
  <si>
    <t>Less than 6 Months</t>
  </si>
  <si>
    <t>6 Months -1Year</t>
  </si>
  <si>
    <t>Undisputed Trade Receivables- Considered Goods</t>
  </si>
  <si>
    <t>Undisputed Trade Receivables- Considered Doubtful</t>
  </si>
  <si>
    <t>Disputed Trade Receivables- Considered Goods</t>
  </si>
  <si>
    <t>Disputed Trade Receivables- Considered Doubtful</t>
  </si>
  <si>
    <t>Figures For the Current Reporting Period</t>
  </si>
  <si>
    <t>Figures For Previous Reporting Period</t>
  </si>
  <si>
    <t>Sr No.</t>
  </si>
  <si>
    <t>No of shares</t>
  </si>
  <si>
    <t>% of total shares</t>
  </si>
  <si>
    <t>% Change during the year</t>
  </si>
  <si>
    <t>Promotors</t>
  </si>
  <si>
    <t>Balance at the beginning of the current reporting period</t>
  </si>
  <si>
    <t>Changes in Equity Share Capital due to prior period error</t>
  </si>
  <si>
    <t>Changes in Equity Share Capital during the current year</t>
  </si>
  <si>
    <t>Balance at the end of the current reporting period</t>
  </si>
  <si>
    <t>Related Balance at the beiginning of the current reporting periuod</t>
  </si>
  <si>
    <t>Current Reporting Period</t>
  </si>
  <si>
    <t>Previous reporting Period</t>
  </si>
  <si>
    <t>Balance at the beginning of the previous reporting period</t>
  </si>
  <si>
    <t>Related Balance at the beiginning of the previous reporting periuod</t>
  </si>
  <si>
    <t>Changes in Equity Share Capital during the previous year</t>
  </si>
  <si>
    <t>Balance at the end of the previous reporting period</t>
  </si>
  <si>
    <t>Title deeds of immovable Property not held in name of the Company</t>
  </si>
  <si>
    <t>Relevant line iteams in the Balance sheets</t>
  </si>
  <si>
    <t>Descriptions of Iteam of property</t>
  </si>
  <si>
    <t>Gross carrying Value</t>
  </si>
  <si>
    <t>Wheather title deed holder is a promotor, director or relative of Promotor' director or employee of promotors/ director</t>
  </si>
  <si>
    <t>Property held since which date</t>
  </si>
  <si>
    <t>Reason for not being held in the name of company</t>
  </si>
  <si>
    <t>Where the Company has revalued its Property, Plant and Equipment, the company shall disclose as to whether the revaluation is based on the valuation by a registered valuer as defined under rule 2 of the Companies (Registered Valuers and Valuation) Rules, 2017</t>
  </si>
  <si>
    <t>where Loans or Advances in the nature of loans are granted to promoters, directors, KMPs and the related parties (as defined under Companies Act, 2013,) either severally or jointly with any other person, that are:</t>
  </si>
  <si>
    <t>(a) repayable on demand or</t>
  </si>
  <si>
    <t>(b) without specifying any terms or period of repayment</t>
  </si>
  <si>
    <t>Percentage to the total Loans and Advances in the nature of loans</t>
  </si>
  <si>
    <t>Directors</t>
  </si>
  <si>
    <t>KMPs</t>
  </si>
  <si>
    <t>Related Parties</t>
  </si>
  <si>
    <t>Type of Borrower</t>
  </si>
  <si>
    <t>Amount of loan and Advance in the nature of Loan outstanding</t>
  </si>
  <si>
    <t>Capital Work In Progress (CWIP)</t>
  </si>
  <si>
    <t>(a) For Capital-work-in progress, following ageing schedule shall be given</t>
  </si>
  <si>
    <t>CWIP</t>
  </si>
  <si>
    <t>Amount in CWIP for a period of</t>
  </si>
  <si>
    <t>Less than 1 year</t>
  </si>
  <si>
    <t>More than 3 years</t>
  </si>
  <si>
    <t>Projects in progress</t>
  </si>
  <si>
    <t>Projects temporarily suspended</t>
  </si>
  <si>
    <t>1-2 years</t>
  </si>
  <si>
    <t>(b) For capital-work-in progress, whose completion is overdue or has exceeded its cost compared to its original plan, following</t>
  </si>
  <si>
    <t>Project 1</t>
  </si>
  <si>
    <t>Project 2</t>
  </si>
  <si>
    <t>To be Completed in</t>
  </si>
  <si>
    <t>Intangible assets under development:</t>
  </si>
  <si>
    <t>Instangible Assets under Development</t>
  </si>
  <si>
    <t>(a) For Intangible assets under development</t>
  </si>
  <si>
    <t>(b) Intangible assets under development completion schedule</t>
  </si>
  <si>
    <t>Details of Benami Property held</t>
  </si>
  <si>
    <t>Where the Company has borrowings from banks or financial institutions on the basis of current assets</t>
  </si>
  <si>
    <r>
      <t>(a)</t>
    </r>
    <r>
      <rPr>
        <sz val="7"/>
        <color indexed="8"/>
        <rFont val="Times New Roman"/>
        <family val="1"/>
      </rPr>
      <t xml:space="preserve">  </t>
    </r>
    <r>
      <rPr>
        <sz val="11"/>
        <color indexed="8"/>
        <rFont val="Segoe UI"/>
        <family val="2"/>
      </rPr>
      <t>whether quarterly returns or statements of current assets filed by the Company with banks or financial institutions are in agreement with the books of accounts.</t>
    </r>
  </si>
  <si>
    <t>(b) if not, summary of reconciliation and reasons of material discrepancies, if any to be adequately disclosed</t>
  </si>
  <si>
    <t>Wilful Defaulter</t>
  </si>
  <si>
    <t xml:space="preserve">a. Date of declaration as wilful defaulter,
</t>
  </si>
  <si>
    <t xml:space="preserve">b. Details of defaults (amount and nature of defaults),
</t>
  </si>
  <si>
    <t>Relationship with Struck off Companies</t>
  </si>
  <si>
    <t>Where the company has any transactions with companies struck off under section 248 of the Companies Act, 2013 or section 560 of Companies Act, 1956, the Company shall disclose the following details:-</t>
  </si>
  <si>
    <t>Name of struck off Company</t>
  </si>
  <si>
    <t>Balance outstanding</t>
  </si>
  <si>
    <t>Relationship with the Struck off company, if any, to be disclosed</t>
  </si>
  <si>
    <t>Investments in securities</t>
  </si>
  <si>
    <t>Receivables</t>
  </si>
  <si>
    <t>Payables</t>
  </si>
  <si>
    <t>Nature of transactions with struck-off Company</t>
  </si>
  <si>
    <t>Shares held by struck-off Company</t>
  </si>
  <si>
    <t>Other outstanding balances (to be specified</t>
  </si>
  <si>
    <t>Registration of charges or satisfaction with Registrar of Companies</t>
  </si>
  <si>
    <t>x</t>
  </si>
  <si>
    <t>Where any charges or satisfaction yet to be registered with Registrar of Companies beyond the statutory period, details and reasons thereof shall be disclosed.</t>
  </si>
  <si>
    <t>Compliance with number of layers of companies</t>
  </si>
  <si>
    <t>Where the company has not complied with the number of layers prescribed under clause (87) of section 2 of the Act read with Companies (Restriction on number of Layers) Rules, 2017, the name and CIN of the companies beyond the specified layers and the relationship/extent of holding of the company in such downstream companies shall be disclosed.</t>
  </si>
  <si>
    <t>Ratios</t>
  </si>
  <si>
    <t>Debt Equity Ratio</t>
  </si>
  <si>
    <t>Previous reporting period</t>
  </si>
  <si>
    <t>Debt Service coverage ratio</t>
  </si>
  <si>
    <t>Return on Equity Ratio</t>
  </si>
  <si>
    <t>Inventory Turnover Ratio</t>
  </si>
  <si>
    <t>Return on investment</t>
  </si>
  <si>
    <t>% of Change</t>
  </si>
  <si>
    <t>Where any Scheme of Arrangements has been approved by the Competent Authority in terms of sections 230 to 237 of the Companies Act, 2013, the Company shall disclose that the effect of such Scheme of Arrangements have been accounted for in the books of account of the Company ‘in accordance with the Scheme’ and ‘in accordance with accounting standards’ and deviation in this regard shall be explained</t>
  </si>
  <si>
    <t>Compliance with approved Scheme(s) of Arrangements</t>
  </si>
  <si>
    <t>Utilisation of Borrowed funds and share premium:</t>
  </si>
  <si>
    <t>Numerator</t>
  </si>
  <si>
    <t>Denominator</t>
  </si>
  <si>
    <t xml:space="preserve">Debt Capital </t>
  </si>
  <si>
    <t>Shareholder's Equity</t>
  </si>
  <si>
    <t xml:space="preserve">Profit for the year </t>
  </si>
  <si>
    <t>Average Shareholder’s Equity</t>
  </si>
  <si>
    <t>Average Inventory</t>
  </si>
  <si>
    <t>Average trade receivables</t>
  </si>
  <si>
    <t>Total Purchases (Fuel Cost + Other Expenses+Closing Inventory-Opening Inventory)</t>
  </si>
  <si>
    <t>Closing Trade Payables</t>
  </si>
  <si>
    <t>Earnings before interest and tax</t>
  </si>
  <si>
    <t>Capital Employed</t>
  </si>
  <si>
    <t>Net Profit</t>
  </si>
  <si>
    <t>Sales</t>
  </si>
  <si>
    <t>COGS</t>
  </si>
  <si>
    <t>Net Sales</t>
  </si>
  <si>
    <t>EBITDA-CAPEX</t>
  </si>
  <si>
    <t>Debt Service (Int+Principal)</t>
  </si>
  <si>
    <t>Workimg capital (CA-CL)</t>
  </si>
  <si>
    <t>Return on Capital employed</t>
  </si>
  <si>
    <t>Net profit ratio</t>
  </si>
  <si>
    <t>Net capital turnover ratio</t>
  </si>
  <si>
    <t>Trade payables turnover ratio</t>
  </si>
  <si>
    <t>Trade Receivables turnover ratio</t>
  </si>
  <si>
    <t>For the Years Ending March 31, 2021 and March 31, 2022</t>
  </si>
  <si>
    <t>Other Non currect investments</t>
  </si>
  <si>
    <t>March 2022</t>
  </si>
  <si>
    <t>Total trade payables</t>
  </si>
  <si>
    <t>Statutory Dues</t>
  </si>
  <si>
    <t>Total Trade Receivables</t>
  </si>
  <si>
    <t>Bank Balance</t>
  </si>
  <si>
    <t>Cash In Hand</t>
  </si>
  <si>
    <t>Security Deposit with others</t>
  </si>
  <si>
    <t>B) Other Bank Balances</t>
  </si>
  <si>
    <t>A) Cash and bank Balances</t>
  </si>
  <si>
    <t>FD with Banks</t>
  </si>
  <si>
    <t>(c) Deferred Tax Assets</t>
  </si>
  <si>
    <t>Purchase of Stock in trade</t>
  </si>
  <si>
    <t>Level 1</t>
  </si>
  <si>
    <t>Level 2</t>
  </si>
  <si>
    <t>Level 3</t>
  </si>
  <si>
    <t>Account</t>
  </si>
  <si>
    <t>Debit</t>
  </si>
  <si>
    <t>Credit</t>
  </si>
  <si>
    <t>Net</t>
  </si>
  <si>
    <t>Group</t>
  </si>
  <si>
    <t>Sub Group</t>
  </si>
  <si>
    <t>Remarks</t>
  </si>
  <si>
    <t>Reserves &amp; Surplus</t>
  </si>
  <si>
    <t>Current Liabilities</t>
  </si>
  <si>
    <t>Sundry Creditors for Expenses</t>
  </si>
  <si>
    <t>Duties &amp; Taxes</t>
  </si>
  <si>
    <t>Provisions</t>
  </si>
  <si>
    <t>Opening Balance</t>
  </si>
  <si>
    <t>Assets</t>
  </si>
  <si>
    <t>Fixed Assets</t>
  </si>
  <si>
    <t>Sundry Debtors</t>
  </si>
  <si>
    <t>Income</t>
  </si>
  <si>
    <t>Direct Incomes</t>
  </si>
  <si>
    <t>Direct Expenses</t>
  </si>
  <si>
    <t>Indirect Expenses</t>
  </si>
  <si>
    <t>Insurance Expenses</t>
  </si>
  <si>
    <t>BANK CHARGES</t>
  </si>
  <si>
    <t>Rent</t>
  </si>
  <si>
    <t>Enter Sheet Name for trial</t>
  </si>
  <si>
    <t>BS&amp;PL_Face</t>
  </si>
  <si>
    <t>During the year</t>
  </si>
  <si>
    <t>BANIYA KI DUKAN PRIVATE LIMITED</t>
  </si>
  <si>
    <t>S.No.</t>
  </si>
  <si>
    <t>Ratio</t>
  </si>
  <si>
    <t>31 March 2022</t>
  </si>
  <si>
    <t>31 March 2021</t>
  </si>
  <si>
    <t>% change</t>
  </si>
  <si>
    <t>Reason for variance exceeding 25% as compared to the preceding period</t>
  </si>
  <si>
    <t>Current ratio</t>
  </si>
  <si>
    <t>Current Assets</t>
  </si>
  <si>
    <t>Debt- Equity Ratio</t>
  </si>
  <si>
    <t>Total Debt</t>
  </si>
  <si>
    <t>Shareholder’s Equity</t>
  </si>
  <si>
    <t>Debt Service Coverage Ratio</t>
  </si>
  <si>
    <t>Earnings for debt service = Net profit after taxes + Depreciation</t>
  </si>
  <si>
    <t>Debt service = Interest &amp; Lease Payments + Principal Repayments</t>
  </si>
  <si>
    <t>Net Profits after taxes – Preference Dividend</t>
  </si>
  <si>
    <t>Trade Receivable Turnover Ratio</t>
  </si>
  <si>
    <t>Net credit sales = Gross credit sales - sales return</t>
  </si>
  <si>
    <t>Average Trade Receivable</t>
  </si>
  <si>
    <t>Trade Payable Turnover Ratio</t>
  </si>
  <si>
    <t>Purchase of goods &amp; Services</t>
  </si>
  <si>
    <t>Average Trade Payables</t>
  </si>
  <si>
    <t>NA</t>
  </si>
  <si>
    <t>Net Capital Turnover Ratio</t>
  </si>
  <si>
    <t>Net sales = Total sales - sales return</t>
  </si>
  <si>
    <t>Working capital = Current assets – Current liabilities</t>
  </si>
  <si>
    <t>Net Profit Ratio</t>
  </si>
  <si>
    <t>Net Profit after tax</t>
  </si>
  <si>
    <t>Cost of goods sold</t>
  </si>
  <si>
    <t>Return on Capital Employed</t>
  </si>
  <si>
    <t>Earnings before interest and taxes</t>
  </si>
  <si>
    <t>Capital Employed = Tangible Net Worth + Total Debt + Deferred Tax Liability</t>
  </si>
  <si>
    <t xml:space="preserve">The following are analytical ratios for the year ended March 31, 2022 </t>
  </si>
  <si>
    <t>Amount</t>
  </si>
  <si>
    <t>Accounting Income</t>
  </si>
  <si>
    <t>Current year Loss</t>
  </si>
  <si>
    <t>Total DTA Calculation</t>
  </si>
  <si>
    <t>WDV as per Companies Act, 2013</t>
  </si>
  <si>
    <t>WDV as per Income Tax Act, 1969</t>
  </si>
  <si>
    <t>Difference</t>
  </si>
  <si>
    <t>Total amount for DTA/(DTL)</t>
  </si>
  <si>
    <t>Tax Rate</t>
  </si>
  <si>
    <t>DTA/(DTL)</t>
  </si>
  <si>
    <t>Total to PL</t>
  </si>
  <si>
    <t>NOTES ANNEXED TO AND FORMING PART OF THE PROFIT AND LOSS</t>
  </si>
  <si>
    <t>Earning per equity share of face value of Rs. 10 each</t>
  </si>
  <si>
    <t>(1) Basic (In Rs.)</t>
  </si>
  <si>
    <t>(2) Diluted (In Rs.)</t>
  </si>
  <si>
    <t>NOTE 2A. SHARES HELD BY PROMOTORS</t>
  </si>
  <si>
    <t>Promoter's Name</t>
  </si>
  <si>
    <t>(a)</t>
  </si>
  <si>
    <t>Calculation of Ratios</t>
  </si>
  <si>
    <t>Financial Ratios</t>
  </si>
  <si>
    <t>Ratio/Measure</t>
  </si>
  <si>
    <t>For the year ended</t>
  </si>
  <si>
    <t>Variance in %</t>
  </si>
  <si>
    <t>Reason for Variance</t>
  </si>
  <si>
    <t>March, 2022</t>
  </si>
  <si>
    <t>March, 2021</t>
  </si>
  <si>
    <t>(a) Current Ratio</t>
  </si>
  <si>
    <t>Currents Assets</t>
  </si>
  <si>
    <t>(b) Debt-Equity Ratio</t>
  </si>
  <si>
    <t>Shareholders Equity</t>
  </si>
  <si>
    <t>(c ) Debt Service Coverage Ratio</t>
  </si>
  <si>
    <t>Earning available for debt Services:</t>
  </si>
  <si>
    <t>Debt Service</t>
  </si>
  <si>
    <t xml:space="preserve">(d) Return on Equity </t>
  </si>
  <si>
    <t>Average Shareholder equity</t>
  </si>
  <si>
    <t>(e) Inventory Turnover Ratio</t>
  </si>
  <si>
    <t>(f) Trade Receivable Turnover Ratio</t>
  </si>
  <si>
    <t>Net Credit Sales</t>
  </si>
  <si>
    <t>Average Accounts Receivable</t>
  </si>
  <si>
    <t>(g) Trade Payable Turnover Ratio</t>
  </si>
  <si>
    <t>Net Credit Purchase</t>
  </si>
  <si>
    <t>Average Trade Payable</t>
  </si>
  <si>
    <t>(h) Net Capital Turnover Ratio</t>
  </si>
  <si>
    <t>Average working Capital</t>
  </si>
  <si>
    <t>(i) Net Profit Ratio</t>
  </si>
  <si>
    <t>(j) Return on capital employed</t>
  </si>
  <si>
    <t>Earning before interest and tax</t>
  </si>
  <si>
    <t>Capital employed</t>
  </si>
  <si>
    <t>(k) Return on investment</t>
  </si>
  <si>
    <t>Working</t>
  </si>
  <si>
    <t>Current Ratio</t>
  </si>
  <si>
    <t xml:space="preserve">Current Assets </t>
  </si>
  <si>
    <t>Debt-Equity Ratio</t>
  </si>
  <si>
    <t>Borrowings:</t>
  </si>
  <si>
    <t>Borrowings (Long Term)</t>
  </si>
  <si>
    <t>Lease Liabilities (Long Term)</t>
  </si>
  <si>
    <t>Borrowings (Short Term)</t>
  </si>
  <si>
    <t>Lease Liabilities (Short Term)</t>
  </si>
  <si>
    <t>Net worth</t>
  </si>
  <si>
    <t>Earning available debt Services:</t>
  </si>
  <si>
    <t>Net profit before tax</t>
  </si>
  <si>
    <t>Add: Non cash items</t>
  </si>
  <si>
    <t>Finance costs</t>
  </si>
  <si>
    <t xml:space="preserve">Depreciation and amortization expenses </t>
  </si>
  <si>
    <t>Loss on discarding of machines</t>
  </si>
  <si>
    <t>Net adjusted EBIT</t>
  </si>
  <si>
    <t>Debt Service:</t>
  </si>
  <si>
    <t xml:space="preserve">Interest </t>
  </si>
  <si>
    <t>Principal repayment</t>
  </si>
  <si>
    <t>Lease payment</t>
  </si>
  <si>
    <t xml:space="preserve">Return on Equity </t>
  </si>
  <si>
    <t>Net profit after tax</t>
  </si>
  <si>
    <t>Average Shareholders' equity</t>
  </si>
  <si>
    <t>Opening Shareholders' equity</t>
  </si>
  <si>
    <t>Closing Shareholders' equity</t>
  </si>
  <si>
    <t>( e) Inventory Turnover Ratio</t>
  </si>
  <si>
    <t>Sale of products</t>
  </si>
  <si>
    <t>Average stock of finished goods</t>
  </si>
  <si>
    <t>Opening Stock of finished goods</t>
  </si>
  <si>
    <t>Closing Stock of finished goods</t>
  </si>
  <si>
    <t>Sale products</t>
  </si>
  <si>
    <t>Trade Receivable</t>
  </si>
  <si>
    <t>Average Receivable</t>
  </si>
  <si>
    <t>Opening Recievable</t>
  </si>
  <si>
    <t>Closing Receivable</t>
  </si>
  <si>
    <t>RM Purchase</t>
  </si>
  <si>
    <t>Consumbles &amp; Spare Parts:</t>
  </si>
  <si>
    <t>Consumble consumption</t>
  </si>
  <si>
    <t>Repair &amp; Maint to Machines</t>
  </si>
  <si>
    <t>Repair &amp; Maint to Building</t>
  </si>
  <si>
    <t>Selling &amp; Distribution Exp</t>
  </si>
  <si>
    <t>Op.Stock of Consumables &amp; Spare parts</t>
  </si>
  <si>
    <t>Cl.Stock of Consumables &amp; Spare parts</t>
  </si>
  <si>
    <t xml:space="preserve">Average Trade Payable </t>
  </si>
  <si>
    <t xml:space="preserve">Opening Trade Payable </t>
  </si>
  <si>
    <t xml:space="preserve">Closing Trade Payable </t>
  </si>
  <si>
    <t>Scrap sale</t>
  </si>
  <si>
    <t>Opening working Capital</t>
  </si>
  <si>
    <t>Closing working Capital</t>
  </si>
  <si>
    <t>Working Capital</t>
  </si>
  <si>
    <t>Net profit</t>
  </si>
  <si>
    <t>(j) ROCE</t>
  </si>
  <si>
    <t>ROCE</t>
  </si>
  <si>
    <t>Intangible Assets &amp; DTA</t>
  </si>
  <si>
    <t>Tangible Net Worth</t>
  </si>
  <si>
    <t>Long term debt</t>
  </si>
  <si>
    <t>Equity of the company is negative</t>
  </si>
  <si>
    <t>Operations started this year only</t>
  </si>
  <si>
    <t>Operations started this year only, therefore losses increases</t>
  </si>
  <si>
    <t>There are no Debt Servicing during the year</t>
  </si>
  <si>
    <t>Loans are taken during the year only</t>
  </si>
  <si>
    <t>Capital Account</t>
  </si>
  <si>
    <t>Loans (Liability)</t>
  </si>
  <si>
    <t>Sales Accounts</t>
  </si>
  <si>
    <t>Purchase Accounts</t>
  </si>
  <si>
    <t>Indirect Incomes</t>
  </si>
  <si>
    <t>Export Packing Credit IN INR</t>
  </si>
  <si>
    <t>SIDBI Loan</t>
  </si>
  <si>
    <t>ADVANCE TO SUPPLIER</t>
  </si>
  <si>
    <t>CREDITORS OTHERS</t>
  </si>
  <si>
    <t>SALARY PAYABLE</t>
  </si>
  <si>
    <t>Sundry Creditors for Factory Building</t>
  </si>
  <si>
    <t>Factory Bldg Work in Progress</t>
  </si>
  <si>
    <t>FURNITURE &amp; FITTING</t>
  </si>
  <si>
    <t>Capitalization of Plot No 1922 (Land)</t>
  </si>
  <si>
    <t>MACHINERY</t>
  </si>
  <si>
    <t>Motor Car</t>
  </si>
  <si>
    <t>OFFICE EQUIPMENTS</t>
  </si>
  <si>
    <t>Opening Stock</t>
  </si>
  <si>
    <t>Loans &amp; Advances (Asset)</t>
  </si>
  <si>
    <t>Cash-in-Hand</t>
  </si>
  <si>
    <t>Bank Accounts</t>
  </si>
  <si>
    <t>Advance with Revenue Deptt.</t>
  </si>
  <si>
    <t>EXPORT INCENTIVE RECEIVABLE</t>
  </si>
  <si>
    <t>Export Sales</t>
  </si>
  <si>
    <t>Cartage Inward</t>
  </si>
  <si>
    <t>JOB WORK /LABOUR CHARGES</t>
  </si>
  <si>
    <t>CARGO HANDLING</t>
  </si>
  <si>
    <t>CARGO HANDLING CHARGES</t>
  </si>
  <si>
    <t>Interest on Secured Loan</t>
  </si>
  <si>
    <t>Legal Fees</t>
  </si>
  <si>
    <t>Employee Benefit Expenses</t>
  </si>
  <si>
    <t>ARUN KUMAR</t>
  </si>
  <si>
    <t>T.S.S. INC</t>
  </si>
  <si>
    <t>Long Term Borrowings</t>
  </si>
  <si>
    <t>Bank Overdrafts</t>
  </si>
  <si>
    <t>Secured Loans from Bank</t>
  </si>
  <si>
    <t>Unsecured Loans from Related Parties</t>
  </si>
  <si>
    <t>Liability</t>
  </si>
  <si>
    <t>Duties and Taxes</t>
  </si>
  <si>
    <t>Rs. In Hundereds</t>
  </si>
  <si>
    <t>Short Term Provisions</t>
  </si>
  <si>
    <t>Sundry Creditors</t>
  </si>
  <si>
    <t>Advance Payments to Creditors</t>
  </si>
  <si>
    <t>Non MSME</t>
  </si>
  <si>
    <t>Other Current Liabilities</t>
  </si>
  <si>
    <t>Cash and Cash Equivalent</t>
  </si>
  <si>
    <t>Revenue from Operations</t>
  </si>
  <si>
    <t>Domestic Sale</t>
  </si>
  <si>
    <t>Jobwork Charges</t>
  </si>
  <si>
    <t>Total (A+B)</t>
  </si>
  <si>
    <t>Electricity Expenses</t>
  </si>
  <si>
    <t>Design Expenses</t>
  </si>
  <si>
    <t>Custom Clearing and forwarding charges</t>
  </si>
  <si>
    <t xml:space="preserve">Interest Paid </t>
  </si>
  <si>
    <t>Legal and Professional Fees</t>
  </si>
  <si>
    <t>Salary &amp; Wages</t>
  </si>
  <si>
    <t>Staff Welfare expenses</t>
  </si>
  <si>
    <t>Commission Expenses</t>
  </si>
  <si>
    <t>Staff Conveyance Allowance</t>
  </si>
  <si>
    <t>Conveyance Expenses</t>
  </si>
  <si>
    <t>Postage and Courier Expenses</t>
  </si>
  <si>
    <t>Depreciation and Amortisation expenses</t>
  </si>
  <si>
    <t>Misc. Expenses</t>
  </si>
  <si>
    <t>ECGC Expenses</t>
  </si>
  <si>
    <t>Cartage Outward</t>
  </si>
  <si>
    <t>Interest on TDS/GST/Income Tax</t>
  </si>
  <si>
    <t>Repair and Maintenance</t>
  </si>
  <si>
    <t>Security expenses</t>
  </si>
  <si>
    <t>March 2023</t>
  </si>
  <si>
    <t>STATEMENT OF FIXED ASSETS, AS ON 31 ST MARCH 2023</t>
  </si>
  <si>
    <t>Received during the year</t>
  </si>
  <si>
    <t>Security Premium</t>
  </si>
  <si>
    <t>01.04.2022</t>
  </si>
  <si>
    <t>31.03.2023</t>
  </si>
  <si>
    <t>Fineshed Goods</t>
  </si>
  <si>
    <t>(Amount in Hundred's)</t>
  </si>
  <si>
    <t>Pre-Incorporation Expenses</t>
  </si>
  <si>
    <t>Preincorporation expenses to be claimed</t>
  </si>
  <si>
    <t>Balance</t>
  </si>
  <si>
    <t>Proficount</t>
  </si>
  <si>
    <t>Shareemium</t>
  </si>
  <si>
    <t>Equitamesh</t>
  </si>
  <si>
    <t xml:space="preserve">Equithare </t>
  </si>
  <si>
    <t>RPC- 00253</t>
  </si>
  <si>
    <t>Expororex)</t>
  </si>
  <si>
    <t>SIDBIBldg)</t>
  </si>
  <si>
    <t>SIDBIPITAL</t>
  </si>
  <si>
    <t>A-Sta Loan</t>
  </si>
  <si>
    <t>FortuLoan)</t>
  </si>
  <si>
    <t>Rames Loan</t>
  </si>
  <si>
    <t>A B &amp; Loan</t>
  </si>
  <si>
    <t>Unsec Loan</t>
  </si>
  <si>
    <t>Deferredit</t>
  </si>
  <si>
    <t>Defferedit</t>
  </si>
  <si>
    <t>Deffe@ 18%</t>
  </si>
  <si>
    <t>IGST YABLE</t>
  </si>
  <si>
    <t>INPUT@2.5%</t>
  </si>
  <si>
    <t>INPUT @ 6%</t>
  </si>
  <si>
    <t>INPUT @ 9%</t>
  </si>
  <si>
    <t>INPUT@ 12%</t>
  </si>
  <si>
    <t>INPUT@ 18%</t>
  </si>
  <si>
    <t>INPUT @28%</t>
  </si>
  <si>
    <t>INPUTT @5%</t>
  </si>
  <si>
    <t>Input @ 5%</t>
  </si>
  <si>
    <t>OUT PST 6%</t>
  </si>
  <si>
    <t>OUTPUST 9%</t>
  </si>
  <si>
    <t>OUTPUST 5%</t>
  </si>
  <si>
    <t>Outpu@ 12%</t>
  </si>
  <si>
    <t>Outpu@ 18%</t>
  </si>
  <si>
    <t>Outpu (5%)</t>
  </si>
  <si>
    <t>SGST redit</t>
  </si>
  <si>
    <t>SGST  Cash</t>
  </si>
  <si>
    <t>TDS o194H)</t>
  </si>
  <si>
    <t>TDS o94 C)</t>
  </si>
  <si>
    <t>TDS O194J)</t>
  </si>
  <si>
    <t>TDS o194I)</t>
  </si>
  <si>
    <t>TDS OALARY</t>
  </si>
  <si>
    <t>Provi22-23</t>
  </si>
  <si>
    <t>Provi Loan</t>
  </si>
  <si>
    <t>FORTUMITED</t>
  </si>
  <si>
    <t>A TO T LTD</t>
  </si>
  <si>
    <t>DIGITOLOGY</t>
  </si>
  <si>
    <t>JP ELICALS</t>
  </si>
  <si>
    <t>MD USATION</t>
  </si>
  <si>
    <t>MUNJAADERS</t>
  </si>
  <si>
    <t>OOCL  LTD.</t>
  </si>
  <si>
    <t>PANDERIERS</t>
  </si>
  <si>
    <t>PARADITURE</t>
  </si>
  <si>
    <t>PRAVEIATES</t>
  </si>
  <si>
    <t>PROFIOUPS)</t>
  </si>
  <si>
    <t>RA3 DSIGNS</t>
  </si>
  <si>
    <t>SHARMT CO.</t>
  </si>
  <si>
    <t>SUDESHARMA</t>
  </si>
  <si>
    <t>TATA C LTD</t>
  </si>
  <si>
    <t>TRANST LTD</t>
  </si>
  <si>
    <t>UNIFI LTD.</t>
  </si>
  <si>
    <t>BEST D(DL)</t>
  </si>
  <si>
    <t>BEST D(HR)</t>
  </si>
  <si>
    <t>BHARA LTD.</t>
  </si>
  <si>
    <t>BluemOIDA)</t>
  </si>
  <si>
    <t>DEEPA(HUF)</t>
  </si>
  <si>
    <t>DHL ET LTD</t>
  </si>
  <si>
    <t>GM &amp; cates</t>
  </si>
  <si>
    <t>IFFCO LTD.</t>
  </si>
  <si>
    <t>Sanden HUF</t>
  </si>
  <si>
    <t>S.K. iates</t>
  </si>
  <si>
    <t>SPARS LTD.</t>
  </si>
  <si>
    <t>TAURUELHI)</t>
  </si>
  <si>
    <t>Tauru (MH)</t>
  </si>
  <si>
    <t>A.H. DLOOM</t>
  </si>
  <si>
    <t>Apparuncil</t>
  </si>
  <si>
    <t>ARIHANTERS</t>
  </si>
  <si>
    <t>ARTI RISES</t>
  </si>
  <si>
    <t>A STAS LLP</t>
  </si>
  <si>
    <t>CHAUDRISES</t>
  </si>
  <si>
    <t xml:space="preserve">COMPLION_x000D_
</t>
  </si>
  <si>
    <t>ECGC C LTD</t>
  </si>
  <si>
    <t>GAME D(HR)</t>
  </si>
  <si>
    <t>GLOBARISES</t>
  </si>
  <si>
    <t>GULSHNCIES</t>
  </si>
  <si>
    <t>HERITLAMPS</t>
  </si>
  <si>
    <t>HONOUT LTD</t>
  </si>
  <si>
    <t>INDIANCIES</t>
  </si>
  <si>
    <t>INSTACCESS</t>
  </si>
  <si>
    <t>JASCHTRIES</t>
  </si>
  <si>
    <t>JAWAHNG CO</t>
  </si>
  <si>
    <t>LEATHINDIA</t>
  </si>
  <si>
    <t>Legalmited</t>
  </si>
  <si>
    <t>LYNX  LTD.</t>
  </si>
  <si>
    <t>Manu ional</t>
  </si>
  <si>
    <t>MUNJAWARES</t>
  </si>
  <si>
    <t>OM CASTICS</t>
  </si>
  <si>
    <t>R D Erises</t>
  </si>
  <si>
    <t>Recei22-23</t>
  </si>
  <si>
    <t>RJT ERISES</t>
  </si>
  <si>
    <t>A B &amp;Delhi</t>
  </si>
  <si>
    <t>A C &amp;NOIDA</t>
  </si>
  <si>
    <t>A M &amp;. Rai</t>
  </si>
  <si>
    <t>RKCRKC</t>
  </si>
  <si>
    <t>ABC HT LTD</t>
  </si>
  <si>
    <t>RODTE0-21)</t>
  </si>
  <si>
    <t>RODTE1-22)</t>
  </si>
  <si>
    <t>SABHAT LTD</t>
  </si>
  <si>
    <t>SANT ADERS</t>
  </si>
  <si>
    <t>SHIVAIONAL</t>
  </si>
  <si>
    <t>SHIVAADERS</t>
  </si>
  <si>
    <t>SHIV ADERS</t>
  </si>
  <si>
    <t>SHREEIONAL</t>
  </si>
  <si>
    <t>SHRUT LTD.</t>
  </si>
  <si>
    <t>SMS Iional</t>
  </si>
  <si>
    <t>STI A LTD.</t>
  </si>
  <si>
    <t>Sun Ms LLP</t>
  </si>
  <si>
    <t>Sunrirints</t>
  </si>
  <si>
    <t>SWASTRAFTS</t>
  </si>
  <si>
    <t>TDM FT LTD</t>
  </si>
  <si>
    <t>TERMO LTD.</t>
  </si>
  <si>
    <t>THE OO LTD</t>
  </si>
  <si>
    <t>TIRPAUDYOG</t>
  </si>
  <si>
    <t>WEATHMAKER</t>
  </si>
  <si>
    <t>WEAVEX FAB</t>
  </si>
  <si>
    <t>AMIT PLING</t>
  </si>
  <si>
    <t>Balke A/c)</t>
  </si>
  <si>
    <t>Bhupi A/c)</t>
  </si>
  <si>
    <t>CHHATY A/C</t>
  </si>
  <si>
    <t>Deepa A/c)</t>
  </si>
  <si>
    <t>Deven A/c)</t>
  </si>
  <si>
    <t>FARUKRY AC</t>
  </si>
  <si>
    <t>GEETIY A/C</t>
  </si>
  <si>
    <t>JAMEEY A/C</t>
  </si>
  <si>
    <t>KUSHAY A/C</t>
  </si>
  <si>
    <t>MD ALY A/C</t>
  </si>
  <si>
    <t>Neha able)</t>
  </si>
  <si>
    <t>Prave A/c)</t>
  </si>
  <si>
    <t>RAMKEY A/C</t>
  </si>
  <si>
    <t>SANJAY A/C</t>
  </si>
  <si>
    <t>SATBIY A/C</t>
  </si>
  <si>
    <t>SATNAY A/C</t>
  </si>
  <si>
    <t>SUNILS A/C</t>
  </si>
  <si>
    <t>SUNILY A/C</t>
  </si>
  <si>
    <t>DEEPAT A/C</t>
  </si>
  <si>
    <t>Devencount</t>
  </si>
  <si>
    <t>ElectYBALE</t>
  </si>
  <si>
    <t>GG ENMITED</t>
  </si>
  <si>
    <t>K.C. GLASS</t>
  </si>
  <si>
    <t>M.G. tries</t>
  </si>
  <si>
    <t>SANTOMITED</t>
  </si>
  <si>
    <t>SHREETEELS</t>
  </si>
  <si>
    <t>V K WWORKS</t>
  </si>
  <si>
    <t>BHUPIPREST</t>
  </si>
  <si>
    <t>Shareamesh</t>
  </si>
  <si>
    <t>ShareMoney</t>
  </si>
  <si>
    <t>SIDBIities</t>
  </si>
  <si>
    <t>CEMENSARIA</t>
  </si>
  <si>
    <t>Elect 1922</t>
  </si>
  <si>
    <t>Fac. 1922)</t>
  </si>
  <si>
    <t>HSIIDarges</t>
  </si>
  <si>
    <t>FURNIXTURE</t>
  </si>
  <si>
    <t>Interldg.)</t>
  </si>
  <si>
    <t>Land 1922)</t>
  </si>
  <si>
    <t>MACHIINERY</t>
  </si>
  <si>
    <t>Kia Mr Car</t>
  </si>
  <si>
    <t>AIR CIONER</t>
  </si>
  <si>
    <t>Printchine</t>
  </si>
  <si>
    <t>Accumation</t>
  </si>
  <si>
    <t>COMPUPUTER</t>
  </si>
  <si>
    <t>StockTrade</t>
  </si>
  <si>
    <t>ADVAN2-23)</t>
  </si>
  <si>
    <t>Incom20-21</t>
  </si>
  <si>
    <t>NAVEER HUF</t>
  </si>
  <si>
    <t>TCS R22-23</t>
  </si>
  <si>
    <t>TDS R22-23</t>
  </si>
  <si>
    <t>ALESSS LLC</t>
  </si>
  <si>
    <t>APPARI DC)</t>
  </si>
  <si>
    <t>AYFEEE SRL</t>
  </si>
  <si>
    <t>BUY GL INC</t>
  </si>
  <si>
    <t>EMPORE LLP</t>
  </si>
  <si>
    <t>H&amp;R PY LLC</t>
  </si>
  <si>
    <t>InterFokus</t>
  </si>
  <si>
    <t>JAKEL.BHD.</t>
  </si>
  <si>
    <t>KUNALROVER</t>
  </si>
  <si>
    <t>Mallis LLC</t>
  </si>
  <si>
    <t>Massi Ltd.</t>
  </si>
  <si>
    <t>MUSEUN LTD</t>
  </si>
  <si>
    <t>RARE  LTD.</t>
  </si>
  <si>
    <t>STONEA LLC</t>
  </si>
  <si>
    <t>Y &amp; SS INC</t>
  </si>
  <si>
    <t>CashCash</t>
  </si>
  <si>
    <t>Bank 1817)</t>
  </si>
  <si>
    <t>BOB (COUNT</t>
  </si>
  <si>
    <t>Flexi2743)</t>
  </si>
  <si>
    <t>Flexi3150)</t>
  </si>
  <si>
    <t>Flexi3378)</t>
  </si>
  <si>
    <t>Flexi3626)</t>
  </si>
  <si>
    <t>Flexi3752)</t>
  </si>
  <si>
    <t>Flexi4208)</t>
  </si>
  <si>
    <t>Flexi4233)</t>
  </si>
  <si>
    <t>Flexi4314)</t>
  </si>
  <si>
    <t>Flexi4321)</t>
  </si>
  <si>
    <t>Flexi4326)</t>
  </si>
  <si>
    <t>Flexi0220)</t>
  </si>
  <si>
    <t>Flexi0237)</t>
  </si>
  <si>
    <t>Flexi0254)</t>
  </si>
  <si>
    <t>Flexi0269)</t>
  </si>
  <si>
    <t>Flexi0276)</t>
  </si>
  <si>
    <t>Flexi0297)</t>
  </si>
  <si>
    <t>ICICI03438</t>
  </si>
  <si>
    <t>ADVAN3-24)</t>
  </si>
  <si>
    <t>GST Rdable</t>
  </si>
  <si>
    <t>TCS R-2024</t>
  </si>
  <si>
    <t>TDS R23-24</t>
  </si>
  <si>
    <t>Duty vable</t>
  </si>
  <si>
    <t>Deferssets</t>
  </si>
  <si>
    <t>Self -2023</t>
  </si>
  <si>
    <t>SIDBIVANCE</t>
  </si>
  <si>
    <t>YamunPlot)</t>
  </si>
  <si>
    <t>PREPARANCE</t>
  </si>
  <si>
    <t>Exporr LUT</t>
  </si>
  <si>
    <t>ExporT 12%</t>
  </si>
  <si>
    <t>ExporT 18%</t>
  </si>
  <si>
    <t>CENTE@ 18%</t>
  </si>
  <si>
    <t>CENTRST 5%</t>
  </si>
  <si>
    <t>Centr@ 12%</t>
  </si>
  <si>
    <t>Centr(Gst)</t>
  </si>
  <si>
    <t>Insurxport</t>
  </si>
  <si>
    <t>LOCALT 12%</t>
  </si>
  <si>
    <t>LOCALT 18%</t>
  </si>
  <si>
    <t>CENTR@ 12%</t>
  </si>
  <si>
    <t>CENTR@ 18%</t>
  </si>
  <si>
    <t>CENTRST@5%</t>
  </si>
  <si>
    <t>Local@ 12%</t>
  </si>
  <si>
    <t>LOCALT@18%</t>
  </si>
  <si>
    <t>LOCALT @5%</t>
  </si>
  <si>
    <t>PurchRated</t>
  </si>
  <si>
    <t>Duty ncome</t>
  </si>
  <si>
    <t>Gain 20-21</t>
  </si>
  <si>
    <t>Gain 21-22</t>
  </si>
  <si>
    <t>Rodte22-23</t>
  </si>
  <si>
    <t>Carta@ 18%</t>
  </si>
  <si>
    <t>CARTAW 12%</t>
  </si>
  <si>
    <t>JOB WARGES</t>
  </si>
  <si>
    <t>DESIGARGES</t>
  </si>
  <si>
    <t>ELECT EXP.</t>
  </si>
  <si>
    <t>IMPOR EXP.</t>
  </si>
  <si>
    <t>Job W@ GST</t>
  </si>
  <si>
    <t>Commi6111)</t>
  </si>
  <si>
    <t>Gain  Fluc</t>
  </si>
  <si>
    <t>Interncome</t>
  </si>
  <si>
    <t>BANK ARGES</t>
  </si>
  <si>
    <t>BANK - GST</t>
  </si>
  <si>
    <t>Bank L A/c</t>
  </si>
  <si>
    <t>EXPOR EXP.</t>
  </si>
  <si>
    <t>CARGOARGES</t>
  </si>
  <si>
    <t>CARGOMPTED</t>
  </si>
  <si>
    <t>Interital)</t>
  </si>
  <si>
    <t>ROC F Fees</t>
  </si>
  <si>
    <t>ROC Fpital</t>
  </si>
  <si>
    <t>CONVEOWNCE</t>
  </si>
  <si>
    <t>H.R.AH.R.A</t>
  </si>
  <si>
    <t>OTHERWENCE</t>
  </si>
  <si>
    <t>SALARALARY</t>
  </si>
  <si>
    <t>Buildrance</t>
  </si>
  <si>
    <t>Commi Paid</t>
  </si>
  <si>
    <t>Commin GST</t>
  </si>
  <si>
    <t>Conve Exp.</t>
  </si>
  <si>
    <t>Couri GST)</t>
  </si>
  <si>
    <t>Depreation</t>
  </si>
  <si>
    <t>Disco Paid</t>
  </si>
  <si>
    <t>ECGC  EXP.</t>
  </si>
  <si>
    <t>Freigtward</t>
  </si>
  <si>
    <t>INSURARGES</t>
  </si>
  <si>
    <t>Inter Paid</t>
  </si>
  <si>
    <t>Intern TDS</t>
  </si>
  <si>
    <t>Legal@ GST</t>
  </si>
  <si>
    <t>Loss  Fluc</t>
  </si>
  <si>
    <t>PROFEL FEE</t>
  </si>
  <si>
    <t>PROFE- GST</t>
  </si>
  <si>
    <t>RENT  PAID</t>
  </si>
  <si>
    <t>Repai@ GST</t>
  </si>
  <si>
    <t>Roundd Off</t>
  </si>
  <si>
    <t>SECURPENSE</t>
  </si>
  <si>
    <t>TRANSARGES</t>
  </si>
  <si>
    <t>UIN CARGES</t>
  </si>
  <si>
    <t>Vehicrance</t>
  </si>
  <si>
    <t>Vehicnance</t>
  </si>
  <si>
    <t>Incompense</t>
  </si>
  <si>
    <t>Incomyable</t>
  </si>
  <si>
    <t>Deffepense</t>
  </si>
  <si>
    <t>DTADTA</t>
  </si>
  <si>
    <t>Letter Head</t>
  </si>
  <si>
    <t>No</t>
  </si>
  <si>
    <t>Financial Year</t>
  </si>
  <si>
    <t>Year Start Date</t>
  </si>
  <si>
    <t>Year End Date</t>
  </si>
  <si>
    <t>Previous Year End Date</t>
  </si>
  <si>
    <t>Company Details</t>
  </si>
  <si>
    <t>Name of Company</t>
  </si>
  <si>
    <t>Registered Address</t>
  </si>
  <si>
    <t>CIN</t>
  </si>
  <si>
    <t>Incorporation Date</t>
  </si>
  <si>
    <t>Email ID</t>
  </si>
  <si>
    <t>Mobile Number</t>
  </si>
  <si>
    <t>FV per share</t>
  </si>
  <si>
    <t>Signing Details</t>
  </si>
  <si>
    <t>Signing Place</t>
  </si>
  <si>
    <t>Signing Date</t>
  </si>
  <si>
    <t>Regularisation</t>
  </si>
  <si>
    <t>Date of App.</t>
  </si>
  <si>
    <t>To be now App. As</t>
  </si>
  <si>
    <t>Diretor/Signatory 1</t>
  </si>
  <si>
    <t>DIN 1</t>
  </si>
  <si>
    <t>Diretor/Signatory 2</t>
  </si>
  <si>
    <t>Yes</t>
  </si>
  <si>
    <t>Non-Executive Director</t>
  </si>
  <si>
    <t>DIN 2</t>
  </si>
  <si>
    <t>AGM Details</t>
  </si>
  <si>
    <t>Number</t>
  </si>
  <si>
    <t>Date</t>
  </si>
  <si>
    <t>Time</t>
  </si>
  <si>
    <t>Auditor Related</t>
  </si>
  <si>
    <t>Action in current AGM</t>
  </si>
  <si>
    <t>appointed</t>
  </si>
  <si>
    <t>For no. of years</t>
  </si>
  <si>
    <t>5-yr appointment details</t>
  </si>
  <si>
    <t>for Director Report's Auditor Details Para</t>
  </si>
  <si>
    <t>appointed in AGM held on</t>
  </si>
  <si>
    <t>from conclusion of AGM No.</t>
  </si>
  <si>
    <t>till AGM no.</t>
  </si>
  <si>
    <t>Auditor Details</t>
  </si>
  <si>
    <t>Firm Name</t>
  </si>
  <si>
    <t>Lokesh Aggarwal &amp; Co.</t>
  </si>
  <si>
    <t>Address</t>
  </si>
  <si>
    <t>in 2 lines</t>
  </si>
  <si>
    <t>H.No. 56, Pocket-6, Sec-21, Rohini, Delhi-110085</t>
  </si>
  <si>
    <t>Tel/Mob No.</t>
  </si>
  <si>
    <t>for letterhead</t>
  </si>
  <si>
    <t>+91 90159 81365</t>
  </si>
  <si>
    <t>Email</t>
  </si>
  <si>
    <t>calokeshaggarwal@yahoo.com</t>
  </si>
  <si>
    <t>FRN</t>
  </si>
  <si>
    <t>034084N</t>
  </si>
  <si>
    <t>Signing Auditor</t>
  </si>
  <si>
    <t>Lokesh Aggarwal</t>
  </si>
  <si>
    <t>Mem No.</t>
  </si>
  <si>
    <t>2(76)-  "related party", with reference to a company, means—</t>
  </si>
  <si>
    <t>Information given in accordance with the requirement of Accounting Standard 18 on related party</t>
  </si>
  <si>
    <t>(i) a director or his relative;
(ii) a key managerial personnel or his relative;
(iii) a firm, in which a director, manager or his relative is a partner;
(iv) a private company in which a director or manager 1[or his relative] is a member or director;
(v) a public company in which a director or manager is a director 2[and holds] along with his relatives, more than two per cent of its paid-up share capital;
(vi) any body corporate whose Board of Directors, managing director or manager is accustomed to act in accordance with the advice, directions or instructions of a director or manager;
(vii) any person on whose advice, directions or instructions a director or manager is accustomed to act:
Provided that nothing in sub-clauses (vi) and (vii) shall apply to the advice, directions or instructions given in a professional capacity;
(viii) any body corporate which is—
(A) a holding, subsidiary or an associate company of such company;
(B) a subsidiary of a holding company to which it is also a subsidiary; or
(C) an investing company or the venturer of the company;";
Explanation.—For the purpose of this clause, “the investing company or the venturer of a company” means a body corporate whose investment in the company would result in the company becoming an associate company of the body corporate.]
(ix) such other person as may be prescribed;</t>
  </si>
  <si>
    <t>List of Related Parties (as identified and certified by the Management) with whom transactions took place during the year:</t>
  </si>
  <si>
    <t>a. Key Management Personnel (KMP)</t>
  </si>
  <si>
    <t>i)</t>
  </si>
  <si>
    <t>- Director</t>
  </si>
  <si>
    <t>ii)</t>
  </si>
  <si>
    <t>Ledger Folio</t>
  </si>
  <si>
    <t>Name of Shareholder</t>
  </si>
  <si>
    <t>Numer of Shares held</t>
  </si>
  <si>
    <t>001</t>
  </si>
  <si>
    <t>003</t>
  </si>
  <si>
    <t>To,</t>
  </si>
  <si>
    <t>Chartered Accountants</t>
  </si>
  <si>
    <t>Ref:</t>
  </si>
  <si>
    <t>Sub:</t>
  </si>
  <si>
    <t>Management Representation Letter</t>
  </si>
  <si>
    <t>Dear Sir,</t>
  </si>
  <si>
    <t>This responsibility also includes the maintenance of adequate accounting records in accordance with the provisions of the Act for safeguarding of the assets of the Company and for preventing and detecting the frauds and other irregularities; selection and application of appropriate accounting policies; making judgments and estimates that are reasonable and prudent; and design, implementation and maintenance of internal financial control, that were operating effectively for ensuring the accuracy and completeness of the accounting records, relevant to the preparation and presentation of the financial statements that give a true and fair view and are free from material misstatement, whether due to fraud or error. In preparing the financial statements, we are responsible for assessing the Company’s ability to continue as a going concern, disclosing, as applicable, matters related to going concern and using the going concern basis of accounting. We are also responsible for overseeing the company’s financial reporting process.</t>
  </si>
  <si>
    <t>We hereby, confirm to the best of our knowledge and belief, the following representations:</t>
  </si>
  <si>
    <t>Accounting Policies and Basis for Preparation of Financial Statements</t>
  </si>
  <si>
    <t>1.</t>
  </si>
  <si>
    <t>The accounting policies which are material or critical in determining the results of operations for the year or financial position are set out in the financial statements and are consistent with those adopted in the financial statements for the previous year except as stated otherwise. The financial statements are prepared on historical cost convention and on accrual basis and on a going concern concept and in compliance with the Accounting Standards notified under Section 133 of the Companies Act, 2013 and the relevant provisions of the Companies Act 2013 and relevant rules thereto.</t>
  </si>
  <si>
    <t>2.</t>
  </si>
  <si>
    <t>The Company follows the accrual basis of accounting except in the following cases where the same are recorded on cash basis.</t>
  </si>
  <si>
    <t>3.</t>
  </si>
  <si>
    <t>4.</t>
  </si>
  <si>
    <t>The financial statements are prepared on a going concern basis.</t>
  </si>
  <si>
    <t>5.</t>
  </si>
  <si>
    <t>We have provided you with:</t>
  </si>
  <si>
    <t>a)</t>
  </si>
  <si>
    <t>Access to all information of which we are aware that is relevant to the preparation of the financial statements, such as records, documentation and other matters;</t>
  </si>
  <si>
    <t>b)</t>
  </si>
  <si>
    <t>Additional information that you have requested from us for the purpose of the audit; and</t>
  </si>
  <si>
    <t>c)</t>
  </si>
  <si>
    <t>Unrestricted access to persons within the entity from whom you determined it necessary to obtain audit evidence.</t>
  </si>
  <si>
    <t>EQUITY &amp; LIABILITIES</t>
  </si>
  <si>
    <t>Shareholder’s Funds</t>
  </si>
  <si>
    <t>Name of the Shareholder</t>
  </si>
  <si>
    <t>No. of Equity shares held</t>
  </si>
  <si>
    <t>Equity Shares</t>
  </si>
  <si>
    <t>Preference Shares</t>
  </si>
  <si>
    <t>No.</t>
  </si>
  <si>
    <t>Shares outstanding at the beginning of the year</t>
  </si>
  <si>
    <t>Shares issued during the year</t>
  </si>
  <si>
    <t>Shares bought back during the year</t>
  </si>
  <si>
    <t>Shares outstanding at the end of the year</t>
  </si>
  <si>
    <t>We confirm that the Company has complied with all the statutory requirements of various statutes which govern the Company, relating to the transfer to various reserves and their utilisation in the manner specified in the relevant statute.</t>
  </si>
  <si>
    <t>Liabilities</t>
  </si>
  <si>
    <t>We confirm that all the liabilities of the Company are correctly classified into Current and Non-Current based upon the criteria as set out in Schedule III to the Companies Act, 2013. Also the requirements of the Accounting Standards notified under Section 133 of the Companies Act, 2013 have been considered while making such classification.</t>
  </si>
  <si>
    <t>Other Liabilities &amp; Provisions</t>
  </si>
  <si>
    <t>Balance of Sundry creditors and other liabilities are subject to confirmation and reconciliation. Consequential adjustment thereof, if any will be given effect into the books of account in the year of such adjustment. However in view of the management, it will not have any material impact on the financial statements.</t>
  </si>
  <si>
    <t>Deferred Tax Liabilities/Assets</t>
  </si>
  <si>
    <t>Deferred Tax Assets are recognized only to the extent there is virtual certainty that the assets will be realized in the future. The unrealizable deferred tax assets, if any, has been reversed during the year.</t>
  </si>
  <si>
    <t>We confirm that all the assets of the Company are correctly classified into Current and Non-Current based upon the criteria as set out in Schedule III to the Companies Act, 2013. Also the requirements of the Accounting Standards notified under Section 133 of the Companies Act, 2013 have been considered while making such classification.</t>
  </si>
  <si>
    <t>The Company has a satisfactory title to all the assets stated in the financial statements and there are no liens, mortgages, or other encumbrances on the assets of the Company, except those that are disclosed in the financial statements.</t>
  </si>
  <si>
    <t>In the opinion of the Board, current assets including loans and advances have a value on realisation in the ordinary course of the business at least equal to the amount at which they are stated.</t>
  </si>
  <si>
    <t>Property, Plant and Equipment (PPE)</t>
  </si>
  <si>
    <t>All the PPE are in usable conditions and are classified correctly. None of the PPEs are revalued during the year.</t>
  </si>
  <si>
    <t>The Company has a satisfactory title to all the assets stated in the financial statements and there are no liens, mortgages, or other encumbrances on the assets of the Company, except those that are disclosed in Notes to the financial statements.</t>
  </si>
  <si>
    <t>The net book values at which PPEs are stated in the balance sheet are arrived at:</t>
  </si>
  <si>
    <t>a.</t>
  </si>
  <si>
    <t>After taking into account all capital expenditure on additions thereto, but no expenditure properly chargeable to revenue.</t>
  </si>
  <si>
    <t>b.</t>
  </si>
  <si>
    <t>After providing adequate depreciation on PPEs during the period as required by the law.</t>
  </si>
  <si>
    <t>c.</t>
  </si>
  <si>
    <t>After eliminating the cost and accumulated depreciation relating to items sold, discarded, demolished, or destroyed.</t>
  </si>
  <si>
    <t>d.</t>
  </si>
  <si>
    <t>After attributing borrowing costs of acquisition of PPEs as part of the cost of such PPE, if applicable.</t>
  </si>
  <si>
    <t>Depreciation on PPEs is provided on the basis of useful life as given in the Schedule II to the Companies Act, 2013.</t>
  </si>
  <si>
    <t>Depreciation on PPEs is provided on the basis of useful life as given in the Schedule II to the Companies Act, 2013. Some of the PPEs, having opening WDV of Rs …. but no useful life as per Schedule II is adjusted in the opening reserves.</t>
  </si>
  <si>
    <t>We confirm that none of the items, which is in nature of revenue expenditure have been capitalised and none of the items, which is in the nature of capital expenditure have been charged to statement of profit and loss for the year.</t>
  </si>
  <si>
    <t>Investments</t>
  </si>
  <si>
    <t>All the investments as appearing in the Balance Sheet belong to the entity and they do not include any investments held on behalf of any other person.</t>
  </si>
  <si>
    <t>Loans &amp; Advances</t>
  </si>
  <si>
    <t>All the Loans and advances are considered good and fully recoverable except  those which are specifically shown as doubtful in the financial statements. Adequate provision if required has been made for bad and doubtful loans and advances.</t>
  </si>
  <si>
    <t>In regard to Loans and advances particulars has been given separately in respect of following in the financial statements:</t>
  </si>
  <si>
    <t>Loans and advances considered good and in respect of which the company is fully secured.</t>
  </si>
  <si>
    <t>Loans and advances considered good for which the company holds no security other than the debtor’s personal security, and</t>
  </si>
  <si>
    <t>Loans and advances considered doubtful or bad.</t>
  </si>
  <si>
    <t>We confirm that there are no other loans and advances due from any related party except as are stated in the financial statements.</t>
  </si>
  <si>
    <t>Adequate interest provision has been made wherever applicable.</t>
  </si>
  <si>
    <t>Balance of loans and advances are subject to confirmation and reconciliation. Consequential adjustment thereof, if any will be given effect in the books of account in the year of such adjustment.</t>
  </si>
  <si>
    <t>6.</t>
  </si>
  <si>
    <t>Trade Receivables</t>
  </si>
  <si>
    <t>All the trade receivables including receivables outstanding for more than six months are considered good and fully recoverable with the exception of those specifically shown as doubtful in the Balance Sheet. Adequate provision, wherever required, has been made for bad and doubtful debts. Proper disclosures have been made in respect of secured and unsecured receivables.</t>
  </si>
  <si>
    <t>Outstanding for the period exceeding six months</t>
  </si>
  <si>
    <t>Other receivables</t>
  </si>
  <si>
    <t>In regard to trade receivables particulars has been given separately in respect of following in the financial statements:</t>
  </si>
  <si>
    <t>Debts considered good and in respect of which the company is fully secured</t>
  </si>
  <si>
    <t>Debts considered good for which the company holds no security other than the debtor’s personal security; and</t>
  </si>
  <si>
    <t>Debts considered doubtful or bad.</t>
  </si>
  <si>
    <t>A separate disclosure has also been made in respect of following: Receivables due by—</t>
  </si>
  <si>
    <t>Directors or other officers of the company</t>
  </si>
  <si>
    <t>Firms in which any director is a partner</t>
  </si>
  <si>
    <t>Private companies in which any director is a director or a member</t>
  </si>
  <si>
    <t>Balance of trade receivables are subject to confirmation and reconciliation. Consequential adjustment thereof, if any will be given effect in the books of account in the year of such adjustment.</t>
  </si>
  <si>
    <t>We confirm that there are no dues from related parties except those as disclosed in the financial statements.</t>
  </si>
  <si>
    <t>Cash &amp; Cash Equivalents</t>
  </si>
  <si>
    <t>We confirm that wherever there is a restriction from being exchanged or used to settle a liability for at least twelve months after the reporting, the cash and cash equivalents of the Company are classified into Non-Current and all other cash and cash equivalents are classified as Current based upon the criteria as set out in Schedule III to the Companies Act, 2013. Also the requirements of the Accounting Standards notified under Section 133 of the Companies Act, 2013 have been considered while making such classification.</t>
  </si>
  <si>
    <t>There were no remittances in transit as on the date of the Balance Sheet.</t>
  </si>
  <si>
    <t>Bank Balances as per the books of account are matching with the balances as per Bank and wherever the same are not matching, a reconciliation statement has been prepared. We confirm that items appearing in the Bank Reconciliation, if any, are cleared subsequent to the Balance Sheet date.</t>
  </si>
  <si>
    <t>Wherever applicable, adequate interest provision has been made on the fixed deposits with Bank. We confirm that all the fixed deposit receipts, if any, are lying with the authorized person and it has no lien or charge other than those disclosed in the financial statements.</t>
  </si>
  <si>
    <t>We confirm that-</t>
  </si>
  <si>
    <t>There are no earmarked balances or money held as a margin money or security against borrowing, guarantees etc., other than those which are disclosed in the financial statements.</t>
  </si>
  <si>
    <t>There are no restrictions on the use of cash or cash equivalents other than those which are disclosed in the financial statements.</t>
  </si>
  <si>
    <t>Bank deposits with more than 12 months maturity, if any, have been disclosed separately.</t>
  </si>
  <si>
    <t>Statement of Profit &amp; Loss</t>
  </si>
  <si>
    <t>We confirm that the statement of profit and loss have been prepared in accordance with Schedule III to the Companies Act, 2013. Also the requirements of the Accounting Standards notified under Section 133 of the Companies Act, 2013 have been followed while preparing the statement of profit and loss.</t>
  </si>
  <si>
    <t>Except as disclosed in the financial statements, the results for the year were not materially affected by:</t>
  </si>
  <si>
    <t>Transactions of a nature not usually undertaken by the company</t>
  </si>
  <si>
    <t>Circumstances of an exceptional or non-recurring nature;</t>
  </si>
  <si>
    <t>Charges or credits relating to prior years;</t>
  </si>
  <si>
    <t>d)</t>
  </si>
  <si>
    <t>Changes in accounting policies.</t>
  </si>
  <si>
    <t>All the expenses and income have been accounted on accrual basis and adequate provision have been made thereof.</t>
  </si>
  <si>
    <t>Income and expenses which are required to be shown separately as per the requirement of Schedule III to the Companies Act, 2013 are shown separately in the financial statements.</t>
  </si>
  <si>
    <t>All the unusual, extraordinary and prior period items, if any, have been disclosed separately in the financial statements.</t>
  </si>
  <si>
    <t>GENERAL</t>
  </si>
  <si>
    <t>We have made available to you all the statutory financial records and related data (including computer-generated records) and all the books of account maintained by the Company.</t>
  </si>
  <si>
    <t>The Company has maintained all the records, financial and statutory, as required by the Companies Act, 2013. All the transactions and operations of the Company have been fully recorded in the said records that are used as a basis for the preparation of the financial statements.</t>
  </si>
  <si>
    <t>There are no transactions that have not been properly recorded in the said accounting records that are used as a basis for preparation of the financial statements.</t>
  </si>
  <si>
    <t>There have been no irregularities involving management or employees who have a significant role in the system of internal control that could have a material effect on the financial statements.</t>
  </si>
  <si>
    <t>The financial statements are free of material misstatements, error oromissions.</t>
  </si>
  <si>
    <t>The company has complied with all aspects of contractual agreements that could have a material effect on the financial statements in the event of non-compliance. There has been no non-compliance with requirements of regulatory nature that  could have a material effect on the financial statements in the event of non- compliance.</t>
  </si>
  <si>
    <t>7.</t>
  </si>
  <si>
    <t>We have no plans or intentions that may materially affect the carrying value or classification of assets and liabilities reflected in the financial statements.</t>
  </si>
  <si>
    <t>8.</t>
  </si>
  <si>
    <t>All possible care has been taken to ensure the compliance of applicable provisions of the Companies Act, 2013 and other laws governing the enterprise. There have been no material violations of the applicable laws and regulations the effect of which would result in an adjustment to the financial statements or may have to be considered for disclosure of contingencies. All the disclosures required to be made under the Companies Act, 2013 or otherwise have been duly made.</t>
  </si>
  <si>
    <t>9.</t>
  </si>
  <si>
    <t>The disclosures given in notes to accounts in respect of requirements of Schedule III to the Companies Act, 2013 are true and correct to the best of our knowledge and belief and are complete in all respects.</t>
  </si>
  <si>
    <t>10.</t>
  </si>
  <si>
    <t>The provisions of Corporate Social Responsibility as per Section 135 of the Companies Act, 2013, are not applicable to the Company.</t>
  </si>
  <si>
    <t>Contingent Liabilities</t>
  </si>
  <si>
    <t xml:space="preserve">Counter Guarantee given to Bank Rs. NIL.  </t>
  </si>
  <si>
    <t>Claims against the Company not acknowledged as debts Rs. NIL.</t>
  </si>
  <si>
    <t>Disputed income tax/ sales tax liability contested in appeal Rs. NIL.</t>
  </si>
  <si>
    <t>Capital Commitments on account of capital contracts remaining to be executed amounting to Rs. NIL.</t>
  </si>
  <si>
    <t>e)</t>
  </si>
  <si>
    <t>Contingent Liability on account of any other Pending Litigations Rs. NIL.</t>
  </si>
  <si>
    <t>Contingent liabilities so disclosed do not include any contingencies that are likely to result in a loss and which, therefore require adjustment of assets and liabilities.</t>
  </si>
  <si>
    <t>At the balance sheet date, there were no outstanding commitments for capital expenditure excepting those disclosed in Note to the financial statements.</t>
  </si>
  <si>
    <t>We confirm that there are no contingent liabilities other than those which are disclosed in the financial statements.</t>
  </si>
  <si>
    <t>Events Occurring After the Balance Sheet Date</t>
  </si>
  <si>
    <t>There have been no events subsequent to the balance sheet date which require adjustment of, or disclosure in, the financial statements or notes thereto other than those disclosed in the financial statements.</t>
  </si>
  <si>
    <t>Discontinuing Operation</t>
  </si>
  <si>
    <t>We confirm that during the year, none of the business of the Company has been discontinued and hence no additional disclosures are required in accordance with Schedule III to the Companies Act, 2013 and Accounting Standard – 24 on “Discontinuing Operations”.</t>
  </si>
  <si>
    <t>Accounting Standards</t>
  </si>
  <si>
    <t>The accounts of the Company have been prepared in compliance with various mandatory Accounting Standards notified under Section 133 of the Companies Act, 2013.</t>
  </si>
  <si>
    <t>Related Party Disclosure</t>
  </si>
  <si>
    <t>The transactions with all the related parties have been properly reflected in the financial statements in accordance with the Accounting Standard-18 on “Related PartyTransactions”.</t>
  </si>
  <si>
    <t>Name and Designation of the key management personnel are as under:</t>
  </si>
  <si>
    <t>Name of the Person</t>
  </si>
  <si>
    <t>Designation</t>
  </si>
  <si>
    <t>1</t>
  </si>
  <si>
    <t>Director</t>
  </si>
  <si>
    <t>2</t>
  </si>
  <si>
    <t>Name of the relatives and name of the enterprises having same key management personnel and or their relatives as the reporting enterprises with whom the Company has entered into transactions during the year are as under:</t>
  </si>
  <si>
    <t>Name of the Person/Enterprise</t>
  </si>
  <si>
    <t>Relation</t>
  </si>
  <si>
    <t>NIL</t>
  </si>
  <si>
    <t>Name of the Holding / Subsidiary / Fellow Subsidiary/ Step down Subsidiary Company:</t>
  </si>
  <si>
    <t>Name of the Company</t>
  </si>
  <si>
    <t>Representations Related to Auditor’s Report</t>
  </si>
  <si>
    <t>The Company has maintained proper records showing full particulars including quantitative details and situation of fixed assets and the Company has also maintained fixed assets register as required to be maintained under the Companies Act, 2013.</t>
  </si>
  <si>
    <t>The fixed assets have been physically verified by the management during the year at reasonable intervals as per the phased programme of verification and no material discrepancies have been noticed on such verification.</t>
  </si>
  <si>
    <t>3</t>
  </si>
  <si>
    <t>No substantial part of the fixed assets has been disposed off during the year which affected the going concern assumption.</t>
  </si>
  <si>
    <t>4</t>
  </si>
  <si>
    <t>We confirm that the loans including loans to section 189 parties, taken/granted by the Company are on call basis.</t>
  </si>
  <si>
    <t>5</t>
  </si>
  <si>
    <t>The rate of interest and other terms and conditions on the basis of which, the said loans have been taken orgranted are not prejudicial to the interest of the Company.</t>
  </si>
  <si>
    <t>6</t>
  </si>
  <si>
    <t>The Central Government has not prescribed the maintenance of cost records under Section 148(1) of the Companies Act, 2013.</t>
  </si>
  <si>
    <t>7</t>
  </si>
  <si>
    <t>There is no undisputed amount payable in respect of any statutory liability.</t>
  </si>
  <si>
    <t>8</t>
  </si>
  <si>
    <t>The Company is generally regular in depositing undisputed statutory dues including provident fund and employee’s state insurance dues, income tax, sales tax, goods and service tax, custom duty, cess and other statutory dues with the appropriate authorities. However in some cases, delay in payments are there.</t>
  </si>
  <si>
    <t>9</t>
  </si>
  <si>
    <t>10</t>
  </si>
  <si>
    <t>The details of disputed income tax, sales tax, service tax, goods and service tax, custom duty, excise duty and cess are as under:</t>
  </si>
  <si>
    <t>Nature of Dues</t>
  </si>
  <si>
    <t>Year</t>
  </si>
  <si>
    <t>Amount involved
(Rs.)</t>
  </si>
  <si>
    <t>Forum where
dispute is pending</t>
  </si>
  <si>
    <t>11</t>
  </si>
  <si>
    <t>During the year the Company has not raised money by way of initial public offer or further public offer (including debt instruments). The term loans availed by the Company have been applied for the purposes for which those are raised.</t>
  </si>
  <si>
    <t>12</t>
  </si>
  <si>
    <t>All transactions with the related parties entered into by the Company are in compliance with sections 177 and 188 of the Companies Act, 2013 where applicable and the details have been disclosed in the financial statements etc., as required by the applicable accounting standards.</t>
  </si>
  <si>
    <t>13</t>
  </si>
  <si>
    <t>The Company has not made any preferential allotment or private placement of shares or fully or partly convertible debentures during the year under review.</t>
  </si>
  <si>
    <t>14</t>
  </si>
  <si>
    <t>The Company has not entered into any non-cash transactions with directors or persons connected with them.</t>
  </si>
  <si>
    <t>15</t>
  </si>
  <si>
    <t>No funds raised on short-term basis have been used for long-term investments during the year.</t>
  </si>
  <si>
    <t>16</t>
  </si>
  <si>
    <t>The Company have not come across any instance of material fraud on or by the company.</t>
  </si>
  <si>
    <t>17</t>
  </si>
  <si>
    <t>The Company is not a NBFC and hence not required to be registered under section 45-IA of the Reserve Bank of India Act,1934.</t>
  </si>
  <si>
    <t>Inquiries Pursuant to Section 143 (1) of the Companies Act, 2013</t>
  </si>
  <si>
    <t>The Company has not made any loans and advances.</t>
  </si>
  <si>
    <t>The Company has not made any loans and advances which are secured.</t>
  </si>
  <si>
    <t>There are no transactions that are represented merely by book entries.</t>
  </si>
  <si>
    <t>The Company has not sold any assets consisting of shares, debentures, and other securities at a price less than at which they were purchased by the Company.</t>
  </si>
  <si>
    <t>No loans and advances made by the Company are shown as deposits.</t>
  </si>
  <si>
    <t>No personal expenses of directors and employees have been charged to revenue account, other than that payable under contractual obligations or in accordance with generally accepted business practice and legitimate business needs.</t>
  </si>
  <si>
    <t>In respect of shares allotted during the year for cash, we confirm that cash has been actually received in those cases.</t>
  </si>
  <si>
    <t>Directors Disqualification</t>
  </si>
  <si>
    <t>None of the directors is disqualified as mentioned in section 164(2) of the Companies Act, 2013. No director is liable to vacate the office under any of the clauses mentioned in section 167(1)(a) of the Companies Act, 2013.</t>
  </si>
  <si>
    <t>Other Matters related to Auditor’s Report:</t>
  </si>
  <si>
    <t>The Company does not have any pending litigations which would impact its financial position.</t>
  </si>
  <si>
    <t>The Company did not have any long-term contracts including derivative contracts for which there were any material foreseeable losses.</t>
  </si>
  <si>
    <t>There were no amounts which were required to be transferred to the Investor Education and Protection Fund by the Company.</t>
  </si>
  <si>
    <t>DIRECTORS' REPORT</t>
  </si>
  <si>
    <t>The Members of</t>
  </si>
  <si>
    <t>FINANCIAL HIGHLIGHTS</t>
  </si>
  <si>
    <t>Current Year</t>
  </si>
  <si>
    <t>Previous Year</t>
  </si>
  <si>
    <t>Total Income</t>
  </si>
  <si>
    <t>Tax</t>
  </si>
  <si>
    <t>Deferred Tax</t>
  </si>
  <si>
    <t>Profit/(Loss) after Tax</t>
  </si>
  <si>
    <t>Earnings per Share (Rs.):</t>
  </si>
  <si>
    <t>Basic</t>
  </si>
  <si>
    <t>Diluted</t>
  </si>
  <si>
    <t>STATE OF COMPANY'S AFFAIRS</t>
  </si>
  <si>
    <t>CY</t>
  </si>
  <si>
    <t>PY</t>
  </si>
  <si>
    <t>T/O</t>
  </si>
  <si>
    <t>PROFIT</t>
  </si>
  <si>
    <t>TRANSFER TO RESERVES IN TERMS OF SECTION 134(3)(J) OF THE COMPANIES ACT, 2013</t>
  </si>
  <si>
    <t>DIVIDEND</t>
  </si>
  <si>
    <t>MATERIAL CHANGES AND COMMITMENTS, IF ANY, CRITERIA SPECIFY</t>
  </si>
  <si>
    <t>There was no material changes and no commitment made by the directors affecting financial position of the company. So no criteria need to be specified for the year.</t>
  </si>
  <si>
    <t>DETAILS OF SUBSIDIARY/JOINT VENTURES/ASSOCIATE COMPANIES –</t>
  </si>
  <si>
    <t xml:space="preserve">CHANGE IN THE NATURE OF BUSINESS </t>
  </si>
  <si>
    <t>There is no change in the nature of the business of the company.</t>
  </si>
  <si>
    <t>ANNUAL RETURN</t>
  </si>
  <si>
    <t>The Extract of Annual Return as required under section 92(3) of the Companies Act, 2013 in Form MGT-9 is annexed herewith for your kind perusal and information. (Annexure: 1)</t>
  </si>
  <si>
    <t>MEETINGS OF THE BOARD OF DIRECTORS</t>
  </si>
  <si>
    <t>Date of Meeting</t>
  </si>
  <si>
    <t>Board Strength</t>
  </si>
  <si>
    <t>No. of Directors present</t>
  </si>
  <si>
    <t>default value for Board Strength</t>
  </si>
  <si>
    <t>incorporation date if new company / 01st April for existing company</t>
  </si>
  <si>
    <t>immediately next day of incorporation</t>
  </si>
  <si>
    <t>BM for approval of F.St.</t>
  </si>
  <si>
    <t>4(a)- as per last year's AOC-4</t>
  </si>
  <si>
    <t>Board Report approval</t>
  </si>
  <si>
    <t>5(a)- as per last year's AOC-4</t>
  </si>
  <si>
    <t>Balance Sheet signing</t>
  </si>
  <si>
    <t>6- as per last year's AOC-4</t>
  </si>
  <si>
    <t>AGM Notice date</t>
  </si>
  <si>
    <t>PRESENCE/ATTENDANCE OF DIRECTORS IN THE MEETINGS</t>
  </si>
  <si>
    <t>AGM Date</t>
  </si>
  <si>
    <t>7- as per last year's AOC-4</t>
  </si>
  <si>
    <t>Name of Director</t>
  </si>
  <si>
    <t>Board Meeting</t>
  </si>
  <si>
    <t>Committee Meeting</t>
  </si>
  <si>
    <t>AGM</t>
  </si>
  <si>
    <t>No. of Meeting Held</t>
  </si>
  <si>
    <t>No. of Meeting Attended</t>
  </si>
  <si>
    <t>-</t>
  </si>
  <si>
    <t>DIRECTORS’ RESPONSIBILITY STATEMENT</t>
  </si>
  <si>
    <t>Pursuant to Section 134(5) of the Companies Act, 2013 the Board of Directors of the Company confirms that-</t>
  </si>
  <si>
    <t>In the preparation of the annual accounts, the applicable accounting standards had been followed along with proper explanation relating to material departures;</t>
  </si>
  <si>
    <t>(b)</t>
  </si>
  <si>
    <t>The directors had selected such accounting policies and applied them consistently and made judgments and estimates that are reasonable and prudent so as to give a true and fair view of the state of affairs of the company at the end of the financial year and of the profit and loss of the company for that period;</t>
  </si>
  <si>
    <t>(c)</t>
  </si>
  <si>
    <t>The directors had taken proper and sufficient care for the maintenance of adequate accounting records in accordance with the provisions of this Act for safeguarding the assets of the company and for preventing and detecting fraud and other irregularities;</t>
  </si>
  <si>
    <t>(d)</t>
  </si>
  <si>
    <t>The directors had prepared the annual accounts on a going concern basis; and</t>
  </si>
  <si>
    <t>(e)</t>
  </si>
  <si>
    <t>The directors, in the case of a listed company, had laid down internal financial controls to be followed by the company and that such internal financial controls are adequate and were operating effectively.</t>
  </si>
  <si>
    <t>(f)</t>
  </si>
  <si>
    <t>The directors had devised proper systems to ensure compliance with the provisions of all applicable laws and that such systems were adequate and operating effectively.</t>
  </si>
  <si>
    <t>APPOINTMENT OF INDEPENDENT DIRECTORS IN THE BOARD AND DECLARATION UNDER SECTION 149(6)</t>
  </si>
  <si>
    <t>The provisions of Section 149 pertaining to the appointment of Independent Directors do not apply to our Company.</t>
  </si>
  <si>
    <t>STATUTORY AUDITOR AND AUDITORS’ REPORT</t>
  </si>
  <si>
    <t>For Appointment of FIRST AUDITOR IN AGM for 5 years</t>
  </si>
  <si>
    <t>Company has received certificate from the Auditors to the effect they are not disqualified to continue as statutory auditors under the provisions of applicable laws.</t>
  </si>
  <si>
    <t>There are no observations (including any qualification, reservation, adverse remark or disclaimer) of the Auditors in their Audit Report that may call for any explanation from the Directors. Further, the notes to accounts referred to in the Auditor`s Report are self-explanatory.</t>
  </si>
  <si>
    <t>SECRETARIAL AUDITOR AND SECRETARIAL AUDIT REPORT</t>
  </si>
  <si>
    <t>The Secretarial Audit is not applicable on the company as it is not covered under the provisions of Section 204 of the Companies Act, 2013 and The Companies (Appointment and Remuneration of Managerial Personnel) Rules, 2014.</t>
  </si>
  <si>
    <t>VIGIL MECHANISM / WHISTLE BLOWER POLICY</t>
  </si>
  <si>
    <t>The Company is not required to form such policy.</t>
  </si>
  <si>
    <t>CORPORATE SOCIAL RESPONSIBILITY (CSR)</t>
  </si>
  <si>
    <t>The company does not meet the criteria of Section 135 of Companies Act, 2013 read with the Companies (Corporate Social Responsibility Policy) Rules, 2014 so there is no requirement to constitution of Corporate Social Responsibility Committee.</t>
  </si>
  <si>
    <t>NOMINATION AND REMUNERATION COMMITTEE</t>
  </si>
  <si>
    <t>The Company is not required to constitute a Nomination &amp; Remuneration Committee.</t>
  </si>
  <si>
    <t>LOANS, GUARANTEES AND INVESTMENTS</t>
  </si>
  <si>
    <t>The Company has not made / given / advanced any Loan, Guarantee and Investment during the financial year covered under section 186 of the Companies Act, 2013.</t>
  </si>
  <si>
    <t>RELATED PARTY TRANSACTIONS</t>
  </si>
  <si>
    <t>The Company is required to enter into various Related Parties Transactions as defined under Section 188 of the Companies Act, 2013 with related parties as defined under Section 2 (76) of the said Act. Further all the necessary details of transaction entered with the related parties are attached herewith in form no. AOC-2 for your kind perusal and information. (Annexure: 2).</t>
  </si>
  <si>
    <t xml:space="preserve">CONSERVATION OF ENERGY, TECHNOLOGY ABSORPTION &amp; FOREIGN EXCHANGE EARNINGS AND OUTGO </t>
  </si>
  <si>
    <t>Information on conservation of Energy, Technology absorption, Foreign Exchange earnings and outgo required to be disclosed under Section 134 of the Companies Act, 2013 read with Companies (Accounts) Rules, 2014 are provided hereunder:</t>
  </si>
  <si>
    <t>REMARKS</t>
  </si>
  <si>
    <t>A)</t>
  </si>
  <si>
    <t>CONSERVATION OF ENERGY:</t>
  </si>
  <si>
    <t>the steps taken or impact on conservation of energy;</t>
  </si>
  <si>
    <t>The Corporation is taking due care for using electricity in the office and its branches. The Corporation usually takes care for optimum utilization of energy. No capital investment on  energy Conservation equipment made during the financial year.</t>
  </si>
  <si>
    <t>the steps taken by the company for utilizing alternate sources of energy;</t>
  </si>
  <si>
    <t>the capital investment on energy conservation equipments;</t>
  </si>
  <si>
    <t>B)</t>
  </si>
  <si>
    <t>TECHNOLOGY ABSORPTION:</t>
  </si>
  <si>
    <t>the efforts made towards technology absorption;</t>
  </si>
  <si>
    <t>the benefits derived like product improvement, cost reduction, product development or import substitution;</t>
  </si>
  <si>
    <t>in case of imported technology (imported during the last three years reckoned from the beginning of the financial year)-</t>
  </si>
  <si>
    <t>(a) the details of technology imported;</t>
  </si>
  <si>
    <t>(b) the year of import;</t>
  </si>
  <si>
    <t>(c) whether the technology been fully absorbed;</t>
  </si>
  <si>
    <t>(d) if not fully absorbed, areas where absorption has not taken place, and the reasons thereof; Not applicable since 5 years period is over</t>
  </si>
  <si>
    <t>the expenditure incurred on Research and Development</t>
  </si>
  <si>
    <t>C)</t>
  </si>
  <si>
    <t>FOREIGN EXCHANGE EARNINGS AND OUTGO:</t>
  </si>
  <si>
    <t>The Foreign Exchange earned in terms of actual inflows during the year and the Foreign Exchange outgo during the year in terms of actual outflows</t>
  </si>
  <si>
    <t>RISK MANAGEMENT</t>
  </si>
  <si>
    <t>Risks are events, situations or circumstances which may lead to negative consequences on the Company's businesses. Risk management is a structured approach to manage uncertainty. A formal enterprise wide approach to Risk Management is being adopted by the Company and key risks will now be managed within a unitary framework. As a formal roll-out, all business divisions and corporate functions will embrace Risk Management Policy and Guidelines, and make use of these in their decision making. Key business risks and their mitigation are considered in the annual/strategic business plans and in periodic management reviews. The risk management process in our multi-business, multi-site operations, over the period of time will become embedded into the Company’s business systems and processes, such that our responses to risks remain current and dynamic.</t>
  </si>
  <si>
    <t>INTERNAL FINANCIAL CONTROLS</t>
  </si>
  <si>
    <t>The Companies Act, 2013 re-emphasizes the need for an effective Internal Financial Control system in the Company. The system should be designed and operated effectively. Rule 8(5) (viii) of Companies (Accounts) Rules, 2014 requires the information regarding adequacy of Internal Financial Controls with reference to the financial statements to be disclosed in the Board`s report. To ensure effective Internal Financial Controls the Company has laid down the following measures:</t>
  </si>
  <si>
    <t>The internal financial control systems are commensurate with the size and nature of its operations.</t>
  </si>
  <si>
    <t>All legal and statutory compliances are ensured on a monthly basis. Non-compliance, if any, is seriously taken by the management and corrective actions are taken immediately. Any amendment is regularly updated by internal as well as external agencies in the system.</t>
  </si>
  <si>
    <t>Approval of all transactions is ensured through a preapproved Delegation of Authority Schedule which is reviewed periodically by the management.</t>
  </si>
  <si>
    <t>The Company follows a robust internal audit process. Transaction audits are conducted regularly to ensure accuracy of financial reporting, safeguard and protection of all the assets. Fixed Asset verification of assets is done on an annual basis.  The audit reports for the above audits are compiled and submitted to Board of Directors for review and necessary action.</t>
  </si>
  <si>
    <t>Your Directors state that no disclosure or reporting is required in respect of the following items as there were no transactions on these items during the year under review:</t>
  </si>
  <si>
    <t>Details relating to deposits covered under Chapter V of the Act.</t>
  </si>
  <si>
    <t>Issue of equity shares with differential rights as to dividend, voting or otherwise.</t>
  </si>
  <si>
    <t>Issue of shares (including sweat equity shares) to employees of the Company under any scheme save and except ESOS referred to in this Report.</t>
  </si>
  <si>
    <t>Neither the Managing Director nor the Whole-time Directors of the Company receive any remuneration or commission from any of its subsidiaries.</t>
  </si>
  <si>
    <t>No significant or material orders were passed by the Regulators or Courts or Tribunals which impact the going concern status and Company’s operations in future.</t>
  </si>
  <si>
    <t>Your director’s further state that during the year under review, there were no cases filed pursuant to the Sexual Harassment of Women at Workplace (Prevention, Prohibition and Redressal) Act, 2013.</t>
  </si>
  <si>
    <t>ACKNOWLEDGEMENT</t>
  </si>
  <si>
    <t>Your Directors wish to express their grateful appreciation to the continued co-operation received from the Banks, Government Authorities, Customers, Vendors and Shareholders during the year under review. Your Directors also wish to place on record their deep sense of appreciation for the committed service of the Executives, staff and Workers of the Company.</t>
  </si>
  <si>
    <t>Annexure-I</t>
  </si>
  <si>
    <t>FORM NO. MGT 9</t>
  </si>
  <si>
    <t>EXTRACT OF ANNUAL RETURN</t>
  </si>
  <si>
    <t>(Pursuant to Section 92(3) of the Companies Act, 2013 and Rule 12(1) of the Company (Management &amp; Administration) Rules, 2014)</t>
  </si>
  <si>
    <r>
      <t>I.</t>
    </r>
    <r>
      <rPr>
        <b/>
        <sz val="7"/>
        <color theme="1"/>
        <rFont val="Verdana"/>
        <family val="2"/>
      </rPr>
      <t>  </t>
    </r>
    <r>
      <rPr>
        <b/>
        <sz val="11"/>
        <color theme="1"/>
        <rFont val="Verdana"/>
        <family val="2"/>
      </rPr>
      <t>REGISTRATION &amp; OTHER DETAILS:</t>
    </r>
  </si>
  <si>
    <t>Registration Date</t>
  </si>
  <si>
    <t>Category/Sub-category of the Company</t>
  </si>
  <si>
    <t>Private Company Limited by shares / Non-govt Company</t>
  </si>
  <si>
    <t>Address of the Registered office  &amp; contact details</t>
  </si>
  <si>
    <t>Whether listed company</t>
  </si>
  <si>
    <t>Unlisted</t>
  </si>
  <si>
    <t>Name, Address &amp; contact details of the Registrar &amp; Transfer Agent, if any.</t>
  </si>
  <si>
    <r>
      <t>II.</t>
    </r>
    <r>
      <rPr>
        <b/>
        <sz val="7"/>
        <color rgb="FF000000"/>
        <rFont val="Verdana"/>
        <family val="2"/>
      </rPr>
      <t>  </t>
    </r>
    <r>
      <rPr>
        <b/>
        <sz val="11"/>
        <color theme="1"/>
        <rFont val="Verdana"/>
        <family val="2"/>
      </rPr>
      <t xml:space="preserve">PRINCIPAL BUSINESS ACTIVITIES OF THE COMPANY </t>
    </r>
  </si>
  <si>
    <t>(All the business activities contributing 10 % or more of the total turnover of the company shall be stated)</t>
  </si>
  <si>
    <t>S. No.</t>
  </si>
  <si>
    <t>Name and Description of main products / services</t>
  </si>
  <si>
    <t>NIC Code of the Product/service</t>
  </si>
  <si>
    <t>%  to total turnover of the company</t>
  </si>
  <si>
    <r>
      <t>III.</t>
    </r>
    <r>
      <rPr>
        <b/>
        <sz val="7"/>
        <color rgb="FF000000"/>
        <rFont val="Verdana"/>
        <family val="2"/>
      </rPr>
      <t>    </t>
    </r>
    <r>
      <rPr>
        <b/>
        <sz val="11"/>
        <color theme="1"/>
        <rFont val="Verdana"/>
        <family val="2"/>
      </rPr>
      <t xml:space="preserve"> PARTICULARS OF HOLDING, SUBSIDIARY AND ASSOCIATE COMPANIES</t>
    </r>
  </si>
  <si>
    <t>SN</t>
  </si>
  <si>
    <t>Name and address of the Company</t>
  </si>
  <si>
    <t>CIN/GLN</t>
  </si>
  <si>
    <t>Holding/ Subsidiary/ Associate</t>
  </si>
  <si>
    <t>% of
shares
held</t>
  </si>
  <si>
    <t>Applicable
Section</t>
  </si>
  <si>
    <r>
      <t>IV.</t>
    </r>
    <r>
      <rPr>
        <b/>
        <sz val="7"/>
        <color theme="1"/>
        <rFont val="Verdana"/>
        <family val="2"/>
      </rPr>
      <t xml:space="preserve">    </t>
    </r>
    <r>
      <rPr>
        <b/>
        <sz val="11"/>
        <color theme="1"/>
        <rFont val="Verdana"/>
        <family val="2"/>
      </rPr>
      <t xml:space="preserve">SHARE HOLDING PATTERN </t>
    </r>
  </si>
  <si>
    <t>(Equity share capital breakup as percentage of total equity)</t>
  </si>
  <si>
    <t>(i)  Category-wise Share Holding</t>
  </si>
  <si>
    <t>Category of Shareholders</t>
  </si>
  <si>
    <t xml:space="preserve">% Change during the year    </t>
  </si>
  <si>
    <t>Demat</t>
  </si>
  <si>
    <t>Physical</t>
  </si>
  <si>
    <t>% of Total Shares</t>
  </si>
  <si>
    <t>A. Promoters</t>
  </si>
  <si>
    <t>(1) Indian</t>
  </si>
  <si>
    <t>a) Individual/ HUF</t>
  </si>
  <si>
    <t>b) Central Govt</t>
  </si>
  <si>
    <t>c) State Govt(s)</t>
  </si>
  <si>
    <t>d) Bodies Corp.</t>
  </si>
  <si>
    <t>e) Banks / FI</t>
  </si>
  <si>
    <t>f) Any other</t>
  </si>
  <si>
    <t>Sub Total (A) (1)</t>
  </si>
  <si>
    <t>(2) Foreign</t>
  </si>
  <si>
    <t>a) NRI Individuals</t>
  </si>
  <si>
    <t>b) Other Individuals</t>
  </si>
  <si>
    <t>c) Bodies Corp.</t>
  </si>
  <si>
    <t>d) Any other</t>
  </si>
  <si>
    <t>Sub Total (A) (2)</t>
  </si>
  <si>
    <t>TOTAL (A)</t>
  </si>
  <si>
    <t>B. Public Shareholding</t>
  </si>
  <si>
    <t>1. Institutions</t>
  </si>
  <si>
    <t>a) Mutual Funds</t>
  </si>
  <si>
    <t>b) Banks / FI</t>
  </si>
  <si>
    <t>c) Central Govt</t>
  </si>
  <si>
    <t>d) State Govt(s)</t>
  </si>
  <si>
    <t>e) Venture Capital Funds</t>
  </si>
  <si>
    <t>f) Insurance Companies</t>
  </si>
  <si>
    <t>g) FIIs</t>
  </si>
  <si>
    <t xml:space="preserve"> h) Foreign Venture Capital Funds</t>
  </si>
  <si>
    <t>i) Others (specify)</t>
  </si>
  <si>
    <t>Sub-total (B)(1):-</t>
  </si>
  <si>
    <t>2. Non-Institutions</t>
  </si>
  <si>
    <t>a) Bodies Corp.</t>
  </si>
  <si>
    <t>i) Indian</t>
  </si>
  <si>
    <t>ii) Overseas</t>
  </si>
  <si>
    <t>b) Individuals</t>
  </si>
  <si>
    <t>i) Individual shareholders holding nominal share capital upto Rs. 1 lakh</t>
  </si>
  <si>
    <t>ii) Individual shareholders holding nominal share capital in excess of Rs 1 lakh</t>
  </si>
  <si>
    <t>c) Others (specify)</t>
  </si>
  <si>
    <t>Non Resident Indians</t>
  </si>
  <si>
    <t>Overseas Corporate Bodies</t>
  </si>
  <si>
    <t>Foreign Nationals</t>
  </si>
  <si>
    <t>Clearing Members</t>
  </si>
  <si>
    <t>Trusts</t>
  </si>
  <si>
    <t>Foreign Bodies - D R</t>
  </si>
  <si>
    <t>Sub-total (B)(2):-</t>
  </si>
  <si>
    <t>Total Public (B)</t>
  </si>
  <si>
    <t>C. Shares held by Custodian for GDRs &amp; ADRs</t>
  </si>
  <si>
    <t>Grand Total (A+B+C)</t>
  </si>
  <si>
    <t>(ii) Shareholding of Promoter</t>
  </si>
  <si>
    <t>Shareholder’s Name</t>
  </si>
  <si>
    <t>Shareholding at the
beginning of the year</t>
  </si>
  <si>
    <t>Shareholding at the
end of the year</t>
  </si>
  <si>
    <t>% change in shareholding during the year</t>
  </si>
  <si>
    <t>No. of Shares</t>
  </si>
  <si>
    <t>% of total Shares of the company</t>
  </si>
  <si>
    <t>% of Shares Pledged/ encumbered to total shares</t>
  </si>
  <si>
    <t>% of Shares Pledged / encumbered to total shares</t>
  </si>
  <si>
    <t>(iii) Change in Promoters’ Shareholding (please specify, if there is no change)</t>
  </si>
  <si>
    <t>Reason</t>
  </si>
  <si>
    <t>Shareholding at the beginning of the year</t>
  </si>
  <si>
    <t>Cumulative Shareholding during the year</t>
  </si>
  <si>
    <t>No. of shares</t>
  </si>
  <si>
    <t>At the beginning of the year</t>
  </si>
  <si>
    <t>Changes during the year</t>
  </si>
  <si>
    <t>At the end of the year</t>
  </si>
  <si>
    <t>(iv) Shareholding Pattern of top ten Shareholders (Other than Directors, Promoters and Holders of GDRs and ADRs):</t>
  </si>
  <si>
    <t>For each of the Top 10 shareholders</t>
  </si>
  <si>
    <t>Name</t>
  </si>
  <si>
    <r>
      <t xml:space="preserve">(v) </t>
    </r>
    <r>
      <rPr>
        <b/>
        <sz val="11"/>
        <color rgb="FF000000"/>
        <rFont val="Verdana"/>
        <family val="2"/>
      </rPr>
      <t>Shareholding of Directors and Key Managerial Personnel:</t>
    </r>
  </si>
  <si>
    <t>Shareholding of each Directors and each Key Managerial Personnel</t>
  </si>
  <si>
    <t>V. INDEBTEDNESS</t>
  </si>
  <si>
    <t>Indebtedness of the Company including interest outstanding/accrued but not due for payment.</t>
  </si>
  <si>
    <t>(Amt. Rs./Lacs)</t>
  </si>
  <si>
    <t>Secured Loans excluding deposits</t>
  </si>
  <si>
    <t>Deposits</t>
  </si>
  <si>
    <t>Total Indebtedness</t>
  </si>
  <si>
    <t>Indebtedness at the beginning of the financial year</t>
  </si>
  <si>
    <t>i)   Principal Amount</t>
  </si>
  <si>
    <t>ii)  Interest due but not paid</t>
  </si>
  <si>
    <t>iii)  Interest accrued but not due</t>
  </si>
  <si>
    <t>Total (i+ii+iii)</t>
  </si>
  <si>
    <t>Change in Indebtedness during the financial year</t>
  </si>
  <si>
    <t>* Addition</t>
  </si>
  <si>
    <t>* Reduction</t>
  </si>
  <si>
    <t>Net Change</t>
  </si>
  <si>
    <t>Indebtedness at the end of the financial year</t>
  </si>
  <si>
    <t>i) Principal Amount</t>
  </si>
  <si>
    <t>ii) Interest due but not paid</t>
  </si>
  <si>
    <t>iii) Interest accrued but not due</t>
  </si>
  <si>
    <t>VI. REMUNERATION OF DIRECTORS AND KEY MANAGERIAL PERSONNEL</t>
  </si>
  <si>
    <r>
      <t xml:space="preserve">A. </t>
    </r>
    <r>
      <rPr>
        <b/>
        <sz val="11"/>
        <color rgb="FF000000"/>
        <rFont val="Verdana"/>
        <family val="2"/>
      </rPr>
      <t>Remuneration to Managing Director, Whole-time Directors and/or Manager:</t>
    </r>
  </si>
  <si>
    <t>SN.</t>
  </si>
  <si>
    <t>Particulars of Remuneration</t>
  </si>
  <si>
    <t>Name of MD/WTD/ Manager</t>
  </si>
  <si>
    <t>Total Amount
(Rs/Lac)</t>
  </si>
  <si>
    <t>Gross salary</t>
  </si>
  <si>
    <t>(a) Salary as per provisions of section 17(1) of the Income-tax Act, 1961</t>
  </si>
  <si>
    <t>(b) Value of perquisites u/s 17(2) Income-tax Act, 1961</t>
  </si>
  <si>
    <t>(c) Profits in lieu of salary under section 17(3) Income- tax Act, 1961</t>
  </si>
  <si>
    <t>Stock Option</t>
  </si>
  <si>
    <t>Sweat Equity</t>
  </si>
  <si>
    <t>Commission  -  as % of profit</t>
  </si>
  <si>
    <t>-  others, specify</t>
  </si>
  <si>
    <t>Others, please specify</t>
  </si>
  <si>
    <t>Total (A)</t>
  </si>
  <si>
    <t>Ceiling as per the Act</t>
  </si>
  <si>
    <t>B. Remuneration to other Directors</t>
  </si>
  <si>
    <t>Name of Directors</t>
  </si>
  <si>
    <t>Independent Directors</t>
  </si>
  <si>
    <t>Fee for attending board committee meetings</t>
  </si>
  <si>
    <t>Commission</t>
  </si>
  <si>
    <t>Total (1)</t>
  </si>
  <si>
    <t>Other Non-Executive Directors</t>
  </si>
  <si>
    <t>Total (2)</t>
  </si>
  <si>
    <t>Total (B)=(1+2)</t>
  </si>
  <si>
    <t>Total Managerial Remuneration (A)+(B)</t>
  </si>
  <si>
    <t>Overall Ceiling as per the Act</t>
  </si>
  <si>
    <t>C. Remuneration to Key Managerial Personnel other than MD/Manager/WTD</t>
  </si>
  <si>
    <t>Name of Key Managerial Personnel</t>
  </si>
  <si>
    <t>CEO</t>
  </si>
  <si>
    <t>CFO</t>
  </si>
  <si>
    <t>CS</t>
  </si>
  <si>
    <t>-  as % of profit</t>
  </si>
  <si>
    <t>VII. PENALTIES / PUNISHMENT/ COMPOUNDING OF OFFENCES:</t>
  </si>
  <si>
    <t>Type</t>
  </si>
  <si>
    <t>Section of the Companies Act</t>
  </si>
  <si>
    <t>Brief Description</t>
  </si>
  <si>
    <t>Details of Penalty / Punishment/ Compounding fees imposed</t>
  </si>
  <si>
    <t>Authority [RD / NCLT/ COURT]</t>
  </si>
  <si>
    <t>Appeal made, if any (give Details)</t>
  </si>
  <si>
    <t>A. COMPANY</t>
  </si>
  <si>
    <t>Penalty</t>
  </si>
  <si>
    <t>Punishment</t>
  </si>
  <si>
    <t>Compounding</t>
  </si>
  <si>
    <t>B. DIRECTORS</t>
  </si>
  <si>
    <t>C. OTHER OFFICERS IN DEFAULT</t>
  </si>
  <si>
    <t>Annexure-II</t>
  </si>
  <si>
    <t>Section 188</t>
  </si>
  <si>
    <t>FORM NO. AOC-2</t>
  </si>
  <si>
    <t>(a) sale, purchase or supply of any goods or materials;</t>
  </si>
  <si>
    <t>Form for disclosure of particulars of contracts/arrangements entered into by the company with related parties referred to in sub-section (1) of section 188 of the Companies Act, 2013 including certain arms length transactions under third proviso thereto</t>
  </si>
  <si>
    <t>(b) selling or otherwise disposing of, or buying, property of any kind;</t>
  </si>
  <si>
    <t>(c) leasing of property of any kind;</t>
  </si>
  <si>
    <t>(Pursuant to clause (h) of sub-section (3)of section 134 of the Act and Rule 8(2) of the Companies (Accounts) Rules, 2014)</t>
  </si>
  <si>
    <t>(d) availing or rendering of any services;</t>
  </si>
  <si>
    <t>(e) appointment of any agent for purchase or sale of goods, materials, services or property;</t>
  </si>
  <si>
    <t>Details of contracts or arrangements or transactions not at arms length basis-</t>
  </si>
  <si>
    <t>(f) such related party's appointment to any office or place of profit in the company, its subsidiary company or associate company; and</t>
  </si>
  <si>
    <t>(g) underwriting the subscription of any securities or derivatives thereof, of the company</t>
  </si>
  <si>
    <t>**  any other transaciton in its ordinary course of business if its not on an arm‘s length basis:</t>
  </si>
  <si>
    <t>Details of contracts or arrangements or transactions at arms length basis-</t>
  </si>
  <si>
    <t>Name(s) of the related party and nature of relationship</t>
  </si>
  <si>
    <t>Nature of contracts/arrangements/transactions</t>
  </si>
  <si>
    <t>Transactions
Value
(Rs.)</t>
  </si>
  <si>
    <t>Duration of the contracts/arrangements/transactions</t>
  </si>
  <si>
    <t>Salient terms of the contracts or arrangements or transactions including the value, if any</t>
  </si>
  <si>
    <t>Date(s) of approval by the Board, if any</t>
  </si>
  <si>
    <t>Amount paid as advances, if any</t>
  </si>
  <si>
    <t>NOTICE</t>
  </si>
  <si>
    <t>ORDINARY BUSINESS:</t>
  </si>
  <si>
    <t>To consider and if thought fit, to pass with or without modification(s), the following resolution as an ORDINARY RESOLUTION:</t>
  </si>
  <si>
    <t>Appointment of Statutory Auditors of the Company</t>
  </si>
  <si>
    <t>RESOLVED THAT pursuant to the provisions of the Companies Act, 2013 (the Act) read with the Companies (Audit and Auditors) Rules, 2014 (including any statutory modification(s)or re-enactment thereof for the time being in force), M/s Auditor Firm &amp; Co., Chartered Accountants, having ICAI Firm Registration No. 03XXXXXN, be and is hereby appointed as the Auditors of the company, for a term of 5 year(s) for the period from 01-Apr-2023 to 31-Mar-2028 and to hold office until the conclusion of the Annual General Meeting to be held in the year 2028, and in this regard the Board of Directors/Committee of the Board be and are hereby authorised to fix their remuneration plus travelling and other out of pocket expenses incurred by them.</t>
  </si>
  <si>
    <t xml:space="preserve">For and on behalf of the Board          </t>
  </si>
  <si>
    <t>(Director)</t>
  </si>
  <si>
    <t>For and on behalf of the Board</t>
  </si>
  <si>
    <t>Appointment as Statutory Auditor under Companies Act, 2013.</t>
  </si>
  <si>
    <t>Respected Sir,</t>
  </si>
  <si>
    <t>Kindly acknowledge the receipt of this letter and confirm your acceptance for the same.</t>
  </si>
  <si>
    <t>Appointment as Tax Auditor under Income Tax Act, 1961.</t>
  </si>
  <si>
    <t>ONLY WHEN THE APPOINTMENT IS FOR 5 YEARS IN THIS AGM</t>
  </si>
  <si>
    <t>Board of Directors</t>
  </si>
  <si>
    <t>Engagement Letter for Appointment as Statutory Auditors of the company under the Companies Act, 2013, for a term of 5 year(s) for the period from 01-Apr-2023 to 31-Mar-2028.</t>
  </si>
  <si>
    <t>Dear Board Members,</t>
  </si>
  <si>
    <t>In reference to your appointment letter regarding the above mentioned subject, we are pleased to confirm our acceptance and our understanding of this engagement by means of this letter.</t>
  </si>
  <si>
    <t>Objective and Scope of the Audit</t>
  </si>
  <si>
    <t>The objectives of our audit are to obtain reasonable assurance about whether the financial statements as a whole are free from material misstatement, whether due to fraud or error, and to issue an auditor’s report that includes our opinion. Reasonable assurance is a high level of assurance, but is not a guarantee that an audit conducted in accordance with Standards on Auditing (SAs) will always detect a material misstatement when it exists. Misstatements can arise from fraud or error and are considered material if, individually or in the aggregate, they could reasonably be expected to influence the economic decisions of users taken on the basis of these financial statements.</t>
  </si>
  <si>
    <t>Responsibilities of the Auditor</t>
  </si>
  <si>
    <t>We will conduct our audit in accordance with the Standards on Auditing (SAs) specified under Section 143(10) of the Companies Act 2013. Those Standards require that we comply with ethical requirements. As part of an audit in accordance with SAs, we exercise professional judgment and maintain professional skepticism throughout the audit. We also:</t>
  </si>
  <si>
    <t>Identify and assess the risks of material misstatement of the financial statements, whether due to fraud or error, design and perform audit procedures responsive to those risks, and obtain audit evidence that is sufficient and appropriate to provide a basis for our opinion. The risk of not detecting a material misstatement resulting from fraud is higher than for one resulting from error, as fraud may involve collusion, forgery, intentional omissions, misrepresentations, or the override of internal control.</t>
  </si>
  <si>
    <t>Obtain an understanding of internal control relevant to the audit in order to design audit procedures that are appropriate in the circumstances but not for the purpose of expressing an opinion on the effectiveness of the company’s internal control. However, we will communicate to you in writing concerning any significant deficiencies in internal control relevant to the audit of the financial statements that we have identified during the audit.</t>
  </si>
  <si>
    <t>Evaluate the appropriateness of accounting policies used and the reasonableness of accounting estimates and related disclosures made by management.</t>
  </si>
  <si>
    <t>Conclude on the appropriateness of management’s use of the going concern basis of accounting and, based on the audit evidence obtained, whether a material uncertainty exists related to events or conditions that may cast significant doubt on the Company’s ability to continue as a going concern. If we conclude that a material uncertainty exists, we are required to draw attention in our auditor’s report to the related disclosures in the financial statements or, if such disclosures are inadequate, to modify our opinion. Our conclusions are based on the audit evidence obtained up to the date of our auditor’s report. However, future events or conditions may cause the Company to cease to continue as a going concern.</t>
  </si>
  <si>
    <t>Evaluate the overall presentation, structure and content of the financial statements, including the disclosures, and whether the financial statements represent the underlying transactions and events in a manner that achieves fair presentation.</t>
  </si>
  <si>
    <t>Because of the inherent limitations of an audit, together with the inherent limitations of internal control, there is an unavoidable risk that some material misstatements may not be detected, even though the audit is properly planned and performed in accordance with SAs.</t>
  </si>
  <si>
    <t>Responsibilities of Management and Identification of the applicable Financial Reporting Framework</t>
  </si>
  <si>
    <t>Our audit will be conducted on the basis that management and those charged with governance acknowledge and understand that they have responsibility:</t>
  </si>
  <si>
    <t>For the preparation of financial statements that give a true and fair view in accordance with the Financial Reporting Standards. This includes:</t>
  </si>
  <si>
    <t>The responsibility for the preparation of financial statements on a going concern basis.</t>
  </si>
  <si>
    <t>The responsibility for selection and consistent application of appropriate accounting policies, including implementation of applicable accounting standards along with proper explanation relating to any material departures from those accounting standards.</t>
  </si>
  <si>
    <t>iii)</t>
  </si>
  <si>
    <t>The responsibility for making judgements and estimates that are reasonable and prudent so as to give a true and fair view of the state of affairs of the company at the end of the financial year and of the profit or loss of the company for that period.</t>
  </si>
  <si>
    <t>For such internal control as the management determines is necessary to enable the preparation of financial statements that are free from material misstatement, whether due to fraud or error.</t>
  </si>
  <si>
    <t>To provide us with:</t>
  </si>
  <si>
    <t>Access, at all times, to all information, including the books, account, vouchers and other records and documentation, of the company, whether kept at the head office of the company or elsewhere, of which management is aware that is relevant to the preparation of the financial statements such as records, documentation and other matters;</t>
  </si>
  <si>
    <t>Additional information that we may request from management for the purpose of the audit;</t>
  </si>
  <si>
    <t>Unrestricted access to persons within the company from whom we determine it necessary to obtain audit evidence. This includes our entitlement to require from the officers of the company such information and explanations as we may think necessary for the performance of our duties as auditor.</t>
  </si>
  <si>
    <t>As part of our audit process, we will request from management and those charged with governance, written confirmation concerning representations made to us in connection with the audit.</t>
  </si>
  <si>
    <t>We also wish to invite your attention to the fact that our audit process may be subject to 'peer review' under the Chartered Accountants Act, 1949 to be conducted by an Independent reviewer. The reviewer may inspect, examine or take abstract of our working papers during the course of the peer review.</t>
  </si>
  <si>
    <t>We look forward to full cooperation from your staff during our audit.</t>
  </si>
  <si>
    <t>Our fees will be billed as the work progresses.</t>
  </si>
  <si>
    <t>Please sign and return the attached copy of this letter to indicate your acknowledgement of, and agreement with, the arrangements for our audit of the financial statements including our respective responsibilities.</t>
  </si>
  <si>
    <t>Place: Delhi</t>
  </si>
  <si>
    <t>…..................................................................................................................................................................................................................................................................................</t>
  </si>
  <si>
    <t>Acknowledged on behalf of</t>
  </si>
  <si>
    <t>Date:</t>
  </si>
  <si>
    <t>Place:</t>
  </si>
  <si>
    <t>SIGNIFICANT ACCOUNTING POLICIES AND NOTES ON FINANCIAL STATEMENTS</t>
  </si>
  <si>
    <t>Note - 1</t>
  </si>
  <si>
    <t>Corporate Information</t>
  </si>
  <si>
    <t>Breif Description of Company</t>
  </si>
  <si>
    <t>Basis of Preparation</t>
  </si>
  <si>
    <t xml:space="preserve">The Company is a Small and Medium Sized Company (SMC) as defined in the Companies (Accounting Standards) Rules 2021, notified under the Companies Act, 2013, accordingly, the Company has complied with the Accounting Standards as applicable to a Small and Medium Sized Company. </t>
  </si>
  <si>
    <t>The Financial Statements of the company have been prepared under the historical cost convention on accrual basis and ongoing concern basis in accordance with Generally accepted accounting principles in India to comply with the accounting standards specified under Section 133 of the Companies Act, 2013 read with Rule 7 of Companies (Accounts) Rules, 2014 to the extent applicable and the relevant provisions of the Companies Act, 2013.</t>
  </si>
  <si>
    <t>Rounding Off</t>
  </si>
  <si>
    <t>In Rs. Hundreds</t>
  </si>
  <si>
    <t>Summary of Significant Accounting Policies</t>
  </si>
  <si>
    <t>Basis of Accounting: -</t>
  </si>
  <si>
    <t>These financial statements have been prepared in accordance with the Generally Accepted Accounting Principles in India (Indian GAAP) including the Accounting Standards notified under Section 133 of the Companies Act, 2013, read with Rule 7 of the Companies (Accounts) Rules, 2014 and the relevant provisions of the Companies Act, 2013.</t>
  </si>
  <si>
    <t>The financial statements have been prepared under the historical cost convention on accrual basis.</t>
  </si>
  <si>
    <t>Use of Estimates: -</t>
  </si>
  <si>
    <t>The preparation of financial statements in conformity with Indian GAAP requires the management to make judgments, estimates and assumptions that affect the reported amounts of revenues, expenses, assets and liabilities and the disclosure of contingent liabilities, at the end of the reporting period. Although these estimates are based on the management’s best knowledge of current events and actions, uncertainty about these assumptions and estimates could result in the outcomes requiring a material adjustment to the carrying amounts of assets or liabilities in future periods.</t>
  </si>
  <si>
    <t>Revenue Recognition: -</t>
  </si>
  <si>
    <t xml:space="preserve">Expenses and Income considered payable and receivable respectively are accounted for on accrual basis. </t>
  </si>
  <si>
    <t>Revenue is recognized to the extent that it is probable that the economic benefits will flow to the Company and the revenue can be reliably measured.</t>
  </si>
  <si>
    <t>Property, Plant &amp; Equipment: -</t>
  </si>
  <si>
    <t>Property, Plant &amp; Equipment including intangible assets are stated at their original cost of acquisition including taxes, freight and other incidental expenses related to acquisition and installation of the concerned assets less depreciation till date and are net of GST credit (except blocked credit), if any.</t>
  </si>
  <si>
    <t xml:space="preserve">Depreciation: -	</t>
  </si>
  <si>
    <t>Depreciation on Fixed Assets is provided to the extent of depreciable amount on the Written down Value (WDV) Method. Depreciation is provided based on useful life of the assets as prescribed in Schedule II to the Companies Act, 2013.
Depreciation on assets acquired/sold during the year is recognized on a pro-rata basis to the statement of profit and loss till the date of acquisition/sale.</t>
  </si>
  <si>
    <t>f)</t>
  </si>
  <si>
    <t>Foreign currency Transactions: -</t>
  </si>
  <si>
    <t>No foreign currency transactions during the year.</t>
  </si>
  <si>
    <t xml:space="preserve">Investmetns: -	</t>
  </si>
  <si>
    <t>No investments held by the company.</t>
  </si>
  <si>
    <t>Inventories: -</t>
  </si>
  <si>
    <t>j)</t>
  </si>
  <si>
    <t>Inventories are valued as under: -</t>
  </si>
  <si>
    <t>Inventories : Lower of cost or net realizable value</t>
  </si>
  <si>
    <t>Scrap          : At net realizable value.</t>
  </si>
  <si>
    <t>Miscellaneous Expenditure: -</t>
  </si>
  <si>
    <t>No preliminary expenses have been debited to profit &amp; loss account during the year</t>
  </si>
  <si>
    <t>k)</t>
  </si>
  <si>
    <t>l)</t>
  </si>
  <si>
    <t>g)</t>
  </si>
  <si>
    <t>h)</t>
  </si>
  <si>
    <t>Borrowing cost: -</t>
  </si>
  <si>
    <t>i.</t>
  </si>
  <si>
    <t>ii.</t>
  </si>
  <si>
    <t>The amount of borrowing cost capitalized during the previous year is nil.</t>
  </si>
  <si>
    <t>Borrowing cost which is directly attributable to the qualifying assets (Tangible assets, intangible assets and inventories) has been capitalized/attributed from the date of borrowing or utilization of funds to the date on which such asset is put to use or such inventory is prepared for its intended sale.</t>
  </si>
  <si>
    <t>The borrowing cost attributed to inventory during the previous year is nil.</t>
  </si>
  <si>
    <t>iii.</t>
  </si>
  <si>
    <t>Retirement Benefits: -</t>
  </si>
  <si>
    <t>The retirement benefits are accounted for as and when liability becomes due for payment.</t>
  </si>
  <si>
    <t>Taxes on Income: -</t>
  </si>
  <si>
    <t>Provision for current tax is made on the basis of estimated taxable income for the current accounting year in accordance with the Income Tax Act, 1961. The deferred tax for timing differences between the book and tax profits for the year is accounted for, using the tax rates and laws that have been substantively enacted by the balance sheet date. Deferred tax assets arising from timing differences are recognized to the extent there is virtual certainty with convincing evidence that these would be realized in future. At each Balance Sheet date, the carrying amount of deferred tax is reviewed to reassure realization.</t>
  </si>
  <si>
    <t>m)</t>
  </si>
  <si>
    <t>Provisions, Contingent Liabilities and Contingent Assets: - (AS-29)</t>
  </si>
  <si>
    <t>Provisions are recognized only when there is a present obligation as a result of past events and when a reliable estimate of the amount of the obligation can be made.
			Contingent Liabilities is disclosed in Notes to the account for: -</t>
  </si>
  <si>
    <t>Possible obligations which will be confirmed only by future events not wholly within the control of the company or</t>
  </si>
  <si>
    <t xml:space="preserve">Present Obligations arising from past events where it is not probable that an outflow of resources will be required to settle the obligation or a reliable estimate of the amount of the obligation cannot be made. </t>
  </si>
  <si>
    <t>Contingent assets are not recognized in the financial statement since this may result in the recognition of the income that may never be realized.</t>
  </si>
  <si>
    <t>General</t>
  </si>
  <si>
    <t>Except wherever stated, accounting policies are consistent with the generally accepted accounting principles and have been consistently applied.</t>
  </si>
  <si>
    <t>The SSI status of the creditors is not known to the Company; hence the information is not given.</t>
  </si>
  <si>
    <t>Details of Directors Renumeration are as follows</t>
  </si>
  <si>
    <t>Amount of renumeratoin</t>
  </si>
  <si>
    <t>No. of Directors</t>
  </si>
  <si>
    <t>Trade receivables, Trade payables, Loans &amp; Advances and Unsecured Loans have been taken at their book value subject to confirmation and reconciliation.</t>
  </si>
  <si>
    <t>Payments to Auditors:</t>
  </si>
  <si>
    <t>Statutory Audit</t>
  </si>
  <si>
    <t>Tax Audit</t>
  </si>
  <si>
    <t>Company Law Matters</t>
  </si>
  <si>
    <t>Any other payments</t>
  </si>
  <si>
    <t>Loans and Advances are considered good in respect of which company does not hold any security other than the personal guarantee of persons.</t>
  </si>
  <si>
    <t>Advance to others includes advances to concerns in which directors are interested:</t>
  </si>
  <si>
    <t>Name of Concern</t>
  </si>
  <si>
    <t>Nil</t>
  </si>
  <si>
    <t>Related Party disclosure as identified by the company and relied upon by the auditors:</t>
  </si>
  <si>
    <t>d. Enterprises over which KMP have significant influence (Common Directors)</t>
  </si>
  <si>
    <t>c. Relateives of Key management Personal</t>
  </si>
  <si>
    <t>Transactions with Related Parties</t>
  </si>
  <si>
    <t>Unsecured Loan Taken</t>
  </si>
  <si>
    <t>Received Back</t>
  </si>
  <si>
    <t>Deposit Received</t>
  </si>
  <si>
    <t>Deposit Repaid</t>
  </si>
  <si>
    <t>Interest Received</t>
  </si>
  <si>
    <t>Interest Paid</t>
  </si>
  <si>
    <t>Remuneration Paid</t>
  </si>
  <si>
    <t>Purchase</t>
  </si>
  <si>
    <t xml:space="preserve">Rent Paid </t>
  </si>
  <si>
    <t>Other Payment</t>
  </si>
  <si>
    <t>Job Charges</t>
  </si>
  <si>
    <t>Transactions during the year</t>
  </si>
  <si>
    <t>iv)</t>
  </si>
  <si>
    <t>- Shareholder</t>
  </si>
  <si>
    <t>Key Management Personel</t>
  </si>
  <si>
    <t>Relative of Key Management Personel</t>
  </si>
  <si>
    <t>Outstanding Balances</t>
  </si>
  <si>
    <t>Amount Payable</t>
  </si>
  <si>
    <t>Amount Receivable</t>
  </si>
  <si>
    <t>% of imported &amp; indigenous raw material &amp; consumables</t>
  </si>
  <si>
    <t>Imported</t>
  </si>
  <si>
    <t>Indigenous</t>
  </si>
  <si>
    <t>Value of Imports</t>
  </si>
  <si>
    <t>Expenditure in Foreign Currency</t>
  </si>
  <si>
    <t>Any other</t>
  </si>
  <si>
    <t>Earnings in Foreign Currency</t>
  </si>
  <si>
    <t>Sale</t>
  </si>
  <si>
    <t>There are no dues as on 31.03.2022 to enterprises covered under Micro, Small &amp; Medium Enterprises development Act,2006</t>
  </si>
  <si>
    <t>Previous year figures have been regrouped/rearranged wherever necessary.</t>
  </si>
  <si>
    <t>Other Statutory Information</t>
  </si>
  <si>
    <t>Title deeds of immovable Property not held in name of the Company.</t>
  </si>
  <si>
    <t>Relevant line items in the Balance sheets</t>
  </si>
  <si>
    <t>Descriptions of items of property</t>
  </si>
  <si>
    <t>Weather title deed holder is a promoter, director or relative of Promoter' director or employee of promoters/ director</t>
  </si>
  <si>
    <t>-- Not Applicable --</t>
  </si>
  <si>
    <t>The Company has not revalued its Property, Plant and Equipment.</t>
  </si>
  <si>
    <t>No Loans or Advances in the nature of loans are granted to promoters, directors, KMPs and the related parties (as defined under Companies Act, 2013,) either severally or jointly with any other person.</t>
  </si>
  <si>
    <t>iv.</t>
  </si>
  <si>
    <t>--Not Applicable--</t>
  </si>
  <si>
    <t>a) or Capital-work-in progress, following ageing schedule shall be given</t>
  </si>
  <si>
    <t>b) or capital-work-in progress, whose completion is overdue or has exceeded its cost compared to its original plan, following.</t>
  </si>
  <si>
    <t>v.</t>
  </si>
  <si>
    <t>Intangible assets under development</t>
  </si>
  <si>
    <t>a) For Intangible assets under development</t>
  </si>
  <si>
    <t>Intangible Assets under Development</t>
  </si>
  <si>
    <t>b) Intangible assets under development completion schedule</t>
  </si>
  <si>
    <t>vi.</t>
  </si>
  <si>
    <t>The company does not have any Benami property or any proceeding is pending against the company for holding any Benami property.</t>
  </si>
  <si>
    <t>vii.</t>
  </si>
  <si>
    <t>viii.</t>
  </si>
  <si>
    <t>ix.</t>
  </si>
  <si>
    <t>x.</t>
  </si>
  <si>
    <t>xi.</t>
  </si>
  <si>
    <t>xii.</t>
  </si>
  <si>
    <t>xiii.</t>
  </si>
  <si>
    <t>xiv.</t>
  </si>
  <si>
    <t>xv.</t>
  </si>
  <si>
    <t>The company does not have transactions or balances outstanding with the companies struck off u/s 248 of the Companies Act, 2013.</t>
  </si>
  <si>
    <t>The company has not advanced or given loans or invested funds to any other person or entity including foreign entity (intermediaries) with the understanding that the intermediary shall</t>
  </si>
  <si>
    <t>a) Directly or indirectly lend or invest in other person or entity identified in any manner whatsoever by or on behalf of the company (ultimate beneficiary) or</t>
  </si>
  <si>
    <t>The company has not received any fund from any person or entity including foreign entity   (funding party) with the understanding (whether recorded in writing or otherwise) that the company shall:</t>
  </si>
  <si>
    <t>a) Directly or indirectly lend or invest in any other person or entity identified in any manner   whatsoever by or on behalf of the company (ultimate beneficiary) or</t>
  </si>
  <si>
    <t xml:space="preserve">b) Provide any guarantee, security or the like to or on behalf of the ultimate beneficiary. </t>
  </si>
  <si>
    <t>b) Provide any guarantee, security or the like to or on behalf of the ultimate beneficiary.</t>
  </si>
  <si>
    <t>The company does not have any investments through more than two layers of investment companies as per section 2(87) (d) and section 186 of Companies Act, 2013</t>
  </si>
  <si>
    <t>The company has borrowings from bank on the basis of security of current assets. The annually return and statement of current assets filed by the company with the bank are in agreement with the books of accounts.</t>
  </si>
  <si>
    <t>The company do not have any charges or satisfaction which is yet to be registered with Registrar of Companies beyond the statutory period.</t>
  </si>
  <si>
    <t>The company has not traded or invested in crypto currency or virtual currency during the financial year.</t>
  </si>
  <si>
    <t>The company is not classified as willful defaulter.</t>
  </si>
  <si>
    <t>The company does not have any transaction which is not recorded in the books of accounts that has been surrendered or disclosed as income during the year in the tax assessments under the Income Tax Acts, 1961 such as search or survey.</t>
  </si>
  <si>
    <t>As per our separate audit report of even date attached</t>
  </si>
  <si>
    <t>Partner</t>
  </si>
  <si>
    <t xml:space="preserve">FRN </t>
  </si>
  <si>
    <t>M. No.</t>
  </si>
  <si>
    <t>Place</t>
  </si>
  <si>
    <t>UDIN</t>
  </si>
  <si>
    <t>For and on Behalf of</t>
  </si>
  <si>
    <t>No. of Shareholders</t>
  </si>
  <si>
    <t>Shareholder 1</t>
  </si>
  <si>
    <t>Name of Shareholder 1</t>
  </si>
  <si>
    <t>Address of Shareholder 1</t>
  </si>
  <si>
    <t>Name of Shareholder 2</t>
  </si>
  <si>
    <t>Address of Shareholder 2</t>
  </si>
  <si>
    <t>XXX</t>
  </si>
  <si>
    <t>Shareholder 2</t>
  </si>
  <si>
    <t>Current investments (if any) as appearing in the Balance Sheet consist of only investments which are by their nature readily realisable and intended to be held for not more than one year from the balance sheet date. All other investments have been shown in the Balance Sheet as long term investments.</t>
  </si>
  <si>
    <t>Current investments (if any) have been valued at the lower of cost or market value. Long term investments have been valued at cost, except that any permanent diminution in their values has been provided for ascertaining their carrying amounts.</t>
  </si>
  <si>
    <t>Balance Payable/Input Tax Credit with GST department as per books (if any) are matching with the balance as per GST records.</t>
  </si>
  <si>
    <t>In Rs. Thousands</t>
  </si>
  <si>
    <t>In Rs. Lakhs</t>
  </si>
  <si>
    <t>Cost of materials consumed</t>
  </si>
  <si>
    <t>Purchase of Stock in Trade</t>
  </si>
  <si>
    <t>Changes in inventories of finished goods, work-in-progress and stock-in-trade</t>
  </si>
  <si>
    <t>Employee benefits expenses</t>
  </si>
  <si>
    <t>Other expenses</t>
  </si>
  <si>
    <t>Depreciation and amortisation</t>
  </si>
  <si>
    <t>Total Expenditure</t>
  </si>
  <si>
    <t>Profit Before taxes</t>
  </si>
  <si>
    <t>Previous Year Column Required</t>
  </si>
  <si>
    <t>Shareholding</t>
  </si>
  <si>
    <t>+91 7988355606</t>
  </si>
  <si>
    <t>caakshay.agml@gmail.com</t>
  </si>
  <si>
    <t>Akshay Garg</t>
  </si>
  <si>
    <t>Audit Fees</t>
  </si>
  <si>
    <t>Freight</t>
  </si>
  <si>
    <t>Short &amp; Excess</t>
  </si>
  <si>
    <t>Office Expenses</t>
  </si>
  <si>
    <t>Trial_2Cut</t>
  </si>
  <si>
    <t>FA</t>
  </si>
  <si>
    <t>Other Expenses</t>
  </si>
  <si>
    <t>Packaging Expenses</t>
  </si>
  <si>
    <t>Rs. In Thousands</t>
  </si>
  <si>
    <t>Number of shares (In Thousand's)</t>
  </si>
  <si>
    <t>No. of Shares (In Thousand's)</t>
  </si>
  <si>
    <t>Value/Share
(In Thousands)</t>
  </si>
  <si>
    <t>No of shares (In Thousands)</t>
  </si>
  <si>
    <t>NOTE- 2B. STATEMENTS OF CHANGES IN EQUITY (NUMBERS IN THOUSANDS)</t>
  </si>
  <si>
    <t>Carried forward Losses</t>
  </si>
  <si>
    <t>Readymade Garments</t>
  </si>
  <si>
    <t>DELHI</t>
  </si>
  <si>
    <t>Delhi</t>
  </si>
  <si>
    <t>Barhi</t>
  </si>
  <si>
    <t>Capital</t>
  </si>
  <si>
    <t>Bonus Payable</t>
  </si>
  <si>
    <t>Salary &amp; Wages Payable</t>
  </si>
  <si>
    <t>Indirect Income</t>
  </si>
  <si>
    <t>Consumable Exp.</t>
  </si>
  <si>
    <t>Govt Fee</t>
  </si>
  <si>
    <t>Telephone &amp; Broadband Charges</t>
  </si>
  <si>
    <t>Testing Charges</t>
  </si>
  <si>
    <t>Shri Ganesh Jee</t>
  </si>
  <si>
    <t>Loans</t>
  </si>
  <si>
    <t>EPABX</t>
  </si>
  <si>
    <t>WATER PURIFIER</t>
  </si>
  <si>
    <t>Indirect Expense</t>
  </si>
  <si>
    <t>Less: Interbranch Sale</t>
  </si>
  <si>
    <t>Discount</t>
  </si>
  <si>
    <t>Courier Charges Received</t>
  </si>
  <si>
    <t>Grant Facebook</t>
  </si>
  <si>
    <t>Interest on IT Refund</t>
  </si>
  <si>
    <t>Profit on Sale of Fixed Assets</t>
  </si>
  <si>
    <t>Misc. Income</t>
  </si>
  <si>
    <t>Less:Inter Branch Purchase</t>
  </si>
  <si>
    <t xml:space="preserve">Director Remuneration </t>
  </si>
  <si>
    <t>Contributions to ESI, PF and Others</t>
  </si>
  <si>
    <t xml:space="preserve">      - Building</t>
  </si>
  <si>
    <t xml:space="preserve">      - Vehicle</t>
  </si>
  <si>
    <t xml:space="preserve">      - Others</t>
  </si>
  <si>
    <t>Cartage Expenses</t>
  </si>
  <si>
    <t>Custom Clearance Charges</t>
  </si>
  <si>
    <t>Festiwal Expenses</t>
  </si>
  <si>
    <t>E-Commerce Charges</t>
  </si>
  <si>
    <t>Electricity, Power &amp; Fuel</t>
  </si>
  <si>
    <t>GST on Demand</t>
  </si>
  <si>
    <t>H/W Disposal Charges</t>
  </si>
  <si>
    <t>Interest on TDS</t>
  </si>
  <si>
    <t>Legal &amp; Professional Charges</t>
  </si>
  <si>
    <t xml:space="preserve">Machinery Installation </t>
  </si>
  <si>
    <t>Misc. Exps</t>
  </si>
  <si>
    <t>Packing Material</t>
  </si>
  <si>
    <t>Postage &amp; Courier</t>
  </si>
  <si>
    <t xml:space="preserve">Printing &amp; Stationery </t>
  </si>
  <si>
    <t>Processing Fees</t>
  </si>
  <si>
    <t xml:space="preserve">Rate Differance &amp; Damage </t>
  </si>
  <si>
    <t xml:space="preserve">Rent </t>
  </si>
  <si>
    <t>Store &amp; Spare</t>
  </si>
  <si>
    <t>Trade Mark Registraion Fees</t>
  </si>
  <si>
    <t>Travelling &amp; Conveyance Exp.</t>
  </si>
  <si>
    <t>Website Charges</t>
  </si>
  <si>
    <t xml:space="preserve">Advertisments Expense </t>
  </si>
  <si>
    <t>Business Promotion</t>
  </si>
  <si>
    <t xml:space="preserve">Insurance </t>
  </si>
  <si>
    <t xml:space="preserve">1,00,000 equity shares (PY 1,00,000 Equity Shares) of Rs.10 each  </t>
  </si>
  <si>
    <t xml:space="preserve">97,540 Equity shares (PY 97,540 Equity shares) of Rs.10/- each </t>
  </si>
  <si>
    <t>Secured Loan</t>
  </si>
  <si>
    <t>Secured From Others</t>
  </si>
  <si>
    <t>Secured From Banks</t>
  </si>
  <si>
    <t>Unsecured Loan</t>
  </si>
  <si>
    <t>Unsecured from Banks</t>
  </si>
  <si>
    <t>Unsecured from others</t>
  </si>
  <si>
    <t>Loan from Related Parties</t>
  </si>
  <si>
    <t>Long term borrowings from Directors</t>
  </si>
  <si>
    <t>Short term borrowings from Directors</t>
  </si>
  <si>
    <t>Advance to suppliers</t>
  </si>
  <si>
    <t>Prepaid expenses</t>
  </si>
  <si>
    <t>Balance with revenue authorities</t>
  </si>
  <si>
    <t>Security with government authorities</t>
  </si>
  <si>
    <t>Security with others</t>
  </si>
  <si>
    <t>Advances from Debtors</t>
  </si>
  <si>
    <t>Nul</t>
  </si>
  <si>
    <t>Not through Formula</t>
  </si>
  <si>
    <t>Short Term Borrowings</t>
  </si>
  <si>
    <t>Closing Stock</t>
  </si>
  <si>
    <t>Revenue from operations</t>
  </si>
  <si>
    <t>Purchase of material</t>
  </si>
  <si>
    <t>Finance Charges</t>
  </si>
  <si>
    <t>Bonus Expenses</t>
  </si>
  <si>
    <t>Employee benefit Expenses</t>
  </si>
  <si>
    <t>Emoloyee Benefit Expenses</t>
  </si>
  <si>
    <t>Depreciation and Amortisation</t>
  </si>
  <si>
    <t>Job Work Expenses</t>
  </si>
  <si>
    <t>Water Expenses</t>
  </si>
  <si>
    <t>Land</t>
  </si>
  <si>
    <t>Building</t>
  </si>
  <si>
    <t>Office Equipements</t>
  </si>
  <si>
    <t>Furniture and Fixture</t>
  </si>
  <si>
    <t>Vehicle</t>
  </si>
  <si>
    <t>SALE/DED.</t>
  </si>
  <si>
    <t>CAR</t>
  </si>
  <si>
    <t>TWO WHEELER</t>
  </si>
  <si>
    <t>CYCLE</t>
  </si>
  <si>
    <t>INVERTER</t>
  </si>
  <si>
    <t>ELECTRICI FITTING &amp; FIXTURES</t>
  </si>
  <si>
    <t>SECURITY SYSTEM</t>
  </si>
  <si>
    <t>COMPUTER</t>
  </si>
  <si>
    <t>JEETO PCK UP VAN 0989</t>
  </si>
  <si>
    <t xml:space="preserve">JEETO PCK UP </t>
  </si>
  <si>
    <t>FURNITURE &amp; FIXTURES</t>
  </si>
  <si>
    <t>BARHI</t>
  </si>
  <si>
    <t>LAND (HSIDC BARHI) PLOT-130</t>
  </si>
  <si>
    <t>LAND(BARHI INDUS.) PLOT-131</t>
  </si>
  <si>
    <t>BUILDING AT PLOT-130</t>
  </si>
  <si>
    <t>BUILDING AT PLOT-131</t>
  </si>
  <si>
    <t>BUILDING AT PLOT-132</t>
  </si>
  <si>
    <t xml:space="preserve">FURNITURE </t>
  </si>
  <si>
    <t>ELECTRIC FITTINGS &amp; FIXTURE</t>
  </si>
  <si>
    <t>GENERATOR</t>
  </si>
  <si>
    <t>WATER POLLUTION EQUIP.</t>
  </si>
  <si>
    <t>WIRELESS HANDLE RADIO</t>
  </si>
  <si>
    <t>FIRE FIGHTING EQUIPMENT</t>
  </si>
  <si>
    <t>SOLAR LIGHTING SYSTEM</t>
  </si>
  <si>
    <t>ECO (PICK UP VAN)</t>
  </si>
  <si>
    <t>DELIVERY VAN</t>
  </si>
  <si>
    <t>WATER COOLER</t>
  </si>
  <si>
    <t>Sale of Services</t>
  </si>
  <si>
    <t>Current Maturities of Long Term Debts</t>
  </si>
  <si>
    <t>Secured from Banks</t>
  </si>
  <si>
    <t>Unsecured from Others</t>
  </si>
  <si>
    <t>ABC PRIVATE LIMITED</t>
  </si>
  <si>
    <t>B-2, XXXXXXXXXXXX XXXXXXXXXXX0034</t>
  </si>
  <si>
    <t>U7XXXXXXXXXXXXXXXXX52</t>
  </si>
  <si>
    <t>abc@gmail.com</t>
  </si>
  <si>
    <t>Director 1</t>
  </si>
  <si>
    <t>Director 2</t>
  </si>
  <si>
    <t>Director 3</t>
  </si>
  <si>
    <t>00XXXX70</t>
  </si>
  <si>
    <t>ABC</t>
  </si>
  <si>
    <t>XXXXXXXXX</t>
  </si>
  <si>
    <t>XXXXXX</t>
  </si>
  <si>
    <t>UG A-1XXXXXXXXXXXXXXXXXXXXXXXXXXXXXX,Haryana-131023</t>
  </si>
  <si>
    <t>A XXXXXXXXXXXociates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</si>
</sst>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_-* #,##0.00_-;\-* #,##0.00_-;_-* &quot;-&quot;??_-;_-@_-"/>
    <numFmt numFmtId="166" formatCode="_ * #,##0.00_)\ _$_ ;_ * \(#,##0.00\)\ _$_ ;_ * &quot;-&quot;??_)\ _$_ ;_ @_ "/>
    <numFmt numFmtId="167" formatCode="_(* #,##0_);_(* \(#,##0\);_(* &quot;-&quot;??_);_(@_)"/>
    <numFmt numFmtId="168" formatCode="[$-409]d/mmm/yy;@"/>
    <numFmt numFmtId="169" formatCode="_-* #,##0.00\ _$_-;\-* #,##0.00\ _$_-;_-* &quot;-&quot;??\ _$_-;_-@_-"/>
    <numFmt numFmtId="170" formatCode="0.0000"/>
    <numFmt numFmtId="171" formatCode="0."/>
    <numFmt numFmtId="172" formatCode="_ * #,##0_ ;_ * \-#,##0_ ;_ * &quot;-&quot;??_ ;_ @_ "/>
    <numFmt numFmtId="173" formatCode="&quot;&quot;0.00&quot; Cr&quot;"/>
    <numFmt numFmtId="174" formatCode="&quot;&quot;0.00&quot; Dr&quot;"/>
    <numFmt numFmtId="175" formatCode="&quot;&quot;0"/>
    <numFmt numFmtId="176" formatCode="mmmm\ yyyy"/>
    <numFmt numFmtId="177" formatCode="_(* #,##0.00000_);_(* \(#,##0.00000\);_(* &quot;-&quot;??_);_(@_)"/>
    <numFmt numFmtId="178" formatCode="##."/>
    <numFmt numFmtId="179" formatCode="_(* #,##0.0_);_(* \(#,##0.0\);_(* &quot;-&quot;??_);_(@_)"/>
    <numFmt numFmtId="180" formatCode="_ * #,##0.0000000_ ;_ * \-#,##0.0000000_ ;_ * &quot;-&quot;??_ ;_ @_ "/>
    <numFmt numFmtId="181" formatCode="_(* #,##0.00_);_(* \(#,##0.00\);_(* &quot;-&quot;_);_(@_)"/>
  </numFmts>
  <fonts count="96">
    <font>
      <sz val="11"/>
      <color theme="1"/>
      <name val="Calibri"/>
      <family val="2"/>
      <scheme val="minor"/>
    </font>
    <font>
      <sz val="11"/>
      <color indexed="8"/>
      <name val="Calibri"/>
      <family val="2"/>
    </font>
    <font>
      <sz val="10"/>
      <name val="Arial"/>
      <family val="2"/>
    </font>
    <font>
      <sz val="11"/>
      <color indexed="8"/>
      <name val="Calibri"/>
      <family val="2"/>
    </font>
    <font>
      <u/>
      <sz val="10"/>
      <color indexed="12"/>
      <name val="Arial"/>
      <family val="2"/>
    </font>
    <font>
      <sz val="11"/>
      <color indexed="8"/>
      <name val="Calibri"/>
      <family val="2"/>
    </font>
    <font>
      <sz val="10"/>
      <name val="Arial"/>
      <family val="2"/>
    </font>
    <font>
      <sz val="8"/>
      <name val="Arial"/>
      <family val="2"/>
    </font>
    <font>
      <b/>
      <sz val="11"/>
      <name val="Arial"/>
      <family val="2"/>
    </font>
    <font>
      <sz val="11"/>
      <name val="Arial"/>
      <family val="2"/>
    </font>
    <font>
      <sz val="8"/>
      <name val="Calibri"/>
      <family val="2"/>
    </font>
    <font>
      <sz val="10"/>
      <name val="Arial"/>
      <family val="2"/>
    </font>
    <font>
      <b/>
      <sz val="12"/>
      <name val="Times New Roman"/>
      <family val="1"/>
    </font>
    <font>
      <sz val="12"/>
      <name val="Times New Roman"/>
      <family val="1"/>
    </font>
    <font>
      <b/>
      <u/>
      <sz val="12"/>
      <name val="Times New Roman"/>
      <family val="1"/>
    </font>
    <font>
      <sz val="12"/>
      <color indexed="8"/>
      <name val="Times New Roman"/>
      <family val="1"/>
    </font>
    <font>
      <b/>
      <sz val="12"/>
      <color indexed="8"/>
      <name val="Times New Roman"/>
      <family val="1"/>
    </font>
    <font>
      <b/>
      <sz val="12"/>
      <color indexed="10"/>
      <name val="Times New Roman"/>
      <family val="1"/>
    </font>
    <font>
      <b/>
      <sz val="11"/>
      <name val="Times New Roman"/>
      <family val="1"/>
    </font>
    <font>
      <sz val="11"/>
      <name val="Times New Roman"/>
      <family val="1"/>
    </font>
    <font>
      <u/>
      <sz val="11"/>
      <name val="Times New Roman"/>
      <family val="1"/>
    </font>
    <font>
      <b/>
      <u/>
      <sz val="11"/>
      <name val="Times New Roman"/>
      <family val="1"/>
    </font>
    <font>
      <b/>
      <sz val="10"/>
      <name val="Times New Roman"/>
      <family val="1"/>
    </font>
    <font>
      <sz val="10"/>
      <name val="Times New Roman"/>
      <family val="1"/>
    </font>
    <font>
      <sz val="11"/>
      <color indexed="8"/>
      <name val="Calibri"/>
      <family val="2"/>
    </font>
    <font>
      <b/>
      <sz val="11"/>
      <color indexed="8"/>
      <name val="Calibri"/>
      <family val="2"/>
    </font>
    <font>
      <sz val="11"/>
      <color indexed="10"/>
      <name val="Times New Roman"/>
      <family val="1"/>
    </font>
    <font>
      <sz val="11"/>
      <color indexed="8"/>
      <name val="Times New Roman"/>
      <family val="1"/>
    </font>
    <font>
      <sz val="12"/>
      <color indexed="10"/>
      <name val="Times New Roman"/>
      <family val="1"/>
    </font>
    <font>
      <b/>
      <sz val="10"/>
      <color indexed="8"/>
      <name val="Times New Roman"/>
      <family val="1"/>
    </font>
    <font>
      <b/>
      <i/>
      <sz val="15"/>
      <name val="Times New Roman"/>
      <family val="1"/>
    </font>
    <font>
      <b/>
      <i/>
      <u/>
      <sz val="15"/>
      <name val="Times New Roman"/>
      <family val="1"/>
    </font>
    <font>
      <sz val="14"/>
      <name val="Times New Roman"/>
      <family val="1"/>
    </font>
    <font>
      <sz val="11"/>
      <color indexed="8"/>
      <name val="Segoe UI"/>
      <family val="2"/>
    </font>
    <font>
      <sz val="7"/>
      <color indexed="8"/>
      <name val="Times New Roman"/>
      <family val="1"/>
    </font>
    <font>
      <b/>
      <sz val="10"/>
      <name val="Verdana"/>
      <family val="2"/>
    </font>
    <font>
      <sz val="10"/>
      <name val="Verdana"/>
      <family val="2"/>
    </font>
    <font>
      <b/>
      <u/>
      <sz val="10"/>
      <name val="Verdana"/>
      <family val="2"/>
    </font>
    <font>
      <b/>
      <sz val="10"/>
      <color indexed="8"/>
      <name val="Verdana"/>
      <family val="2"/>
    </font>
    <font>
      <sz val="10"/>
      <color indexed="8"/>
      <name val="Verdana"/>
      <family val="2"/>
    </font>
    <font>
      <i/>
      <sz val="10"/>
      <name val="Verdana"/>
      <family val="2"/>
    </font>
    <font>
      <b/>
      <u/>
      <sz val="10"/>
      <color indexed="8"/>
      <name val="Verdana"/>
      <family val="2"/>
    </font>
    <font>
      <sz val="11"/>
      <color theme="1"/>
      <name val="Calibri"/>
      <family val="2"/>
      <scheme val="minor"/>
    </font>
    <font>
      <u/>
      <sz val="11"/>
      <color theme="10"/>
      <name val="Calibri"/>
      <family val="2"/>
    </font>
    <font>
      <b/>
      <sz val="11"/>
      <color theme="1"/>
      <name val="Calibri"/>
      <family val="2"/>
      <scheme val="minor"/>
    </font>
    <font>
      <sz val="11"/>
      <color theme="1"/>
      <name val="Segoe UI"/>
      <family val="2"/>
    </font>
    <font>
      <b/>
      <sz val="11"/>
      <color theme="1"/>
      <name val="Segoe UI"/>
      <family val="2"/>
    </font>
    <font>
      <b/>
      <sz val="14"/>
      <color theme="1"/>
      <name val="Calibri"/>
      <family val="2"/>
      <scheme val="minor"/>
    </font>
    <font>
      <sz val="14"/>
      <color theme="1"/>
      <name val="Calibri"/>
      <family val="2"/>
      <scheme val="minor"/>
    </font>
    <font>
      <b/>
      <sz val="10"/>
      <color theme="1"/>
      <name val="Segoe UI"/>
      <family val="2"/>
    </font>
    <font>
      <sz val="10"/>
      <color theme="1"/>
      <name val="Times New Roman"/>
      <family val="1"/>
    </font>
    <font>
      <sz val="10"/>
      <color theme="1"/>
      <name val="Segoe UI"/>
      <family val="2"/>
    </font>
    <font>
      <b/>
      <sz val="14"/>
      <color theme="1"/>
      <name val="Segoe UI"/>
      <family val="2"/>
    </font>
    <font>
      <sz val="11"/>
      <color theme="1"/>
      <name val="Times New Roman"/>
      <family val="1"/>
    </font>
    <font>
      <b/>
      <sz val="10"/>
      <color theme="1"/>
      <name val="Verdana"/>
      <family val="2"/>
    </font>
    <font>
      <sz val="10"/>
      <color theme="1"/>
      <name val="Verdana"/>
      <family val="2"/>
    </font>
    <font>
      <sz val="11"/>
      <name val="Calibri"/>
      <family val="2"/>
    </font>
    <font>
      <sz val="10"/>
      <name val="Arial"/>
      <family val="2"/>
    </font>
    <font>
      <b/>
      <sz val="10"/>
      <name val="Arial"/>
      <family val="2"/>
    </font>
    <font>
      <sz val="10"/>
      <color indexed="8"/>
      <name val="Trebuchet MS"/>
      <family val="2"/>
    </font>
    <font>
      <b/>
      <sz val="9"/>
      <color indexed="8"/>
      <name val="Arial"/>
      <family val="2"/>
    </font>
    <font>
      <i/>
      <sz val="9"/>
      <color indexed="8"/>
      <name val="Arial"/>
      <family val="2"/>
    </font>
    <font>
      <sz val="9"/>
      <color indexed="8"/>
      <name val="Arial"/>
      <family val="2"/>
    </font>
    <font>
      <b/>
      <i/>
      <sz val="9"/>
      <color indexed="8"/>
      <name val="Arial"/>
      <family val="2"/>
    </font>
    <font>
      <sz val="11"/>
      <name val="Verdana"/>
      <family val="2"/>
    </font>
    <font>
      <b/>
      <sz val="11"/>
      <name val="Verdana"/>
      <family val="2"/>
    </font>
    <font>
      <sz val="11"/>
      <name val="Calibri"/>
      <family val="2"/>
      <scheme val="minor"/>
    </font>
    <font>
      <sz val="10"/>
      <name val="Arial"/>
      <family val="2"/>
      <charset val="134"/>
    </font>
    <font>
      <b/>
      <sz val="9"/>
      <name val="Verdana"/>
      <family val="2"/>
    </font>
    <font>
      <b/>
      <sz val="9"/>
      <color indexed="8"/>
      <name val="Verdana"/>
      <family val="2"/>
    </font>
    <font>
      <sz val="10"/>
      <color theme="1"/>
      <name val="Calibri"/>
      <family val="2"/>
      <scheme val="minor"/>
    </font>
    <font>
      <sz val="10"/>
      <name val="AGaramond"/>
    </font>
    <font>
      <u/>
      <sz val="10"/>
      <color theme="10"/>
      <name val="AGaramond"/>
    </font>
    <font>
      <b/>
      <u/>
      <sz val="14"/>
      <name val="Verdana"/>
      <family val="2"/>
    </font>
    <font>
      <b/>
      <u/>
      <sz val="11"/>
      <name val="Verdana"/>
      <family val="2"/>
    </font>
    <font>
      <b/>
      <sz val="11"/>
      <color theme="1"/>
      <name val="Verdana"/>
      <family val="2"/>
    </font>
    <font>
      <sz val="11"/>
      <color theme="1"/>
      <name val="Verdana"/>
      <family val="2"/>
    </font>
    <font>
      <i/>
      <sz val="11"/>
      <color theme="1"/>
      <name val="Verdana"/>
      <family val="2"/>
    </font>
    <font>
      <b/>
      <u/>
      <sz val="11"/>
      <color theme="1"/>
      <name val="Verdana"/>
      <family val="2"/>
    </font>
    <font>
      <i/>
      <sz val="10"/>
      <color theme="1"/>
      <name val="Verdana"/>
      <family val="2"/>
    </font>
    <font>
      <b/>
      <sz val="7"/>
      <color theme="1"/>
      <name val="Verdana"/>
      <family val="2"/>
    </font>
    <font>
      <b/>
      <sz val="11"/>
      <color rgb="FF000000"/>
      <name val="Verdana"/>
      <family val="2"/>
    </font>
    <font>
      <b/>
      <sz val="7"/>
      <color rgb="FF000000"/>
      <name val="Verdana"/>
      <family val="2"/>
    </font>
    <font>
      <sz val="11"/>
      <color rgb="FF000000"/>
      <name val="Verdana"/>
      <family val="2"/>
    </font>
    <font>
      <sz val="10"/>
      <color rgb="FF000000"/>
      <name val="Verdana"/>
      <family val="2"/>
    </font>
    <font>
      <b/>
      <sz val="10"/>
      <color rgb="FF000000"/>
      <name val="Verdana"/>
      <family val="2"/>
    </font>
    <font>
      <sz val="9"/>
      <color theme="1"/>
      <name val="Verdana"/>
      <family val="2"/>
    </font>
    <font>
      <i/>
      <sz val="11"/>
      <color rgb="FF231F20"/>
      <name val="Verdana"/>
      <family val="2"/>
    </font>
    <font>
      <b/>
      <sz val="11"/>
      <color rgb="FF231F20"/>
      <name val="Verdana"/>
      <family val="2"/>
    </font>
    <font>
      <sz val="11"/>
      <color rgb="FF231F20"/>
      <name val="Verdana"/>
      <family val="2"/>
    </font>
    <font>
      <b/>
      <sz val="18"/>
      <name val="Verdana"/>
      <family val="2"/>
    </font>
    <font>
      <b/>
      <sz val="14"/>
      <name val="Verdana"/>
      <family val="2"/>
    </font>
    <font>
      <b/>
      <u/>
      <sz val="12"/>
      <name val="Verdana"/>
      <family val="2"/>
    </font>
    <font>
      <sz val="10.5"/>
      <name val="Verdana"/>
      <family val="2"/>
    </font>
    <font>
      <b/>
      <sz val="12"/>
      <name val="Verdana"/>
      <family val="2"/>
    </font>
    <font>
      <u/>
      <sz val="10"/>
      <name val="Verdana"/>
      <family val="2"/>
    </font>
  </fonts>
  <fills count="14">
    <fill>
      <patternFill patternType="none"/>
    </fill>
    <fill>
      <patternFill patternType="gray125"/>
    </fill>
    <fill>
      <patternFill patternType="solid">
        <fgColor indexed="13"/>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FF"/>
        <bgColor indexed="64"/>
      </patternFill>
    </fill>
  </fills>
  <borders count="67">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
        <color indexed="64"/>
      </top>
      <bottom/>
      <diagonal/>
    </border>
    <border>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83">
    <xf numFmtId="0" fontId="0" fillId="0" borderId="0"/>
    <xf numFmtId="164" fontId="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4" fontId="6"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9" fontId="2" fillId="0" borderId="0" applyFont="0" applyFill="0" applyBorder="0" applyAlignment="0" applyProtection="0"/>
    <xf numFmtId="164" fontId="6"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 fillId="0" borderId="0"/>
    <xf numFmtId="0" fontId="2" fillId="0" borderId="0"/>
    <xf numFmtId="0" fontId="42" fillId="0" borderId="0"/>
    <xf numFmtId="0" fontId="42" fillId="0" borderId="0"/>
    <xf numFmtId="0" fontId="6" fillId="0" borderId="0"/>
    <xf numFmtId="0" fontId="2" fillId="0" borderId="0"/>
    <xf numFmtId="0" fontId="11" fillId="0" borderId="0"/>
    <xf numFmtId="0" fontId="6" fillId="0" borderId="0"/>
    <xf numFmtId="0" fontId="2" fillId="0" borderId="0"/>
    <xf numFmtId="0" fontId="2" fillId="0" borderId="0"/>
    <xf numFmtId="0" fontId="2" fillId="0" borderId="0" applyBorder="0" applyAlignment="0" applyProtection="0"/>
    <xf numFmtId="0" fontId="6" fillId="0" borderId="0"/>
    <xf numFmtId="0" fontId="2" fillId="0" borderId="0"/>
    <xf numFmtId="168" fontId="3" fillId="0" borderId="0"/>
    <xf numFmtId="0" fontId="2" fillId="0" borderId="0"/>
    <xf numFmtId="9" fontId="5" fillId="0" borderId="0" applyFont="0" applyFill="0" applyBorder="0" applyAlignment="0" applyProtection="0"/>
    <xf numFmtId="9" fontId="2" fillId="0" borderId="0" applyFont="0" applyFill="0" applyBorder="0" applyAlignment="0" applyProtection="0"/>
    <xf numFmtId="0" fontId="2" fillId="0" borderId="0" applyNumberFormat="0" applyFont="0" applyBorder="0" applyAlignment="0" applyProtection="0"/>
    <xf numFmtId="0" fontId="56" fillId="0" borderId="0"/>
    <xf numFmtId="43" fontId="42" fillId="0" borderId="0" applyFont="0" applyFill="0" applyBorder="0" applyAlignment="0" applyProtection="0"/>
    <xf numFmtId="0" fontId="57" fillId="0" borderId="0"/>
    <xf numFmtId="9" fontId="42" fillId="0" borderId="0" applyFont="0" applyFill="0" applyBorder="0" applyAlignment="0" applyProtection="0"/>
    <xf numFmtId="0" fontId="67" fillId="0" borderId="0">
      <alignment vertical="center"/>
    </xf>
    <xf numFmtId="0" fontId="71" fillId="0" borderId="0"/>
    <xf numFmtId="0" fontId="72" fillId="0" borderId="0" applyNumberFormat="0" applyFill="0" applyBorder="0" applyAlignment="0" applyProtection="0"/>
    <xf numFmtId="164" fontId="1" fillId="0" borderId="0" applyFont="0" applyFill="0" applyBorder="0" applyAlignment="0" applyProtection="0"/>
    <xf numFmtId="0" fontId="42" fillId="0" borderId="0"/>
    <xf numFmtId="164" fontId="71" fillId="0" borderId="0" applyFont="0" applyFill="0" applyBorder="0" applyAlignment="0" applyProtection="0"/>
    <xf numFmtId="164" fontId="2" fillId="0" borderId="0" applyFont="0" applyFill="0" applyBorder="0" applyAlignment="0" applyProtection="0"/>
    <xf numFmtId="9" fontId="71" fillId="0" borderId="0" applyFont="0" applyFill="0" applyBorder="0" applyAlignment="0" applyProtection="0"/>
    <xf numFmtId="0" fontId="42" fillId="0" borderId="0"/>
    <xf numFmtId="9" fontId="42" fillId="0" borderId="0" applyFont="0" applyFill="0" applyBorder="0" applyAlignment="0" applyProtection="0"/>
    <xf numFmtId="164" fontId="42" fillId="0" borderId="0" applyFont="0" applyFill="0" applyBorder="0" applyAlignment="0" applyProtection="0"/>
  </cellStyleXfs>
  <cellXfs count="1502">
    <xf numFmtId="0" fontId="0" fillId="0" borderId="0" xfId="0"/>
    <xf numFmtId="0" fontId="16" fillId="0" borderId="0" xfId="0" applyFont="1" applyAlignment="1">
      <alignment vertical="top"/>
    </xf>
    <xf numFmtId="0" fontId="15" fillId="0" borderId="0" xfId="0" applyFont="1" applyAlignment="1">
      <alignment vertical="top"/>
    </xf>
    <xf numFmtId="0" fontId="15" fillId="0" borderId="0" xfId="0" applyFont="1" applyAlignment="1">
      <alignment horizontal="left" vertical="top" indent="2"/>
    </xf>
    <xf numFmtId="0" fontId="15" fillId="0" borderId="0" xfId="0" applyFont="1" applyAlignment="1">
      <alignment horizontal="center" vertical="top"/>
    </xf>
    <xf numFmtId="164" fontId="15" fillId="0" borderId="0" xfId="1" applyFont="1" applyFill="1" applyBorder="1" applyAlignment="1" applyProtection="1">
      <alignment horizontal="center" vertical="top"/>
    </xf>
    <xf numFmtId="164" fontId="15" fillId="0" borderId="0" xfId="1" applyFont="1" applyFill="1" applyBorder="1" applyAlignment="1" applyProtection="1">
      <alignment vertical="top"/>
    </xf>
    <xf numFmtId="0" fontId="16" fillId="0" borderId="0" xfId="0" applyFont="1" applyAlignment="1">
      <alignment horizontal="left" vertical="top"/>
    </xf>
    <xf numFmtId="164" fontId="16" fillId="0" borderId="0" xfId="1" applyFont="1" applyFill="1" applyBorder="1" applyAlignment="1" applyProtection="1">
      <alignment vertical="top"/>
    </xf>
    <xf numFmtId="164" fontId="16" fillId="0" borderId="0" xfId="1" applyFont="1" applyBorder="1" applyAlignment="1">
      <alignment vertical="top"/>
    </xf>
    <xf numFmtId="164" fontId="15" fillId="0" borderId="0" xfId="1" applyFont="1" applyBorder="1" applyAlignment="1">
      <alignment vertical="top"/>
    </xf>
    <xf numFmtId="164" fontId="16" fillId="0" borderId="0" xfId="1" applyFont="1" applyBorder="1" applyAlignment="1">
      <alignment horizontal="left" vertical="top"/>
    </xf>
    <xf numFmtId="0" fontId="15" fillId="0" borderId="0" xfId="0" applyFont="1" applyAlignment="1">
      <alignment horizontal="left" vertical="top"/>
    </xf>
    <xf numFmtId="0" fontId="16" fillId="0" borderId="0" xfId="0" applyFont="1" applyAlignment="1">
      <alignment horizontal="center" vertical="top"/>
    </xf>
    <xf numFmtId="0" fontId="16" fillId="0" borderId="0" xfId="0" applyFont="1" applyAlignment="1">
      <alignment vertical="top" wrapText="1"/>
    </xf>
    <xf numFmtId="0" fontId="15" fillId="0" borderId="0" xfId="48" applyFont="1" applyFill="1" applyBorder="1" applyAlignment="1" applyProtection="1">
      <alignment horizontal="center" vertical="top"/>
    </xf>
    <xf numFmtId="166" fontId="15" fillId="0" borderId="0" xfId="47" applyNumberFormat="1" applyFont="1" applyFill="1" applyBorder="1" applyAlignment="1" applyProtection="1">
      <alignment vertical="top"/>
    </xf>
    <xf numFmtId="166" fontId="15" fillId="0" borderId="0" xfId="47" applyNumberFormat="1" applyFont="1" applyFill="1" applyBorder="1" applyAlignment="1" applyProtection="1">
      <alignment horizontal="center" vertical="top"/>
    </xf>
    <xf numFmtId="166" fontId="16" fillId="0" borderId="0" xfId="47" applyNumberFormat="1" applyFont="1" applyFill="1" applyBorder="1" applyAlignment="1" applyProtection="1">
      <alignment vertical="top" wrapText="1"/>
    </xf>
    <xf numFmtId="166" fontId="16" fillId="0" borderId="0" xfId="47" applyNumberFormat="1" applyFont="1" applyFill="1" applyBorder="1" applyAlignment="1" applyProtection="1">
      <alignment horizontal="center" vertical="top" wrapText="1"/>
    </xf>
    <xf numFmtId="164" fontId="16" fillId="0" borderId="0" xfId="1" applyFont="1" applyFill="1" applyBorder="1" applyAlignment="1" applyProtection="1">
      <alignment horizontal="center" vertical="top"/>
    </xf>
    <xf numFmtId="164" fontId="15" fillId="0" borderId="0" xfId="1" applyFont="1" applyFill="1" applyBorder="1" applyAlignment="1" applyProtection="1">
      <alignment horizontal="left" vertical="top"/>
    </xf>
    <xf numFmtId="164" fontId="15" fillId="0" borderId="0" xfId="1" applyFont="1" applyFill="1" applyBorder="1" applyAlignment="1">
      <alignment vertical="top"/>
    </xf>
    <xf numFmtId="0" fontId="16" fillId="0" borderId="0" xfId="0" applyFont="1" applyAlignment="1">
      <alignment horizontal="center" vertical="top" wrapText="1"/>
    </xf>
    <xf numFmtId="164" fontId="16" fillId="0" borderId="0" xfId="1" applyFont="1" applyFill="1" applyBorder="1" applyAlignment="1">
      <alignment horizontal="center" vertical="top" wrapText="1"/>
    </xf>
    <xf numFmtId="164" fontId="16" fillId="0" borderId="0" xfId="1" applyFont="1" applyFill="1" applyBorder="1" applyAlignment="1">
      <alignment horizontal="center" vertical="center"/>
    </xf>
    <xf numFmtId="0" fontId="15" fillId="0" borderId="0" xfId="0" quotePrefix="1" applyFont="1" applyAlignment="1">
      <alignment horizontal="left" vertical="top" indent="4"/>
    </xf>
    <xf numFmtId="0" fontId="13" fillId="0" borderId="0" xfId="0" applyFont="1"/>
    <xf numFmtId="164" fontId="12" fillId="0" borderId="0" xfId="1" applyFont="1" applyFill="1" applyBorder="1" applyAlignment="1" applyProtection="1">
      <alignment vertical="top"/>
    </xf>
    <xf numFmtId="164" fontId="13" fillId="0" borderId="0" xfId="0" applyNumberFormat="1" applyFont="1"/>
    <xf numFmtId="164" fontId="13" fillId="0" borderId="0" xfId="1" applyFont="1" applyFill="1" applyBorder="1" applyAlignment="1" applyProtection="1">
      <alignment vertical="top"/>
    </xf>
    <xf numFmtId="2" fontId="15" fillId="0" borderId="0" xfId="0" applyNumberFormat="1" applyFont="1"/>
    <xf numFmtId="0" fontId="14" fillId="0" borderId="0" xfId="61" applyFont="1"/>
    <xf numFmtId="0" fontId="13" fillId="0" borderId="0" xfId="61" applyFont="1"/>
    <xf numFmtId="0" fontId="14" fillId="0" borderId="0" xfId="61" applyFont="1" applyAlignment="1">
      <alignment horizontal="center"/>
    </xf>
    <xf numFmtId="0" fontId="13" fillId="0" borderId="1" xfId="61" applyFont="1" applyBorder="1" applyAlignment="1">
      <alignment horizontal="center"/>
    </xf>
    <xf numFmtId="0" fontId="13" fillId="0" borderId="2" xfId="61" applyFont="1" applyBorder="1" applyAlignment="1">
      <alignment horizontal="center"/>
    </xf>
    <xf numFmtId="0" fontId="12" fillId="0" borderId="2" xfId="61" applyFont="1" applyBorder="1"/>
    <xf numFmtId="0" fontId="12" fillId="0" borderId="1" xfId="61" applyFont="1" applyBorder="1" applyAlignment="1">
      <alignment horizontal="center"/>
    </xf>
    <xf numFmtId="0" fontId="13" fillId="0" borderId="2" xfId="61" applyFont="1" applyBorder="1"/>
    <xf numFmtId="0" fontId="12" fillId="0" borderId="5" xfId="61" applyFont="1" applyBorder="1" applyAlignment="1">
      <alignment horizontal="center"/>
    </xf>
    <xf numFmtId="0" fontId="13" fillId="0" borderId="5" xfId="61" applyFont="1" applyBorder="1"/>
    <xf numFmtId="0" fontId="13" fillId="0" borderId="1" xfId="61" applyFont="1" applyBorder="1"/>
    <xf numFmtId="14" fontId="13" fillId="0" borderId="5" xfId="61" applyNumberFormat="1" applyFont="1" applyBorder="1" applyAlignment="1">
      <alignment horizontal="center"/>
    </xf>
    <xf numFmtId="0" fontId="13" fillId="0" borderId="5" xfId="61" applyFont="1" applyBorder="1" applyAlignment="1">
      <alignment horizontal="center"/>
    </xf>
    <xf numFmtId="14" fontId="13" fillId="0" borderId="2" xfId="61" applyNumberFormat="1" applyFont="1" applyBorder="1" applyAlignment="1">
      <alignment horizontal="center"/>
    </xf>
    <xf numFmtId="0" fontId="13" fillId="0" borderId="7" xfId="61" applyFont="1" applyBorder="1"/>
    <xf numFmtId="14" fontId="13" fillId="0" borderId="7" xfId="61" applyNumberFormat="1" applyFont="1" applyBorder="1" applyAlignment="1">
      <alignment horizontal="center"/>
    </xf>
    <xf numFmtId="14" fontId="13" fillId="0" borderId="0" xfId="61" applyNumberFormat="1" applyFont="1" applyAlignment="1">
      <alignment horizontal="center"/>
    </xf>
    <xf numFmtId="0" fontId="13" fillId="0" borderId="0" xfId="61" applyFont="1" applyAlignment="1">
      <alignment horizontal="center"/>
    </xf>
    <xf numFmtId="0" fontId="13" fillId="0" borderId="9" xfId="61" applyFont="1" applyBorder="1"/>
    <xf numFmtId="0" fontId="13" fillId="0" borderId="10" xfId="61" applyFont="1" applyBorder="1"/>
    <xf numFmtId="164" fontId="13" fillId="0" borderId="10" xfId="45" applyFont="1" applyBorder="1"/>
    <xf numFmtId="164" fontId="13" fillId="0" borderId="11" xfId="45" applyFont="1" applyBorder="1"/>
    <xf numFmtId="164" fontId="13" fillId="0" borderId="5" xfId="45" applyFont="1" applyBorder="1"/>
    <xf numFmtId="9" fontId="13" fillId="0" borderId="1" xfId="61" applyNumberFormat="1" applyFont="1" applyBorder="1" applyAlignment="1">
      <alignment horizontal="center"/>
    </xf>
    <xf numFmtId="164" fontId="13" fillId="0" borderId="1" xfId="45" applyFont="1" applyBorder="1"/>
    <xf numFmtId="164" fontId="13" fillId="0" borderId="1" xfId="45" applyFont="1" applyBorder="1" applyAlignment="1">
      <alignment horizontal="center"/>
    </xf>
    <xf numFmtId="164" fontId="13" fillId="0" borderId="0" xfId="61" applyNumberFormat="1" applyFont="1"/>
    <xf numFmtId="164" fontId="13" fillId="0" borderId="2" xfId="45" applyFont="1" applyBorder="1" applyAlignment="1">
      <alignment horizontal="center"/>
    </xf>
    <xf numFmtId="164" fontId="13" fillId="0" borderId="5" xfId="45" applyFont="1" applyBorder="1" applyAlignment="1">
      <alignment horizontal="center"/>
    </xf>
    <xf numFmtId="164" fontId="13" fillId="0" borderId="0" xfId="45" applyFont="1"/>
    <xf numFmtId="0" fontId="12" fillId="0" borderId="1" xfId="61" applyFont="1" applyBorder="1"/>
    <xf numFmtId="164" fontId="12" fillId="0" borderId="12" xfId="45" applyFont="1" applyBorder="1"/>
    <xf numFmtId="164" fontId="12" fillId="0" borderId="12" xfId="45" applyFont="1" applyBorder="1" applyAlignment="1">
      <alignment horizontal="center"/>
    </xf>
    <xf numFmtId="164" fontId="12" fillId="0" borderId="12" xfId="61" applyNumberFormat="1" applyFont="1" applyBorder="1" applyAlignment="1">
      <alignment horizontal="center"/>
    </xf>
    <xf numFmtId="164" fontId="12" fillId="0" borderId="13" xfId="45" applyFont="1" applyBorder="1"/>
    <xf numFmtId="164" fontId="12" fillId="0" borderId="14" xfId="45" applyFont="1" applyBorder="1"/>
    <xf numFmtId="0" fontId="13" fillId="0" borderId="0" xfId="59" applyFont="1"/>
    <xf numFmtId="164" fontId="13" fillId="0" borderId="0" xfId="1" applyFont="1"/>
    <xf numFmtId="0" fontId="12" fillId="0" borderId="0" xfId="61" applyFont="1"/>
    <xf numFmtId="2" fontId="13" fillId="0" borderId="0" xfId="59" applyNumberFormat="1" applyFont="1"/>
    <xf numFmtId="2" fontId="13" fillId="0" borderId="0" xfId="44" applyNumberFormat="1" applyFont="1" applyBorder="1" applyAlignment="1">
      <alignment horizontal="center"/>
    </xf>
    <xf numFmtId="2" fontId="12" fillId="0" borderId="0" xfId="59" applyNumberFormat="1" applyFont="1"/>
    <xf numFmtId="0" fontId="13" fillId="0" borderId="0" xfId="57" applyFont="1"/>
    <xf numFmtId="0" fontId="13" fillId="0" borderId="0" xfId="57" applyFont="1" applyAlignment="1">
      <alignment horizontal="center"/>
    </xf>
    <xf numFmtId="0" fontId="12" fillId="0" borderId="0" xfId="57" applyFont="1" applyAlignment="1">
      <alignment horizontal="center"/>
    </xf>
    <xf numFmtId="169" fontId="13" fillId="0" borderId="0" xfId="44" applyFont="1" applyBorder="1"/>
    <xf numFmtId="164" fontId="12" fillId="0" borderId="0" xfId="1" applyFont="1"/>
    <xf numFmtId="164" fontId="24" fillId="0" borderId="0" xfId="1" applyFont="1"/>
    <xf numFmtId="2" fontId="0" fillId="0" borderId="0" xfId="0" applyNumberFormat="1"/>
    <xf numFmtId="164" fontId="12" fillId="0" borderId="0" xfId="1" applyFont="1" applyFill="1" applyBorder="1" applyAlignment="1">
      <alignment vertical="top"/>
    </xf>
    <xf numFmtId="164" fontId="13" fillId="0" borderId="0" xfId="1" applyFont="1" applyFill="1" applyBorder="1" applyAlignment="1">
      <alignment vertical="top"/>
    </xf>
    <xf numFmtId="164" fontId="12" fillId="0" borderId="0" xfId="1" applyFont="1" applyFill="1" applyBorder="1" applyAlignment="1">
      <alignment horizontal="center" vertical="top" wrapText="1"/>
    </xf>
    <xf numFmtId="164" fontId="12" fillId="0" borderId="0" xfId="1" applyFont="1" applyFill="1" applyBorder="1" applyAlignment="1">
      <alignment horizontal="center" vertical="center"/>
    </xf>
    <xf numFmtId="164" fontId="12" fillId="0" borderId="0" xfId="1" applyFont="1" applyFill="1" applyBorder="1" applyAlignment="1">
      <alignment vertical="top" wrapText="1"/>
    </xf>
    <xf numFmtId="164" fontId="15" fillId="0" borderId="0" xfId="1" applyFont="1" applyFill="1"/>
    <xf numFmtId="164" fontId="13" fillId="0" borderId="0" xfId="1" applyFont="1" applyFill="1"/>
    <xf numFmtId="164" fontId="13" fillId="0" borderId="0" xfId="1" applyFont="1" applyFill="1" applyBorder="1" applyAlignment="1" applyProtection="1">
      <alignment horizontal="left" vertical="top"/>
    </xf>
    <xf numFmtId="164" fontId="24" fillId="0" borderId="0" xfId="1" applyFont="1" applyFill="1"/>
    <xf numFmtId="0" fontId="13" fillId="0" borderId="0" xfId="0" applyFont="1" applyAlignment="1">
      <alignment vertical="top"/>
    </xf>
    <xf numFmtId="164" fontId="15" fillId="0" borderId="0" xfId="0" applyNumberFormat="1" applyFont="1" applyAlignment="1">
      <alignment vertical="top"/>
    </xf>
    <xf numFmtId="0" fontId="23" fillId="0" borderId="0" xfId="60" applyFont="1"/>
    <xf numFmtId="0" fontId="13" fillId="0" borderId="0" xfId="60" applyFont="1"/>
    <xf numFmtId="2" fontId="23" fillId="0" borderId="0" xfId="60" applyNumberFormat="1" applyFont="1"/>
    <xf numFmtId="0" fontId="18" fillId="0" borderId="0" xfId="61" applyFont="1"/>
    <xf numFmtId="0" fontId="12" fillId="0" borderId="0" xfId="60" applyFont="1"/>
    <xf numFmtId="166" fontId="29" fillId="0" borderId="0" xfId="46" applyNumberFormat="1" applyFont="1" applyFill="1" applyBorder="1" applyAlignment="1" applyProtection="1">
      <alignment vertical="top"/>
    </xf>
    <xf numFmtId="0" fontId="22" fillId="0" borderId="0" xfId="64" applyFont="1" applyAlignment="1">
      <alignment horizontal="left"/>
    </xf>
    <xf numFmtId="0" fontId="23" fillId="0" borderId="0" xfId="60" applyFont="1" applyBorder="1"/>
    <xf numFmtId="0" fontId="13" fillId="0" borderId="0" xfId="60" applyFont="1" applyBorder="1"/>
    <xf numFmtId="0" fontId="12" fillId="0" borderId="0" xfId="60" applyFont="1" applyBorder="1"/>
    <xf numFmtId="0" fontId="22" fillId="0" borderId="0" xfId="60" applyFont="1" applyBorder="1"/>
    <xf numFmtId="0" fontId="12" fillId="0" borderId="0" xfId="60" applyFont="1" applyAlignment="1">
      <alignment horizontal="right"/>
    </xf>
    <xf numFmtId="0" fontId="17" fillId="0" borderId="0" xfId="60" applyFont="1"/>
    <xf numFmtId="0" fontId="28" fillId="0" borderId="0" xfId="60" applyFont="1"/>
    <xf numFmtId="0" fontId="32" fillId="0" borderId="0" xfId="60" applyFont="1"/>
    <xf numFmtId="0" fontId="12" fillId="0" borderId="0" xfId="60" applyFont="1" applyAlignment="1">
      <alignment horizontal="center"/>
    </xf>
    <xf numFmtId="0" fontId="19" fillId="0" borderId="0" xfId="60" applyFont="1"/>
    <xf numFmtId="0" fontId="13" fillId="0" borderId="0" xfId="60" applyFont="1" applyAlignment="1">
      <alignment horizontal="center"/>
    </xf>
    <xf numFmtId="0" fontId="18" fillId="0" borderId="0" xfId="60" applyFont="1"/>
    <xf numFmtId="0" fontId="15" fillId="0" borderId="0" xfId="0" applyFont="1"/>
    <xf numFmtId="164" fontId="15" fillId="0" borderId="0" xfId="0" applyNumberFormat="1" applyFont="1"/>
    <xf numFmtId="165" fontId="15" fillId="0" borderId="0" xfId="0" applyNumberFormat="1" applyFont="1"/>
    <xf numFmtId="0" fontId="23" fillId="3" borderId="0" xfId="60" applyFont="1" applyFill="1"/>
    <xf numFmtId="0" fontId="13" fillId="3" borderId="0" xfId="60" applyFont="1" applyFill="1"/>
    <xf numFmtId="14" fontId="13" fillId="3" borderId="0" xfId="60" applyNumberFormat="1" applyFont="1" applyFill="1" applyAlignment="1">
      <alignment horizontal="right"/>
    </xf>
    <xf numFmtId="2" fontId="13" fillId="3" borderId="0" xfId="60" applyNumberFormat="1" applyFont="1" applyFill="1"/>
    <xf numFmtId="2" fontId="13" fillId="3" borderId="0" xfId="60" applyNumberFormat="1" applyFont="1" applyFill="1" applyAlignment="1"/>
    <xf numFmtId="2" fontId="13" fillId="3" borderId="0" xfId="37" applyNumberFormat="1" applyFont="1" applyFill="1" applyAlignment="1"/>
    <xf numFmtId="164" fontId="13" fillId="3" borderId="0" xfId="60" applyNumberFormat="1" applyFont="1" applyFill="1"/>
    <xf numFmtId="0" fontId="18" fillId="3" borderId="0" xfId="61" applyFont="1" applyFill="1"/>
    <xf numFmtId="0" fontId="12" fillId="3" borderId="0" xfId="61" applyFont="1" applyFill="1"/>
    <xf numFmtId="0" fontId="23" fillId="4" borderId="0" xfId="60" applyFont="1" applyFill="1"/>
    <xf numFmtId="0" fontId="12" fillId="4" borderId="0" xfId="60" applyFont="1" applyFill="1"/>
    <xf numFmtId="0" fontId="13" fillId="4" borderId="0" xfId="60" applyFont="1" applyFill="1"/>
    <xf numFmtId="0" fontId="18" fillId="4" borderId="0" xfId="58" applyFont="1" applyFill="1"/>
    <xf numFmtId="0" fontId="23" fillId="4" borderId="0" xfId="58" applyFont="1" applyFill="1"/>
    <xf numFmtId="0" fontId="12" fillId="4" borderId="0" xfId="60" applyFont="1" applyFill="1" applyAlignment="1">
      <alignment horizontal="left"/>
    </xf>
    <xf numFmtId="166" fontId="29" fillId="4" borderId="0" xfId="46" applyNumberFormat="1" applyFont="1" applyFill="1" applyBorder="1" applyAlignment="1" applyProtection="1">
      <alignment vertical="top"/>
    </xf>
    <xf numFmtId="0" fontId="22" fillId="4" borderId="0" xfId="58" applyFont="1" applyFill="1"/>
    <xf numFmtId="0" fontId="12" fillId="4" borderId="0" xfId="64" applyFont="1" applyFill="1" applyAlignment="1">
      <alignment horizontal="left"/>
    </xf>
    <xf numFmtId="0" fontId="13" fillId="3" borderId="0" xfId="0" applyFont="1" applyFill="1" applyAlignment="1">
      <alignment vertical="top"/>
    </xf>
    <xf numFmtId="0" fontId="13" fillId="3" borderId="0" xfId="0" applyFont="1" applyFill="1" applyAlignment="1">
      <alignment horizontal="left" vertical="top" indent="2"/>
    </xf>
    <xf numFmtId="10" fontId="15" fillId="0" borderId="0" xfId="65" applyNumberFormat="1" applyFont="1" applyBorder="1" applyAlignment="1">
      <alignment vertical="top"/>
    </xf>
    <xf numFmtId="0" fontId="0" fillId="3" borderId="31" xfId="0" applyFill="1" applyBorder="1"/>
    <xf numFmtId="0" fontId="9" fillId="3" borderId="32" xfId="0" applyFont="1" applyFill="1" applyBorder="1"/>
    <xf numFmtId="0" fontId="18" fillId="3" borderId="5" xfId="0" applyFont="1" applyFill="1" applyBorder="1"/>
    <xf numFmtId="0" fontId="0" fillId="3" borderId="0" xfId="0" applyFill="1"/>
    <xf numFmtId="164" fontId="9" fillId="3" borderId="5" xfId="1" applyFont="1" applyFill="1" applyBorder="1"/>
    <xf numFmtId="164" fontId="9" fillId="3" borderId="2" xfId="1" applyFont="1" applyFill="1" applyBorder="1"/>
    <xf numFmtId="164" fontId="24" fillId="3" borderId="5" xfId="1" applyFont="1" applyFill="1" applyBorder="1"/>
    <xf numFmtId="164" fontId="24" fillId="3" borderId="2" xfId="1" applyFont="1" applyFill="1" applyBorder="1"/>
    <xf numFmtId="0" fontId="0" fillId="3" borderId="5" xfId="0" applyFill="1" applyBorder="1"/>
    <xf numFmtId="0" fontId="19" fillId="3" borderId="0" xfId="0" applyFont="1" applyFill="1"/>
    <xf numFmtId="164" fontId="19" fillId="3" borderId="2" xfId="1" applyFont="1" applyFill="1" applyBorder="1" applyAlignment="1">
      <alignment horizontal="right"/>
    </xf>
    <xf numFmtId="0" fontId="25" fillId="3" borderId="5" xfId="0" applyFont="1" applyFill="1" applyBorder="1"/>
    <xf numFmtId="0" fontId="18" fillId="3" borderId="0" xfId="0" applyFont="1" applyFill="1"/>
    <xf numFmtId="164" fontId="9" fillId="3" borderId="5" xfId="1" applyFont="1" applyFill="1" applyBorder="1" applyAlignment="1">
      <alignment horizontal="right"/>
    </xf>
    <xf numFmtId="164" fontId="9" fillId="3" borderId="2" xfId="1" applyFont="1" applyFill="1" applyBorder="1" applyAlignment="1">
      <alignment horizontal="right"/>
    </xf>
    <xf numFmtId="164" fontId="19" fillId="3" borderId="5" xfId="1" applyFont="1" applyFill="1" applyBorder="1" applyAlignment="1">
      <alignment horizontal="right"/>
    </xf>
    <xf numFmtId="0" fontId="19" fillId="3" borderId="0" xfId="0" quotePrefix="1" applyFont="1" applyFill="1"/>
    <xf numFmtId="164" fontId="18" fillId="3" borderId="33" xfId="1" applyFont="1" applyFill="1" applyBorder="1" applyAlignment="1">
      <alignment horizontal="right"/>
    </xf>
    <xf numFmtId="164" fontId="25" fillId="3" borderId="33" xfId="1" applyFont="1" applyFill="1" applyBorder="1"/>
    <xf numFmtId="164" fontId="26" fillId="3" borderId="5" xfId="1" applyFont="1" applyFill="1" applyBorder="1" applyAlignment="1">
      <alignment horizontal="right"/>
    </xf>
    <xf numFmtId="164" fontId="24" fillId="3" borderId="0" xfId="1" applyFont="1" applyFill="1" applyBorder="1"/>
    <xf numFmtId="164" fontId="27" fillId="3" borderId="5" xfId="1" applyFont="1" applyFill="1" applyBorder="1" applyAlignment="1">
      <alignment horizontal="right"/>
    </xf>
    <xf numFmtId="164" fontId="20" fillId="3" borderId="5" xfId="1" applyFont="1" applyFill="1" applyBorder="1" applyAlignment="1">
      <alignment horizontal="right"/>
    </xf>
    <xf numFmtId="164" fontId="18" fillId="3" borderId="2" xfId="1" applyFont="1" applyFill="1" applyBorder="1" applyAlignment="1">
      <alignment horizontal="right"/>
    </xf>
    <xf numFmtId="164" fontId="21" fillId="3" borderId="5" xfId="1" applyFont="1" applyFill="1" applyBorder="1" applyAlignment="1">
      <alignment horizontal="right"/>
    </xf>
    <xf numFmtId="164" fontId="21" fillId="3" borderId="2" xfId="1" applyFont="1" applyFill="1" applyBorder="1" applyAlignment="1">
      <alignment horizontal="right"/>
    </xf>
    <xf numFmtId="164" fontId="20" fillId="3" borderId="2" xfId="1" applyFont="1" applyFill="1" applyBorder="1" applyAlignment="1">
      <alignment horizontal="right"/>
    </xf>
    <xf numFmtId="0" fontId="19" fillId="3" borderId="32" xfId="0" applyFont="1" applyFill="1" applyBorder="1"/>
    <xf numFmtId="164" fontId="19" fillId="3" borderId="31" xfId="1" applyFont="1" applyFill="1" applyBorder="1" applyAlignment="1">
      <alignment horizontal="right"/>
    </xf>
    <xf numFmtId="164" fontId="19" fillId="3" borderId="33" xfId="1" applyFont="1" applyFill="1" applyBorder="1" applyAlignment="1">
      <alignment horizontal="right"/>
    </xf>
    <xf numFmtId="0" fontId="23" fillId="3" borderId="0" xfId="0" applyFont="1" applyFill="1"/>
    <xf numFmtId="0" fontId="18" fillId="4" borderId="31" xfId="0" applyFont="1" applyFill="1" applyBorder="1"/>
    <xf numFmtId="0" fontId="18" fillId="4" borderId="32" xfId="0" applyFont="1" applyFill="1" applyBorder="1"/>
    <xf numFmtId="164" fontId="21" fillId="4" borderId="31" xfId="1" applyFont="1" applyFill="1" applyBorder="1" applyAlignment="1">
      <alignment horizontal="right"/>
    </xf>
    <xf numFmtId="164" fontId="21" fillId="4" borderId="33" xfId="1" applyFont="1" applyFill="1" applyBorder="1" applyAlignment="1">
      <alignment horizontal="right"/>
    </xf>
    <xf numFmtId="0" fontId="0" fillId="4" borderId="0" xfId="0" applyFill="1"/>
    <xf numFmtId="164" fontId="24" fillId="4" borderId="0" xfId="1" applyFont="1" applyFill="1"/>
    <xf numFmtId="0" fontId="12" fillId="5" borderId="0" xfId="0" applyFont="1" applyFill="1"/>
    <xf numFmtId="0" fontId="13" fillId="3" borderId="0" xfId="60" quotePrefix="1" applyFont="1" applyFill="1" applyAlignment="1">
      <alignment horizontal="right"/>
    </xf>
    <xf numFmtId="0" fontId="44" fillId="0" borderId="15" xfId="0" applyFont="1" applyBorder="1"/>
    <xf numFmtId="0" fontId="44" fillId="0" borderId="22" xfId="0" applyFont="1" applyBorder="1"/>
    <xf numFmtId="0" fontId="0" fillId="0" borderId="17" xfId="0" applyBorder="1"/>
    <xf numFmtId="0" fontId="0" fillId="0" borderId="19" xfId="0" applyBorder="1"/>
    <xf numFmtId="0" fontId="0" fillId="0" borderId="20" xfId="0" applyBorder="1"/>
    <xf numFmtId="0" fontId="0" fillId="0" borderId="16" xfId="0" applyBorder="1"/>
    <xf numFmtId="0" fontId="0" fillId="0" borderId="22" xfId="0" applyBorder="1"/>
    <xf numFmtId="0" fontId="0" fillId="0" borderId="21" xfId="0" applyBorder="1"/>
    <xf numFmtId="0" fontId="0" fillId="0" borderId="35" xfId="0" applyBorder="1"/>
    <xf numFmtId="0" fontId="0" fillId="0" borderId="30" xfId="0" applyBorder="1"/>
    <xf numFmtId="0" fontId="0" fillId="0" borderId="0" xfId="0" applyAlignment="1">
      <alignment horizontal="right"/>
    </xf>
    <xf numFmtId="0" fontId="44" fillId="0" borderId="0" xfId="0" applyFont="1" applyAlignment="1">
      <alignment horizontal="right"/>
    </xf>
    <xf numFmtId="0" fontId="44" fillId="0" borderId="0" xfId="0" applyFont="1"/>
    <xf numFmtId="0" fontId="45" fillId="0" borderId="0" xfId="0" applyFont="1"/>
    <xf numFmtId="0" fontId="44" fillId="0" borderId="17" xfId="0" applyFont="1" applyBorder="1"/>
    <xf numFmtId="0" fontId="0" fillId="0" borderId="18" xfId="0" applyBorder="1"/>
    <xf numFmtId="0" fontId="0" fillId="0" borderId="0" xfId="0" applyAlignment="1">
      <alignment horizontal="right" vertical="center"/>
    </xf>
    <xf numFmtId="0" fontId="44" fillId="6" borderId="24" xfId="0" applyFont="1" applyFill="1" applyBorder="1" applyAlignment="1">
      <alignment horizontal="center" vertical="center" wrapText="1"/>
    </xf>
    <xf numFmtId="0" fontId="44" fillId="6" borderId="24" xfId="0" applyFont="1" applyFill="1" applyBorder="1" applyAlignment="1">
      <alignment vertical="center" wrapText="1"/>
    </xf>
    <xf numFmtId="0" fontId="0" fillId="0" borderId="0" xfId="0" applyAlignment="1">
      <alignment vertical="center"/>
    </xf>
    <xf numFmtId="0" fontId="0" fillId="0" borderId="0" xfId="0" applyAlignment="1">
      <alignment horizontal="center" vertical="center"/>
    </xf>
    <xf numFmtId="0" fontId="46" fillId="6" borderId="24" xfId="0" applyFont="1" applyFill="1" applyBorder="1" applyAlignment="1">
      <alignment horizontal="center" vertical="center" wrapText="1"/>
    </xf>
    <xf numFmtId="0" fontId="47" fillId="0" borderId="0" xfId="0" applyFont="1" applyAlignment="1">
      <alignment horizontal="right"/>
    </xf>
    <xf numFmtId="0" fontId="47" fillId="0" borderId="0" xfId="0" applyFont="1"/>
    <xf numFmtId="0" fontId="48" fillId="0" borderId="0" xfId="0" applyFont="1"/>
    <xf numFmtId="16" fontId="49" fillId="7" borderId="53" xfId="0" applyNumberFormat="1" applyFont="1" applyFill="1" applyBorder="1" applyAlignment="1">
      <alignment vertical="center" wrapText="1"/>
    </xf>
    <xf numFmtId="0" fontId="49" fillId="7" borderId="54" xfId="0" applyFont="1" applyFill="1" applyBorder="1" applyAlignment="1">
      <alignment vertical="center" wrapText="1"/>
    </xf>
    <xf numFmtId="0" fontId="49" fillId="7" borderId="55" xfId="0" applyFont="1" applyFill="1" applyBorder="1" applyAlignment="1">
      <alignment vertical="center" wrapText="1"/>
    </xf>
    <xf numFmtId="0" fontId="49" fillId="7" borderId="53" xfId="0" applyFont="1" applyFill="1" applyBorder="1" applyAlignment="1">
      <alignment vertical="center" wrapText="1"/>
    </xf>
    <xf numFmtId="0" fontId="50" fillId="0" borderId="10" xfId="0" applyFont="1" applyBorder="1" applyAlignment="1">
      <alignment vertical="center" wrapText="1"/>
    </xf>
    <xf numFmtId="0" fontId="50" fillId="0" borderId="28" xfId="0" applyFont="1" applyBorder="1" applyAlignment="1">
      <alignment vertical="center" wrapText="1"/>
    </xf>
    <xf numFmtId="0" fontId="50" fillId="0" borderId="7" xfId="0" applyFont="1" applyBorder="1" applyAlignment="1">
      <alignment vertical="center" wrapText="1"/>
    </xf>
    <xf numFmtId="0" fontId="50" fillId="0" borderId="29" xfId="0" applyFont="1" applyBorder="1" applyAlignment="1">
      <alignment vertical="center" wrapText="1"/>
    </xf>
    <xf numFmtId="0" fontId="50" fillId="0" borderId="36" xfId="0" applyFont="1" applyBorder="1" applyAlignment="1">
      <alignment vertical="center" wrapText="1"/>
    </xf>
    <xf numFmtId="0" fontId="50" fillId="0" borderId="8" xfId="0" applyFont="1" applyBorder="1" applyAlignment="1">
      <alignment vertical="center" wrapText="1"/>
    </xf>
    <xf numFmtId="0" fontId="50" fillId="0" borderId="19" xfId="0" applyFont="1" applyBorder="1" applyAlignment="1">
      <alignment vertical="center" wrapText="1"/>
    </xf>
    <xf numFmtId="0" fontId="50" fillId="0" borderId="21" xfId="0" applyFont="1" applyBorder="1" applyAlignment="1">
      <alignment vertical="center" wrapText="1"/>
    </xf>
    <xf numFmtId="0" fontId="51" fillId="0" borderId="37" xfId="0" applyFont="1" applyBorder="1" applyAlignment="1">
      <alignment vertical="center" wrapText="1"/>
    </xf>
    <xf numFmtId="0" fontId="51" fillId="0" borderId="38" xfId="0" applyFont="1" applyBorder="1" applyAlignment="1">
      <alignment vertical="center" wrapText="1"/>
    </xf>
    <xf numFmtId="0" fontId="52" fillId="0" borderId="0" xfId="0" applyFont="1"/>
    <xf numFmtId="0" fontId="53" fillId="0" borderId="56" xfId="0" applyFont="1" applyBorder="1" applyAlignment="1">
      <alignment vertical="center" wrapText="1"/>
    </xf>
    <xf numFmtId="0" fontId="45" fillId="0" borderId="57" xfId="0" applyFont="1" applyBorder="1" applyAlignment="1">
      <alignment vertical="center" wrapText="1"/>
    </xf>
    <xf numFmtId="0" fontId="53" fillId="0" borderId="57" xfId="0" applyFont="1" applyBorder="1" applyAlignment="1">
      <alignment vertical="center" wrapText="1"/>
    </xf>
    <xf numFmtId="0" fontId="46" fillId="7" borderId="58" xfId="0" applyFont="1" applyFill="1" applyBorder="1" applyAlignment="1">
      <alignment horizontal="center" vertical="center" wrapText="1"/>
    </xf>
    <xf numFmtId="0" fontId="46" fillId="7" borderId="59" xfId="0" applyFont="1" applyFill="1" applyBorder="1" applyAlignment="1">
      <alignment horizontal="center" vertical="center" wrapText="1"/>
    </xf>
    <xf numFmtId="0" fontId="46" fillId="7" borderId="60" xfId="0" applyFont="1" applyFill="1" applyBorder="1" applyAlignment="1">
      <alignment horizontal="center" vertical="center" wrapText="1"/>
    </xf>
    <xf numFmtId="0" fontId="46" fillId="7" borderId="61" xfId="0" applyFont="1" applyFill="1" applyBorder="1" applyAlignment="1">
      <alignment horizontal="center" vertical="center" wrapText="1"/>
    </xf>
    <xf numFmtId="0" fontId="53" fillId="0" borderId="62" xfId="0" applyFont="1" applyBorder="1" applyAlignment="1">
      <alignment vertical="center" wrapText="1"/>
    </xf>
    <xf numFmtId="0" fontId="45" fillId="0" borderId="53" xfId="0" applyFont="1" applyBorder="1" applyAlignment="1">
      <alignment vertical="center" wrapText="1"/>
    </xf>
    <xf numFmtId="0" fontId="45" fillId="0" borderId="24" xfId="0" applyFont="1" applyBorder="1" applyAlignment="1">
      <alignment wrapText="1"/>
    </xf>
    <xf numFmtId="0" fontId="0" fillId="6" borderId="0" xfId="0" applyFill="1"/>
    <xf numFmtId="167" fontId="42" fillId="0" borderId="0" xfId="1" applyNumberFormat="1" applyFont="1"/>
    <xf numFmtId="167" fontId="42" fillId="6" borderId="0" xfId="1" applyNumberFormat="1" applyFont="1" applyFill="1"/>
    <xf numFmtId="0" fontId="44" fillId="6" borderId="19" xfId="0" applyFont="1" applyFill="1" applyBorder="1"/>
    <xf numFmtId="0" fontId="44" fillId="6" borderId="18" xfId="0" applyFont="1" applyFill="1" applyBorder="1"/>
    <xf numFmtId="0" fontId="44" fillId="0" borderId="39" xfId="0" applyFont="1" applyBorder="1" applyAlignment="1">
      <alignment horizontal="center" vertical="center"/>
    </xf>
    <xf numFmtId="0" fontId="44" fillId="0" borderId="40" xfId="0" applyFont="1" applyBorder="1" applyAlignment="1">
      <alignment horizontal="center" vertical="center"/>
    </xf>
    <xf numFmtId="0" fontId="44" fillId="0" borderId="41" xfId="0" applyFont="1" applyBorder="1" applyAlignment="1">
      <alignment horizontal="center" vertical="center"/>
    </xf>
    <xf numFmtId="0" fontId="44" fillId="6" borderId="34" xfId="0" applyFont="1" applyFill="1" applyBorder="1"/>
    <xf numFmtId="0" fontId="44" fillId="0" borderId="42" xfId="0" applyFont="1" applyBorder="1" applyAlignment="1">
      <alignment horizontal="center" vertical="center"/>
    </xf>
    <xf numFmtId="0" fontId="44" fillId="0" borderId="43" xfId="0" applyFont="1" applyBorder="1" applyAlignment="1">
      <alignment horizontal="center" vertical="center"/>
    </xf>
    <xf numFmtId="0" fontId="44" fillId="0" borderId="14" xfId="0" applyFont="1" applyBorder="1" applyAlignment="1">
      <alignment horizontal="center" vertical="center"/>
    </xf>
    <xf numFmtId="2" fontId="44" fillId="0" borderId="42" xfId="0" applyNumberFormat="1" applyFont="1" applyBorder="1" applyAlignment="1">
      <alignment horizontal="center" vertical="center"/>
    </xf>
    <xf numFmtId="2" fontId="44" fillId="0" borderId="43" xfId="0" applyNumberFormat="1" applyFont="1" applyBorder="1" applyAlignment="1">
      <alignment horizontal="center" vertical="center"/>
    </xf>
    <xf numFmtId="170" fontId="44" fillId="0" borderId="43" xfId="0" applyNumberFormat="1" applyFont="1" applyBorder="1" applyAlignment="1">
      <alignment horizontal="center" vertical="center"/>
    </xf>
    <xf numFmtId="2" fontId="44" fillId="0" borderId="14" xfId="0" applyNumberFormat="1" applyFont="1" applyBorder="1" applyAlignment="1">
      <alignment horizontal="center" vertical="center"/>
    </xf>
    <xf numFmtId="2" fontId="44" fillId="0" borderId="44" xfId="0" applyNumberFormat="1" applyFont="1" applyBorder="1" applyAlignment="1">
      <alignment horizontal="center" vertical="center"/>
    </xf>
    <xf numFmtId="2" fontId="44" fillId="0" borderId="45" xfId="0" applyNumberFormat="1" applyFont="1" applyBorder="1" applyAlignment="1">
      <alignment horizontal="center" vertical="center"/>
    </xf>
    <xf numFmtId="2" fontId="44" fillId="0" borderId="46" xfId="0" applyNumberFormat="1" applyFont="1" applyBorder="1" applyAlignment="1">
      <alignment horizontal="center" vertical="center"/>
    </xf>
    <xf numFmtId="2" fontId="44" fillId="0" borderId="39" xfId="0" applyNumberFormat="1" applyFont="1" applyBorder="1" applyAlignment="1">
      <alignment horizontal="center" vertical="center"/>
    </xf>
    <xf numFmtId="2" fontId="44" fillId="0" borderId="40" xfId="0" applyNumberFormat="1" applyFont="1" applyBorder="1" applyAlignment="1">
      <alignment horizontal="center" vertical="center"/>
    </xf>
    <xf numFmtId="2" fontId="44" fillId="0" borderId="41" xfId="0" applyNumberFormat="1" applyFont="1" applyBorder="1" applyAlignment="1">
      <alignment horizontal="center" vertical="center"/>
    </xf>
    <xf numFmtId="0" fontId="18" fillId="0" borderId="43" xfId="52" applyFont="1" applyBorder="1" applyAlignment="1">
      <alignment horizontal="center" vertical="center" wrapText="1"/>
    </xf>
    <xf numFmtId="0" fontId="18" fillId="0" borderId="40" xfId="52" applyFont="1" applyBorder="1" applyAlignment="1">
      <alignment horizontal="center" vertical="center" wrapText="1"/>
    </xf>
    <xf numFmtId="166" fontId="35" fillId="0" borderId="0" xfId="46" applyNumberFormat="1" applyFont="1" applyFill="1" applyBorder="1" applyAlignment="1" applyProtection="1">
      <alignment horizontal="left" vertical="top"/>
    </xf>
    <xf numFmtId="164" fontId="35" fillId="0" borderId="0" xfId="1" applyFont="1" applyFill="1" applyBorder="1" applyAlignment="1">
      <alignment vertical="top"/>
    </xf>
    <xf numFmtId="0" fontId="35" fillId="0" borderId="5" xfId="0" applyFont="1" applyBorder="1"/>
    <xf numFmtId="164" fontId="36" fillId="0" borderId="0" xfId="1" applyFont="1" applyFill="1" applyBorder="1"/>
    <xf numFmtId="164" fontId="36" fillId="0" borderId="2" xfId="1" applyFont="1" applyFill="1" applyBorder="1"/>
    <xf numFmtId="164" fontId="35" fillId="0" borderId="47" xfId="1" applyFont="1" applyFill="1" applyBorder="1" applyAlignment="1">
      <alignment horizontal="center" vertical="top" wrapText="1"/>
    </xf>
    <xf numFmtId="164" fontId="35" fillId="0" borderId="48" xfId="1" applyFont="1" applyFill="1" applyBorder="1" applyAlignment="1">
      <alignment horizontal="center" vertical="center"/>
    </xf>
    <xf numFmtId="0" fontId="35" fillId="0" borderId="26" xfId="0" applyFont="1" applyBorder="1"/>
    <xf numFmtId="164" fontId="36" fillId="0" borderId="48" xfId="1" applyFont="1" applyFill="1" applyBorder="1" applyAlignment="1"/>
    <xf numFmtId="0" fontId="36" fillId="0" borderId="3" xfId="0" applyFont="1" applyBorder="1"/>
    <xf numFmtId="164" fontId="36" fillId="0" borderId="49" xfId="1" applyFont="1" applyFill="1" applyBorder="1"/>
    <xf numFmtId="0" fontId="35" fillId="0" borderId="49" xfId="0" applyFont="1" applyBorder="1"/>
    <xf numFmtId="164" fontId="35" fillId="0" borderId="49" xfId="1" applyFont="1" applyFill="1" applyBorder="1" applyAlignment="1">
      <alignment horizontal="right"/>
    </xf>
    <xf numFmtId="0" fontId="36" fillId="0" borderId="5" xfId="0" applyFont="1" applyBorder="1"/>
    <xf numFmtId="164" fontId="36" fillId="0" borderId="0" xfId="1" applyFont="1" applyFill="1" applyBorder="1" applyAlignment="1">
      <alignment vertical="top"/>
    </xf>
    <xf numFmtId="164" fontId="35" fillId="0" borderId="47" xfId="1" applyFont="1" applyFill="1" applyBorder="1" applyAlignment="1">
      <alignment horizontal="center" vertical="center"/>
    </xf>
    <xf numFmtId="0" fontId="35" fillId="0" borderId="47" xfId="0" applyFont="1" applyBorder="1" applyAlignment="1">
      <alignment horizontal="right" vertical="top"/>
    </xf>
    <xf numFmtId="164" fontId="35" fillId="0" borderId="47" xfId="1" applyFont="1" applyFill="1" applyBorder="1" applyAlignment="1">
      <alignment vertical="top"/>
    </xf>
    <xf numFmtId="164" fontId="35" fillId="0" borderId="0" xfId="1" applyFont="1" applyFill="1" applyBorder="1" applyAlignment="1">
      <alignment horizontal="left" vertical="top"/>
    </xf>
    <xf numFmtId="0" fontId="35" fillId="0" borderId="5" xfId="0" applyFont="1" applyBorder="1" applyAlignment="1">
      <alignment vertical="top"/>
    </xf>
    <xf numFmtId="0" fontId="36" fillId="0" borderId="5" xfId="0" applyFont="1" applyBorder="1" applyAlignment="1">
      <alignment vertical="top"/>
    </xf>
    <xf numFmtId="0" fontId="35" fillId="0" borderId="3" xfId="0" applyFont="1" applyBorder="1" applyAlignment="1">
      <alignment horizontal="right" vertical="top"/>
    </xf>
    <xf numFmtId="0" fontId="37" fillId="0" borderId="26" xfId="63" applyNumberFormat="1" applyFont="1" applyBorder="1" applyAlignment="1">
      <alignment vertical="top"/>
    </xf>
    <xf numFmtId="164" fontId="36" fillId="0" borderId="48" xfId="1" applyFont="1" applyFill="1" applyBorder="1" applyAlignment="1" applyProtection="1">
      <alignment horizontal="right" vertical="top" wrapText="1"/>
    </xf>
    <xf numFmtId="164" fontId="36" fillId="0" borderId="48" xfId="1" applyFont="1" applyFill="1" applyBorder="1" applyAlignment="1" applyProtection="1">
      <alignment vertical="top"/>
      <protection locked="0"/>
    </xf>
    <xf numFmtId="0" fontId="36" fillId="0" borderId="5" xfId="63" applyNumberFormat="1" applyFont="1" applyBorder="1" applyAlignment="1">
      <alignment vertical="top"/>
    </xf>
    <xf numFmtId="164" fontId="36" fillId="0" borderId="1" xfId="1" applyFont="1" applyFill="1" applyBorder="1"/>
    <xf numFmtId="0" fontId="35" fillId="0" borderId="5" xfId="63" applyNumberFormat="1" applyFont="1" applyBorder="1" applyAlignment="1">
      <alignment vertical="top"/>
    </xf>
    <xf numFmtId="164" fontId="35" fillId="0" borderId="47" xfId="1" applyFont="1" applyFill="1" applyBorder="1" applyAlignment="1" applyProtection="1">
      <alignment horizontal="right" vertical="top" wrapText="1"/>
    </xf>
    <xf numFmtId="164" fontId="36" fillId="0" borderId="1" xfId="1" applyFont="1" applyFill="1" applyBorder="1" applyAlignment="1" applyProtection="1">
      <alignment horizontal="right" vertical="top" wrapText="1"/>
    </xf>
    <xf numFmtId="164" fontId="36" fillId="0" borderId="1" xfId="1" applyFont="1" applyFill="1" applyBorder="1" applyAlignment="1" applyProtection="1">
      <alignment vertical="top"/>
      <protection locked="0"/>
    </xf>
    <xf numFmtId="0" fontId="37" fillId="0" borderId="5" xfId="63" applyNumberFormat="1" applyFont="1" applyBorder="1" applyAlignment="1">
      <alignment horizontal="left" vertical="top"/>
    </xf>
    <xf numFmtId="164" fontId="36" fillId="0" borderId="1" xfId="1" applyFont="1" applyFill="1" applyBorder="1" applyAlignment="1">
      <alignment horizontal="right" vertical="top"/>
    </xf>
    <xf numFmtId="0" fontId="35" fillId="0" borderId="5" xfId="63" applyNumberFormat="1" applyFont="1" applyBorder="1" applyAlignment="1">
      <alignment horizontal="right" vertical="top"/>
    </xf>
    <xf numFmtId="164" fontId="35" fillId="0" borderId="47" xfId="1" applyFont="1" applyFill="1" applyBorder="1" applyAlignment="1">
      <alignment horizontal="right" vertical="top"/>
    </xf>
    <xf numFmtId="0" fontId="35" fillId="0" borderId="3" xfId="63" applyNumberFormat="1" applyFont="1" applyBorder="1" applyAlignment="1">
      <alignment horizontal="right" vertical="top"/>
    </xf>
    <xf numFmtId="164" fontId="35" fillId="0" borderId="49" xfId="1" applyFont="1" applyFill="1" applyBorder="1" applyAlignment="1" applyProtection="1">
      <alignment horizontal="right" vertical="top" wrapText="1"/>
    </xf>
    <xf numFmtId="164" fontId="35" fillId="0" borderId="49" xfId="1" applyFont="1" applyFill="1" applyBorder="1" applyAlignment="1">
      <alignment horizontal="right" vertical="top"/>
    </xf>
    <xf numFmtId="0" fontId="36" fillId="0" borderId="48" xfId="0" applyFont="1" applyBorder="1" applyAlignment="1">
      <alignment vertical="top"/>
    </xf>
    <xf numFmtId="164" fontId="36" fillId="0" borderId="48" xfId="1" applyFont="1" applyFill="1" applyBorder="1"/>
    <xf numFmtId="0" fontId="36" fillId="0" borderId="1" xfId="0" applyFont="1" applyBorder="1"/>
    <xf numFmtId="0" fontId="35" fillId="0" borderId="49" xfId="0" applyFont="1" applyBorder="1" applyAlignment="1">
      <alignment horizontal="right" vertical="top"/>
    </xf>
    <xf numFmtId="0" fontId="36" fillId="0" borderId="26" xfId="0" applyFont="1" applyBorder="1" applyAlignment="1">
      <alignment vertical="top"/>
    </xf>
    <xf numFmtId="164" fontId="36" fillId="0" borderId="48" xfId="1" applyFont="1" applyFill="1" applyBorder="1" applyAlignment="1">
      <alignment vertical="top"/>
    </xf>
    <xf numFmtId="164" fontId="36" fillId="0" borderId="1" xfId="1" applyFont="1" applyFill="1" applyBorder="1" applyAlignment="1">
      <alignment vertical="top"/>
    </xf>
    <xf numFmtId="164" fontId="36" fillId="0" borderId="0" xfId="1" applyFont="1" applyFill="1" applyBorder="1" applyAlignment="1" applyProtection="1">
      <alignment vertical="top"/>
    </xf>
    <xf numFmtId="164" fontId="35" fillId="0" borderId="1" xfId="1" applyFont="1" applyFill="1" applyBorder="1"/>
    <xf numFmtId="164" fontId="35" fillId="0" borderId="50" xfId="1" applyFont="1" applyFill="1" applyBorder="1" applyAlignment="1">
      <alignment horizontal="right" vertical="top"/>
    </xf>
    <xf numFmtId="0" fontId="36" fillId="0" borderId="48" xfId="0" applyFont="1" applyBorder="1" applyAlignment="1">
      <alignment horizontal="center" vertical="top"/>
    </xf>
    <xf numFmtId="0" fontId="35" fillId="0" borderId="0" xfId="0" applyFont="1" applyAlignment="1">
      <alignment vertical="top"/>
    </xf>
    <xf numFmtId="0" fontId="36" fillId="0" borderId="0" xfId="0" applyFont="1" applyAlignment="1">
      <alignment vertical="top"/>
    </xf>
    <xf numFmtId="0" fontId="36" fillId="0" borderId="1" xfId="0" applyFont="1" applyBorder="1" applyAlignment="1">
      <alignment horizontal="center" vertical="top"/>
    </xf>
    <xf numFmtId="0" fontId="36" fillId="0" borderId="0" xfId="0" applyFont="1" applyAlignment="1">
      <alignment horizontal="left" vertical="top" indent="2"/>
    </xf>
    <xf numFmtId="0" fontId="36" fillId="0" borderId="1" xfId="48" applyFont="1" applyFill="1" applyBorder="1" applyAlignment="1" applyProtection="1">
      <alignment horizontal="center" vertical="top"/>
    </xf>
    <xf numFmtId="0" fontId="36" fillId="0" borderId="5" xfId="0" applyFont="1" applyBorder="1" applyAlignment="1">
      <alignment horizontal="left" vertical="top"/>
    </xf>
    <xf numFmtId="0" fontId="35" fillId="0" borderId="0" xfId="0" applyFont="1" applyAlignment="1">
      <alignment horizontal="left" vertical="top" indent="2"/>
    </xf>
    <xf numFmtId="0" fontId="35" fillId="0" borderId="0" xfId="0" applyFont="1" applyAlignment="1">
      <alignment horizontal="right" vertical="top"/>
    </xf>
    <xf numFmtId="164" fontId="35" fillId="0" borderId="51" xfId="1" applyFont="1" applyFill="1" applyBorder="1" applyAlignment="1">
      <alignment vertical="top"/>
    </xf>
    <xf numFmtId="0" fontId="35" fillId="0" borderId="5" xfId="0" applyFont="1" applyBorder="1" applyAlignment="1">
      <alignment horizontal="center" vertical="top"/>
    </xf>
    <xf numFmtId="0" fontId="36" fillId="0" borderId="0" xfId="0" applyFont="1" applyAlignment="1">
      <alignment horizontal="center" vertical="top"/>
    </xf>
    <xf numFmtId="0" fontId="35" fillId="0" borderId="26" xfId="0" applyFont="1" applyBorder="1" applyAlignment="1">
      <alignment vertical="top"/>
    </xf>
    <xf numFmtId="164" fontId="36" fillId="0" borderId="0" xfId="0" applyNumberFormat="1" applyFont="1" applyAlignment="1">
      <alignment vertical="top"/>
    </xf>
    <xf numFmtId="0" fontId="36" fillId="0" borderId="2" xfId="0" applyFont="1" applyBorder="1" applyAlignment="1">
      <alignment vertical="top"/>
    </xf>
    <xf numFmtId="0" fontId="36" fillId="0" borderId="0" xfId="60" applyFont="1" applyBorder="1"/>
    <xf numFmtId="0" fontId="38" fillId="0" borderId="0" xfId="0" applyFont="1" applyAlignment="1">
      <alignment horizontal="left" vertical="top"/>
    </xf>
    <xf numFmtId="0" fontId="38" fillId="0" borderId="5" xfId="0" applyFont="1" applyBorder="1" applyAlignment="1">
      <alignment horizontal="center" vertical="top"/>
    </xf>
    <xf numFmtId="0" fontId="38" fillId="0" borderId="47" xfId="0" applyFont="1" applyBorder="1" applyAlignment="1">
      <alignment horizontal="center" vertical="top" wrapText="1"/>
    </xf>
    <xf numFmtId="0" fontId="39" fillId="0" borderId="1" xfId="0" applyFont="1" applyBorder="1" applyAlignment="1">
      <alignment horizontal="center" vertical="top"/>
    </xf>
    <xf numFmtId="164" fontId="39" fillId="0" borderId="1" xfId="1" applyFont="1" applyFill="1" applyBorder="1" applyAlignment="1">
      <alignment vertical="top"/>
    </xf>
    <xf numFmtId="0" fontId="39" fillId="0" borderId="1" xfId="48" applyFont="1" applyFill="1" applyBorder="1" applyAlignment="1" applyProtection="1">
      <alignment horizontal="center" vertical="top"/>
    </xf>
    <xf numFmtId="164" fontId="35" fillId="0" borderId="48" xfId="1" applyFont="1" applyFill="1" applyBorder="1" applyAlignment="1">
      <alignment vertical="top"/>
    </xf>
    <xf numFmtId="164" fontId="35" fillId="0" borderId="1" xfId="1" applyFont="1" applyFill="1" applyBorder="1" applyAlignment="1">
      <alignment vertical="top"/>
    </xf>
    <xf numFmtId="164" fontId="38" fillId="0" borderId="1" xfId="1" applyFont="1" applyFill="1" applyBorder="1" applyAlignment="1">
      <alignment vertical="top"/>
    </xf>
    <xf numFmtId="0" fontId="39" fillId="0" borderId="49" xfId="48" applyFont="1" applyFill="1" applyBorder="1" applyAlignment="1" applyProtection="1">
      <alignment horizontal="center" vertical="top"/>
    </xf>
    <xf numFmtId="164" fontId="35" fillId="0" borderId="49" xfId="1" applyFont="1" applyFill="1" applyBorder="1" applyAlignment="1">
      <alignment vertical="top"/>
    </xf>
    <xf numFmtId="0" fontId="39" fillId="0" borderId="0" xfId="0" applyFont="1" applyAlignment="1">
      <alignment vertical="top"/>
    </xf>
    <xf numFmtId="0" fontId="35" fillId="0" borderId="1" xfId="0" applyFont="1" applyBorder="1" applyAlignment="1">
      <alignment vertical="top"/>
    </xf>
    <xf numFmtId="0" fontId="36" fillId="0" borderId="1" xfId="0" applyFont="1" applyBorder="1" applyAlignment="1">
      <alignment vertical="top"/>
    </xf>
    <xf numFmtId="164" fontId="35" fillId="0" borderId="48" xfId="1" applyFont="1" applyFill="1" applyBorder="1"/>
    <xf numFmtId="164" fontId="36" fillId="0" borderId="49" xfId="1" applyFont="1" applyFill="1" applyBorder="1" applyAlignment="1">
      <alignment horizontal="center" vertical="center"/>
    </xf>
    <xf numFmtId="0" fontId="35" fillId="0" borderId="0" xfId="0" applyFont="1" applyAlignment="1">
      <alignment horizontal="left" vertical="top" wrapText="1"/>
    </xf>
    <xf numFmtId="164" fontId="35" fillId="0" borderId="0" xfId="0" applyNumberFormat="1" applyFont="1" applyAlignment="1">
      <alignment horizontal="left" vertical="top" wrapText="1"/>
    </xf>
    <xf numFmtId="164" fontId="36" fillId="0" borderId="51" xfId="35" applyNumberFormat="1" applyFont="1" applyFill="1" applyBorder="1" applyAlignment="1">
      <alignment vertical="top"/>
    </xf>
    <xf numFmtId="164" fontId="36" fillId="0" borderId="1" xfId="35" applyNumberFormat="1" applyFont="1" applyFill="1" applyBorder="1" applyAlignment="1">
      <alignment vertical="top"/>
    </xf>
    <xf numFmtId="164" fontId="36" fillId="0" borderId="2" xfId="35" applyNumberFormat="1" applyFont="1" applyFill="1" applyBorder="1" applyAlignment="1">
      <alignment vertical="top"/>
    </xf>
    <xf numFmtId="0" fontId="40" fillId="0" borderId="5" xfId="0" applyFont="1" applyBorder="1" applyAlignment="1">
      <alignment horizontal="left" vertical="top"/>
    </xf>
    <xf numFmtId="164" fontId="35" fillId="0" borderId="47" xfId="35" applyNumberFormat="1" applyFont="1" applyFill="1" applyBorder="1" applyAlignment="1">
      <alignment vertical="top"/>
    </xf>
    <xf numFmtId="0" fontId="38" fillId="0" borderId="48" xfId="0" applyFont="1" applyBorder="1"/>
    <xf numFmtId="164" fontId="38" fillId="0" borderId="48" xfId="0" applyNumberFormat="1" applyFont="1" applyBorder="1" applyAlignment="1">
      <alignment horizontal="center"/>
    </xf>
    <xf numFmtId="164" fontId="39" fillId="0" borderId="48" xfId="1" applyFont="1" applyFill="1" applyBorder="1"/>
    <xf numFmtId="0" fontId="39" fillId="0" borderId="1" xfId="0" applyFont="1" applyBorder="1"/>
    <xf numFmtId="0" fontId="39" fillId="0" borderId="0" xfId="0" applyFont="1"/>
    <xf numFmtId="164" fontId="39" fillId="0" borderId="1" xfId="1" applyFont="1" applyFill="1" applyBorder="1"/>
    <xf numFmtId="0" fontId="39" fillId="0" borderId="49" xfId="0" applyFont="1" applyBorder="1"/>
    <xf numFmtId="0" fontId="39" fillId="0" borderId="25" xfId="0" applyFont="1" applyBorder="1"/>
    <xf numFmtId="9" fontId="39" fillId="0" borderId="49" xfId="0" applyNumberFormat="1" applyFont="1" applyBorder="1"/>
    <xf numFmtId="0" fontId="39" fillId="0" borderId="25" xfId="0" applyFont="1" applyBorder="1" applyAlignment="1">
      <alignment horizontal="center"/>
    </xf>
    <xf numFmtId="164" fontId="39" fillId="0" borderId="49" xfId="1" applyFont="1" applyFill="1" applyBorder="1"/>
    <xf numFmtId="0" fontId="38" fillId="0" borderId="49" xfId="0" applyFont="1" applyBorder="1"/>
    <xf numFmtId="164" fontId="38" fillId="0" borderId="25" xfId="1" applyFont="1" applyFill="1" applyBorder="1"/>
    <xf numFmtId="9" fontId="38" fillId="0" borderId="49" xfId="1" applyNumberFormat="1" applyFont="1" applyFill="1" applyBorder="1"/>
    <xf numFmtId="0" fontId="38" fillId="0" borderId="25" xfId="0" applyFont="1" applyBorder="1"/>
    <xf numFmtId="164" fontId="38" fillId="0" borderId="49" xfId="1" applyFont="1" applyFill="1" applyBorder="1"/>
    <xf numFmtId="0" fontId="38" fillId="0" borderId="0" xfId="0" applyFont="1"/>
    <xf numFmtId="164" fontId="38" fillId="0" borderId="0" xfId="0" applyNumberFormat="1" applyFont="1"/>
    <xf numFmtId="164" fontId="38" fillId="0" borderId="0" xfId="1" applyFont="1" applyFill="1" applyBorder="1"/>
    <xf numFmtId="0" fontId="36" fillId="0" borderId="0" xfId="0" applyFont="1"/>
    <xf numFmtId="0" fontId="36" fillId="0" borderId="49" xfId="0" applyFont="1" applyBorder="1"/>
    <xf numFmtId="0" fontId="35" fillId="0" borderId="0" xfId="0" applyFont="1" applyAlignment="1">
      <alignment horizontal="left" vertical="top"/>
    </xf>
    <xf numFmtId="164" fontId="36" fillId="0" borderId="0" xfId="1" applyFont="1" applyFill="1" applyBorder="1" applyAlignment="1" applyProtection="1">
      <alignment horizontal="center" vertical="top"/>
    </xf>
    <xf numFmtId="164" fontId="36" fillId="0" borderId="0" xfId="0" applyNumberFormat="1" applyFont="1"/>
    <xf numFmtId="0" fontId="36" fillId="0" borderId="0" xfId="0" applyFont="1" applyAlignment="1">
      <alignment horizontal="left" vertical="top"/>
    </xf>
    <xf numFmtId="0" fontId="35" fillId="0" borderId="6" xfId="0" applyFont="1" applyBorder="1"/>
    <xf numFmtId="0" fontId="35" fillId="0" borderId="2" xfId="0" applyFont="1" applyBorder="1"/>
    <xf numFmtId="0" fontId="38" fillId="0" borderId="2" xfId="0" applyFont="1" applyBorder="1" applyAlignment="1">
      <alignment horizontal="left" vertical="top" wrapText="1"/>
    </xf>
    <xf numFmtId="0" fontId="38" fillId="0" borderId="47" xfId="0" applyFont="1" applyBorder="1" applyAlignment="1">
      <alignment horizontal="center" vertical="center"/>
    </xf>
    <xf numFmtId="0" fontId="38" fillId="0" borderId="2" xfId="0" applyFont="1" applyBorder="1" applyAlignment="1">
      <alignment horizontal="center" vertical="top" wrapText="1"/>
    </xf>
    <xf numFmtId="0" fontId="38" fillId="0" borderId="49" xfId="0" applyFont="1" applyBorder="1" applyAlignment="1">
      <alignment vertical="top"/>
    </xf>
    <xf numFmtId="164" fontId="38" fillId="0" borderId="2" xfId="39" applyNumberFormat="1" applyFont="1" applyFill="1" applyBorder="1" applyAlignment="1">
      <alignment horizontal="center" vertical="center"/>
    </xf>
    <xf numFmtId="0" fontId="38" fillId="0" borderId="48" xfId="0" applyFont="1" applyBorder="1" applyAlignment="1">
      <alignment vertical="top"/>
    </xf>
    <xf numFmtId="164" fontId="39" fillId="0" borderId="2" xfId="39" applyNumberFormat="1" applyFont="1" applyFill="1" applyBorder="1" applyAlignment="1">
      <alignment vertical="top"/>
    </xf>
    <xf numFmtId="0" fontId="39" fillId="0" borderId="1" xfId="0" applyFont="1" applyBorder="1" applyAlignment="1">
      <alignment vertical="top"/>
    </xf>
    <xf numFmtId="164" fontId="39" fillId="0" borderId="2" xfId="38" applyFont="1" applyFill="1" applyBorder="1"/>
    <xf numFmtId="0" fontId="39" fillId="0" borderId="1" xfId="0" applyFont="1" applyBorder="1" applyAlignment="1">
      <alignment horizontal="left" vertical="top" indent="2"/>
    </xf>
    <xf numFmtId="164" fontId="39" fillId="0" borderId="48" xfId="1" applyFont="1" applyFill="1" applyBorder="1" applyAlignment="1">
      <alignment vertical="top"/>
    </xf>
    <xf numFmtId="0" fontId="39" fillId="0" borderId="1" xfId="0" applyFont="1" applyBorder="1" applyAlignment="1">
      <alignment horizontal="left" vertical="top"/>
    </xf>
    <xf numFmtId="0" fontId="38" fillId="0" borderId="1" xfId="0" applyFont="1" applyBorder="1" applyAlignment="1">
      <alignment vertical="top" wrapText="1"/>
    </xf>
    <xf numFmtId="164" fontId="39" fillId="0" borderId="1" xfId="1" applyFont="1" applyFill="1" applyBorder="1" applyAlignment="1" applyProtection="1">
      <alignment vertical="top"/>
    </xf>
    <xf numFmtId="164" fontId="39" fillId="0" borderId="2" xfId="48" applyNumberFormat="1" applyFont="1" applyFill="1" applyBorder="1" applyAlignment="1" applyProtection="1">
      <alignment vertical="top"/>
    </xf>
    <xf numFmtId="0" fontId="39" fillId="0" borderId="1" xfId="0" applyFont="1" applyBorder="1" applyAlignment="1">
      <alignment vertical="top" wrapText="1"/>
    </xf>
    <xf numFmtId="0" fontId="38" fillId="0" borderId="1" xfId="0" applyFont="1" applyBorder="1" applyAlignment="1">
      <alignment horizontal="left" vertical="top" indent="2"/>
    </xf>
    <xf numFmtId="164" fontId="38" fillId="0" borderId="48" xfId="1" applyFont="1" applyFill="1" applyBorder="1" applyAlignment="1">
      <alignment vertical="top"/>
    </xf>
    <xf numFmtId="164" fontId="38" fillId="0" borderId="2" xfId="39" applyNumberFormat="1" applyFont="1" applyFill="1" applyBorder="1" applyAlignment="1">
      <alignment vertical="top"/>
    </xf>
    <xf numFmtId="0" fontId="38" fillId="0" borderId="49" xfId="0" applyFont="1" applyBorder="1" applyAlignment="1">
      <alignment horizontal="right" vertical="top"/>
    </xf>
    <xf numFmtId="164" fontId="38" fillId="0" borderId="47" xfId="1" applyFont="1" applyFill="1" applyBorder="1" applyAlignment="1">
      <alignment vertical="top"/>
    </xf>
    <xf numFmtId="0" fontId="39" fillId="0" borderId="5" xfId="0" applyFont="1" applyBorder="1"/>
    <xf numFmtId="164" fontId="39" fillId="0" borderId="0" xfId="1" applyFont="1" applyFill="1" applyBorder="1"/>
    <xf numFmtId="0" fontId="39" fillId="0" borderId="2" xfId="0" applyFont="1" applyBorder="1"/>
    <xf numFmtId="164" fontId="38" fillId="0" borderId="47" xfId="1" applyFont="1" applyFill="1" applyBorder="1" applyAlignment="1">
      <alignment vertical="top" wrapText="1"/>
    </xf>
    <xf numFmtId="0" fontId="38" fillId="0" borderId="47" xfId="0" applyFont="1" applyBorder="1" applyAlignment="1">
      <alignment horizontal="right" vertical="top"/>
    </xf>
    <xf numFmtId="0" fontId="41" fillId="0" borderId="1" xfId="0" applyFont="1" applyBorder="1" applyAlignment="1">
      <alignment horizontal="left" vertical="top" wrapText="1" indent="3"/>
    </xf>
    <xf numFmtId="164" fontId="39" fillId="0" borderId="0" xfId="1" applyFont="1" applyFill="1" applyBorder="1" applyAlignment="1">
      <alignment vertical="top" wrapText="1"/>
    </xf>
    <xf numFmtId="164" fontId="39" fillId="0" borderId="48" xfId="1" applyFont="1" applyFill="1" applyBorder="1" applyAlignment="1">
      <alignment vertical="top" wrapText="1"/>
    </xf>
    <xf numFmtId="0" fontId="39" fillId="0" borderId="1" xfId="0" applyFont="1" applyBorder="1" applyAlignment="1">
      <alignment horizontal="left" vertical="top" wrapText="1" indent="3"/>
    </xf>
    <xf numFmtId="164" fontId="39" fillId="0" borderId="1" xfId="1" applyFont="1" applyFill="1" applyBorder="1" applyAlignment="1">
      <alignment vertical="top" wrapText="1"/>
    </xf>
    <xf numFmtId="0" fontId="38" fillId="0" borderId="1" xfId="0" applyFont="1" applyBorder="1"/>
    <xf numFmtId="164" fontId="38" fillId="0" borderId="0" xfId="1" applyFont="1" applyFill="1" applyBorder="1" applyAlignment="1">
      <alignment vertical="top"/>
    </xf>
    <xf numFmtId="164" fontId="38" fillId="0" borderId="48" xfId="1" applyFont="1" applyFill="1" applyBorder="1" applyAlignment="1">
      <alignment vertical="top" wrapText="1"/>
    </xf>
    <xf numFmtId="164" fontId="39" fillId="0" borderId="2" xfId="0" applyNumberFormat="1" applyFont="1" applyBorder="1"/>
    <xf numFmtId="164" fontId="38" fillId="0" borderId="0" xfId="1" applyFont="1" applyFill="1" applyBorder="1" applyAlignment="1">
      <alignment horizontal="left" vertical="top"/>
    </xf>
    <xf numFmtId="0" fontId="38" fillId="0" borderId="49" xfId="0" applyFont="1" applyBorder="1" applyAlignment="1">
      <alignment horizontal="right" vertical="top" wrapText="1"/>
    </xf>
    <xf numFmtId="164" fontId="38" fillId="0" borderId="47" xfId="1" applyFont="1" applyFill="1" applyBorder="1" applyAlignment="1">
      <alignment horizontal="center" vertical="top"/>
    </xf>
    <xf numFmtId="0" fontId="39" fillId="0" borderId="1" xfId="63" quotePrefix="1" applyNumberFormat="1" applyFont="1" applyBorder="1" applyAlignment="1">
      <alignment vertical="top"/>
    </xf>
    <xf numFmtId="164" fontId="39" fillId="0" borderId="1" xfId="1" applyFont="1" applyFill="1" applyBorder="1" applyAlignment="1" applyProtection="1">
      <alignment horizontal="right" vertical="top" wrapText="1"/>
    </xf>
    <xf numFmtId="164" fontId="39" fillId="0" borderId="0" xfId="1" applyFont="1" applyFill="1" applyBorder="1" applyAlignment="1" applyProtection="1">
      <alignment vertical="top"/>
    </xf>
    <xf numFmtId="0" fontId="39" fillId="0" borderId="2" xfId="0" applyFont="1" applyBorder="1" applyAlignment="1">
      <alignment vertical="top"/>
    </xf>
    <xf numFmtId="164" fontId="35" fillId="0" borderId="0" xfId="1" applyFont="1" applyFill="1" applyBorder="1" applyAlignment="1">
      <alignment horizontal="left" vertical="top" wrapText="1"/>
    </xf>
    <xf numFmtId="0" fontId="38" fillId="0" borderId="5" xfId="50" applyFont="1" applyBorder="1"/>
    <xf numFmtId="0" fontId="38" fillId="0" borderId="3" xfId="50" applyFont="1" applyBorder="1" applyAlignment="1">
      <alignment horizontal="right" vertical="top"/>
    </xf>
    <xf numFmtId="164" fontId="35" fillId="0" borderId="47" xfId="1" applyFont="1" applyFill="1" applyBorder="1"/>
    <xf numFmtId="164" fontId="38" fillId="0" borderId="47" xfId="1" applyFont="1" applyFill="1" applyBorder="1"/>
    <xf numFmtId="164" fontId="36" fillId="0" borderId="0" xfId="1" applyFont="1" applyFill="1" applyBorder="1" applyAlignment="1">
      <alignment horizontal="left" vertical="top"/>
    </xf>
    <xf numFmtId="0" fontId="38" fillId="0" borderId="47" xfId="0" applyFont="1" applyBorder="1" applyAlignment="1">
      <alignment horizontal="center" vertical="top"/>
    </xf>
    <xf numFmtId="0" fontId="38" fillId="0" borderId="3" xfId="0" applyFont="1" applyBorder="1" applyAlignment="1">
      <alignment horizontal="center" vertical="top"/>
    </xf>
    <xf numFmtId="0" fontId="55" fillId="0" borderId="0" xfId="0" applyFont="1"/>
    <xf numFmtId="0" fontId="54" fillId="0" borderId="47" xfId="0" applyFont="1" applyBorder="1" applyAlignment="1">
      <alignment horizontal="right"/>
    </xf>
    <xf numFmtId="0" fontId="54" fillId="0" borderId="47" xfId="0" applyFont="1" applyBorder="1"/>
    <xf numFmtId="164" fontId="55" fillId="0" borderId="47" xfId="1" applyFont="1" applyFill="1" applyBorder="1"/>
    <xf numFmtId="0" fontId="38" fillId="0" borderId="47" xfId="0" applyFont="1" applyBorder="1"/>
    <xf numFmtId="0" fontId="54" fillId="0" borderId="47" xfId="0" applyFont="1" applyBorder="1" applyAlignment="1">
      <alignment wrapText="1"/>
    </xf>
    <xf numFmtId="0" fontId="38" fillId="0" borderId="0" xfId="0" applyFont="1" applyAlignment="1">
      <alignment horizontal="right" vertical="top"/>
    </xf>
    <xf numFmtId="0" fontId="38" fillId="0" borderId="0" xfId="0" applyFont="1" applyAlignment="1">
      <alignment horizontal="right" vertical="top" wrapText="1"/>
    </xf>
    <xf numFmtId="0" fontId="35" fillId="0" borderId="0" xfId="0" applyFont="1"/>
    <xf numFmtId="164" fontId="35" fillId="0" borderId="0" xfId="1" quotePrefix="1" applyFont="1" applyFill="1" applyBorder="1"/>
    <xf numFmtId="0" fontId="36" fillId="0" borderId="0" xfId="50" applyFont="1" applyAlignment="1">
      <alignment vertical="top"/>
    </xf>
    <xf numFmtId="164" fontId="35" fillId="0" borderId="0" xfId="1" applyFont="1" applyFill="1" applyBorder="1" applyAlignment="1">
      <alignment horizontal="center" vertical="center"/>
    </xf>
    <xf numFmtId="0" fontId="35" fillId="0" borderId="25" xfId="0" applyFont="1" applyBorder="1" applyAlignment="1">
      <alignment horizontal="center" vertical="top"/>
    </xf>
    <xf numFmtId="0" fontId="35" fillId="0" borderId="4" xfId="0" applyFont="1" applyBorder="1" applyAlignment="1">
      <alignment horizontal="center" vertical="top"/>
    </xf>
    <xf numFmtId="0" fontId="35" fillId="0" borderId="0" xfId="0" applyFont="1" applyAlignment="1">
      <alignment horizontal="center" vertical="top"/>
    </xf>
    <xf numFmtId="0" fontId="38" fillId="0" borderId="6" xfId="0" applyFont="1" applyBorder="1" applyAlignment="1">
      <alignment horizontal="center" vertical="top"/>
    </xf>
    <xf numFmtId="0" fontId="39" fillId="0" borderId="26" xfId="0" applyFont="1" applyBorder="1"/>
    <xf numFmtId="164" fontId="38" fillId="0" borderId="48" xfId="1" applyFont="1" applyFill="1" applyBorder="1" applyAlignment="1">
      <alignment horizontal="center" vertical="center"/>
    </xf>
    <xf numFmtId="164" fontId="38" fillId="0" borderId="1" xfId="1" applyFont="1" applyFill="1" applyBorder="1" applyAlignment="1">
      <alignment horizontal="center" vertical="center"/>
    </xf>
    <xf numFmtId="164" fontId="35" fillId="0" borderId="26" xfId="1" applyFont="1" applyFill="1" applyBorder="1" applyAlignment="1">
      <alignment horizontal="center" vertical="center"/>
    </xf>
    <xf numFmtId="164" fontId="35" fillId="0" borderId="5" xfId="1" applyFont="1" applyFill="1" applyBorder="1" applyAlignment="1">
      <alignment horizontal="center" vertical="center"/>
    </xf>
    <xf numFmtId="0" fontId="38" fillId="0" borderId="1" xfId="0" applyFont="1" applyBorder="1" applyAlignment="1">
      <alignment horizontal="left" vertical="top"/>
    </xf>
    <xf numFmtId="164" fontId="36" fillId="0" borderId="1" xfId="1" applyFont="1" applyFill="1" applyBorder="1" applyAlignment="1"/>
    <xf numFmtId="0" fontId="36" fillId="0" borderId="48" xfId="0" applyFont="1" applyBorder="1"/>
    <xf numFmtId="164" fontId="36" fillId="0" borderId="49" xfId="1" applyFont="1" applyFill="1" applyBorder="1" applyAlignment="1">
      <alignment vertical="top"/>
    </xf>
    <xf numFmtId="164" fontId="36" fillId="0" borderId="48" xfId="1" applyFont="1" applyFill="1" applyBorder="1" applyAlignment="1">
      <alignment horizontal="right" vertical="top" wrapText="1"/>
    </xf>
    <xf numFmtId="164" fontId="36" fillId="0" borderId="1" xfId="1" applyFont="1" applyFill="1" applyBorder="1" applyAlignment="1">
      <alignment horizontal="right" vertical="top" wrapText="1"/>
    </xf>
    <xf numFmtId="164" fontId="36" fillId="0" borderId="49" xfId="1" applyFont="1" applyFill="1" applyBorder="1" applyAlignment="1">
      <alignment horizontal="right" vertical="top" wrapText="1"/>
    </xf>
    <xf numFmtId="164" fontId="35" fillId="0" borderId="26" xfId="1" applyFont="1" applyFill="1" applyBorder="1"/>
    <xf numFmtId="164" fontId="36" fillId="0" borderId="5" xfId="1" applyFont="1" applyFill="1" applyBorder="1"/>
    <xf numFmtId="164" fontId="36" fillId="0" borderId="3" xfId="1" applyFont="1" applyFill="1" applyBorder="1" applyAlignment="1">
      <alignment horizontal="center" vertical="center"/>
    </xf>
    <xf numFmtId="0" fontId="56" fillId="0" borderId="0" xfId="68"/>
    <xf numFmtId="43" fontId="0" fillId="0" borderId="0" xfId="69" applyFont="1"/>
    <xf numFmtId="172" fontId="0" fillId="0" borderId="0" xfId="69" applyNumberFormat="1" applyFont="1"/>
    <xf numFmtId="0" fontId="36" fillId="0" borderId="0" xfId="68" applyFont="1"/>
    <xf numFmtId="172" fontId="36" fillId="0" borderId="0" xfId="69" applyNumberFormat="1" applyFont="1"/>
    <xf numFmtId="0" fontId="13" fillId="0" borderId="0" xfId="0" applyFont="1" applyAlignment="1">
      <alignment horizontal="left" vertical="top"/>
    </xf>
    <xf numFmtId="0" fontId="39" fillId="0" borderId="26" xfId="0" applyFont="1" applyBorder="1" applyAlignment="1">
      <alignment horizontal="left" vertical="top"/>
    </xf>
    <xf numFmtId="164" fontId="39" fillId="0" borderId="6" xfId="1" applyFont="1" applyFill="1" applyBorder="1" applyAlignment="1">
      <alignment horizontal="center" vertical="top"/>
    </xf>
    <xf numFmtId="164" fontId="39" fillId="0" borderId="49" xfId="1" applyFont="1" applyFill="1" applyBorder="1" applyAlignment="1">
      <alignment vertical="top" wrapText="1"/>
    </xf>
    <xf numFmtId="164" fontId="39" fillId="0" borderId="27" xfId="1" applyFont="1" applyFill="1" applyBorder="1"/>
    <xf numFmtId="164" fontId="39" fillId="0" borderId="27" xfId="1" applyFont="1" applyFill="1" applyBorder="1" applyAlignment="1">
      <alignment horizontal="right"/>
    </xf>
    <xf numFmtId="164" fontId="39" fillId="0" borderId="0" xfId="1" applyFont="1" applyFill="1" applyBorder="1" applyAlignment="1">
      <alignment horizontal="right"/>
    </xf>
    <xf numFmtId="0" fontId="38" fillId="0" borderId="27" xfId="0" applyFont="1" applyBorder="1" applyAlignment="1">
      <alignment horizontal="center" wrapText="1"/>
    </xf>
    <xf numFmtId="0" fontId="36" fillId="0" borderId="27" xfId="61" applyFont="1" applyBorder="1"/>
    <xf numFmtId="0" fontId="36" fillId="0" borderId="0" xfId="59" applyFont="1"/>
    <xf numFmtId="0" fontId="36" fillId="0" borderId="0" xfId="62" applyFont="1"/>
    <xf numFmtId="0" fontId="36" fillId="0" borderId="0" xfId="59" applyFont="1" applyAlignment="1">
      <alignment horizontal="center"/>
    </xf>
    <xf numFmtId="169" fontId="35" fillId="0" borderId="31" xfId="44" applyFont="1" applyFill="1" applyBorder="1"/>
    <xf numFmtId="0" fontId="35" fillId="0" borderId="32" xfId="59" applyFont="1" applyBorder="1"/>
    <xf numFmtId="0" fontId="36" fillId="0" borderId="0" xfId="61" applyFont="1"/>
    <xf numFmtId="164" fontId="36" fillId="0" borderId="0" xfId="57" applyNumberFormat="1" applyFont="1" applyAlignment="1">
      <alignment horizontal="center"/>
    </xf>
    <xf numFmtId="0" fontId="36" fillId="0" borderId="0" xfId="57" applyFont="1"/>
    <xf numFmtId="0" fontId="35" fillId="0" borderId="0" xfId="57" applyFont="1"/>
    <xf numFmtId="2" fontId="36" fillId="0" borderId="0" xfId="59" applyNumberFormat="1" applyFont="1"/>
    <xf numFmtId="2" fontId="36" fillId="0" borderId="0" xfId="44" applyNumberFormat="1" applyFont="1" applyFill="1" applyBorder="1" applyAlignment="1">
      <alignment horizontal="center"/>
    </xf>
    <xf numFmtId="2" fontId="35" fillId="0" borderId="0" xfId="59" applyNumberFormat="1" applyFont="1"/>
    <xf numFmtId="0" fontId="36" fillId="0" borderId="0" xfId="57" applyFont="1" applyAlignment="1">
      <alignment horizontal="center"/>
    </xf>
    <xf numFmtId="166" fontId="35" fillId="0" borderId="0" xfId="46" applyNumberFormat="1" applyFont="1" applyFill="1" applyBorder="1" applyAlignment="1" applyProtection="1">
      <alignment vertical="top"/>
    </xf>
    <xf numFmtId="0" fontId="35" fillId="0" borderId="0" xfId="57" applyFont="1" applyAlignment="1">
      <alignment horizontal="center"/>
    </xf>
    <xf numFmtId="164" fontId="35" fillId="0" borderId="0" xfId="1" applyFont="1" applyFill="1" applyBorder="1" applyAlignment="1" applyProtection="1">
      <alignment vertical="top"/>
    </xf>
    <xf numFmtId="164" fontId="35" fillId="0" borderId="0" xfId="1" applyFont="1" applyFill="1" applyBorder="1"/>
    <xf numFmtId="0" fontId="36" fillId="0" borderId="25" xfId="61" applyFont="1" applyBorder="1"/>
    <xf numFmtId="172" fontId="36" fillId="0" borderId="0" xfId="1" applyNumberFormat="1" applyFont="1"/>
    <xf numFmtId="43" fontId="13" fillId="0" borderId="0" xfId="0" applyNumberFormat="1" applyFont="1" applyAlignment="1">
      <alignment vertical="top"/>
    </xf>
    <xf numFmtId="0" fontId="35" fillId="0" borderId="0" xfId="64" applyFont="1" applyAlignment="1">
      <alignment horizontal="left"/>
    </xf>
    <xf numFmtId="0" fontId="35" fillId="0" borderId="47" xfId="0" applyFont="1" applyBorder="1" applyAlignment="1">
      <alignment horizontal="center" vertical="top" wrapText="1"/>
    </xf>
    <xf numFmtId="0" fontId="35" fillId="0" borderId="27" xfId="0" applyFont="1" applyBorder="1" applyAlignment="1">
      <alignment horizontal="left"/>
    </xf>
    <xf numFmtId="0" fontId="35" fillId="0" borderId="6" xfId="0" applyFont="1" applyBorder="1" applyAlignment="1">
      <alignment horizontal="left"/>
    </xf>
    <xf numFmtId="0" fontId="35" fillId="0" borderId="0" xfId="0" applyFont="1" applyAlignment="1">
      <alignment horizontal="left"/>
    </xf>
    <xf numFmtId="0" fontId="35" fillId="0" borderId="2" xfId="0" applyFont="1" applyBorder="1" applyAlignment="1">
      <alignment horizontal="left"/>
    </xf>
    <xf numFmtId="0" fontId="54" fillId="0" borderId="47" xfId="0" applyFont="1" applyBorder="1" applyAlignment="1">
      <alignment horizontal="center" vertical="center" wrapText="1"/>
    </xf>
    <xf numFmtId="0" fontId="38" fillId="0" borderId="48" xfId="0" applyFont="1" applyBorder="1" applyAlignment="1">
      <alignment horizontal="center" vertical="top"/>
    </xf>
    <xf numFmtId="0" fontId="38" fillId="0" borderId="0" xfId="0" applyFont="1" applyAlignment="1">
      <alignment horizontal="center" vertical="top"/>
    </xf>
    <xf numFmtId="0" fontId="39" fillId="0" borderId="0" xfId="0" applyFont="1" applyAlignment="1">
      <alignment horizontal="left" vertical="top"/>
    </xf>
    <xf numFmtId="43" fontId="15" fillId="0" borderId="0" xfId="0" applyNumberFormat="1" applyFont="1" applyAlignment="1">
      <alignment vertical="top"/>
    </xf>
    <xf numFmtId="9" fontId="15" fillId="0" borderId="0" xfId="0" applyNumberFormat="1" applyFont="1" applyAlignment="1">
      <alignment vertical="top"/>
    </xf>
    <xf numFmtId="0" fontId="57" fillId="0" borderId="0" xfId="70" applyAlignment="1">
      <alignment wrapText="1"/>
    </xf>
    <xf numFmtId="0" fontId="57" fillId="0" borderId="0" xfId="70"/>
    <xf numFmtId="0" fontId="59" fillId="8" borderId="0" xfId="51" applyFont="1" applyFill="1" applyAlignment="1">
      <alignment vertical="center"/>
    </xf>
    <xf numFmtId="0" fontId="1" fillId="0" borderId="0" xfId="70" applyFont="1"/>
    <xf numFmtId="49" fontId="60" fillId="0" borderId="0" xfId="70" applyNumberFormat="1" applyFont="1" applyAlignment="1">
      <alignment horizontal="left" vertical="top" indent="4"/>
    </xf>
    <xf numFmtId="9" fontId="0" fillId="0" borderId="0" xfId="66" applyFont="1" applyBorder="1"/>
    <xf numFmtId="43" fontId="57" fillId="0" borderId="0" xfId="70" applyNumberFormat="1"/>
    <xf numFmtId="49" fontId="60" fillId="0" borderId="0" xfId="70" applyNumberFormat="1" applyFont="1" applyAlignment="1">
      <alignment horizontal="center" vertical="top"/>
    </xf>
    <xf numFmtId="49" fontId="62" fillId="0" borderId="0" xfId="70" applyNumberFormat="1" applyFont="1" applyAlignment="1">
      <alignment horizontal="center" vertical="top"/>
    </xf>
    <xf numFmtId="49" fontId="62" fillId="0" borderId="0" xfId="70" applyNumberFormat="1" applyFont="1" applyAlignment="1">
      <alignment vertical="top"/>
    </xf>
    <xf numFmtId="173" fontId="62" fillId="0" borderId="0" xfId="70" applyNumberFormat="1" applyFont="1" applyAlignment="1">
      <alignment horizontal="right" vertical="top"/>
    </xf>
    <xf numFmtId="174" fontId="61" fillId="0" borderId="0" xfId="70" applyNumberFormat="1" applyFont="1" applyAlignment="1">
      <alignment horizontal="right" vertical="top"/>
    </xf>
    <xf numFmtId="175" fontId="62" fillId="0" borderId="0" xfId="70" applyNumberFormat="1" applyFont="1" applyAlignment="1">
      <alignment horizontal="right" vertical="top"/>
    </xf>
    <xf numFmtId="173" fontId="61" fillId="0" borderId="0" xfId="70" applyNumberFormat="1" applyFont="1" applyAlignment="1">
      <alignment horizontal="right" vertical="top"/>
    </xf>
    <xf numFmtId="174" fontId="62" fillId="0" borderId="0" xfId="70" applyNumberFormat="1" applyFont="1" applyAlignment="1">
      <alignment horizontal="right" vertical="top"/>
    </xf>
    <xf numFmtId="175" fontId="61" fillId="0" borderId="0" xfId="70" applyNumberFormat="1" applyFont="1" applyAlignment="1">
      <alignment horizontal="right" vertical="top"/>
    </xf>
    <xf numFmtId="0" fontId="57" fillId="0" borderId="47" xfId="70" applyBorder="1"/>
    <xf numFmtId="0" fontId="57" fillId="0" borderId="47" xfId="70" applyBorder="1" applyAlignment="1">
      <alignment wrapText="1"/>
    </xf>
    <xf numFmtId="0" fontId="57" fillId="0" borderId="47" xfId="70" applyBorder="1" applyAlignment="1">
      <alignment horizontal="center" wrapText="1"/>
    </xf>
    <xf numFmtId="0" fontId="57" fillId="0" borderId="47" xfId="70" applyBorder="1" applyAlignment="1">
      <alignment horizontal="center"/>
    </xf>
    <xf numFmtId="0" fontId="57" fillId="0" borderId="0" xfId="70" applyAlignment="1">
      <alignment horizontal="right" wrapText="1"/>
    </xf>
    <xf numFmtId="173" fontId="60" fillId="0" borderId="0" xfId="70" applyNumberFormat="1" applyFont="1" applyAlignment="1">
      <alignment horizontal="right" vertical="top"/>
    </xf>
    <xf numFmtId="174" fontId="63" fillId="0" borderId="0" xfId="70" applyNumberFormat="1" applyFont="1" applyAlignment="1">
      <alignment horizontal="right" vertical="top"/>
    </xf>
    <xf numFmtId="173" fontId="63" fillId="0" borderId="0" xfId="70" applyNumberFormat="1" applyFont="1" applyAlignment="1">
      <alignment horizontal="right" vertical="top"/>
    </xf>
    <xf numFmtId="0" fontId="35" fillId="0" borderId="0" xfId="70" applyFont="1"/>
    <xf numFmtId="0" fontId="36" fillId="0" borderId="0" xfId="70" applyFont="1" applyAlignment="1">
      <alignment wrapText="1"/>
    </xf>
    <xf numFmtId="0" fontId="36" fillId="0" borderId="0" xfId="70" applyFont="1"/>
    <xf numFmtId="0" fontId="39" fillId="8" borderId="0" xfId="51" applyFont="1" applyFill="1" applyAlignment="1">
      <alignment vertical="center"/>
    </xf>
    <xf numFmtId="0" fontId="39" fillId="8" borderId="0" xfId="51" applyFont="1" applyFill="1" applyAlignment="1">
      <alignment vertical="center" wrapText="1"/>
    </xf>
    <xf numFmtId="0" fontId="38" fillId="8" borderId="47" xfId="51" applyFont="1" applyFill="1" applyBorder="1" applyAlignment="1">
      <alignment horizontal="center" vertical="center"/>
    </xf>
    <xf numFmtId="0" fontId="38" fillId="8" borderId="47" xfId="51" applyFont="1" applyFill="1" applyBorder="1" applyAlignment="1">
      <alignment horizontal="center" vertical="center" wrapText="1"/>
    </xf>
    <xf numFmtId="0" fontId="39" fillId="8" borderId="47" xfId="51" applyFont="1" applyFill="1" applyBorder="1" applyAlignment="1">
      <alignment vertical="center"/>
    </xf>
    <xf numFmtId="0" fontId="39" fillId="8" borderId="47" xfId="51" applyFont="1" applyFill="1" applyBorder="1" applyAlignment="1">
      <alignment vertical="center" wrapText="1"/>
    </xf>
    <xf numFmtId="2" fontId="39" fillId="8" borderId="47" xfId="51" applyNumberFormat="1" applyFont="1" applyFill="1" applyBorder="1" applyAlignment="1">
      <alignment horizontal="center" vertical="center" wrapText="1"/>
    </xf>
    <xf numFmtId="9" fontId="39" fillId="8" borderId="47" xfId="66" applyFont="1" applyFill="1" applyBorder="1" applyAlignment="1">
      <alignment horizontal="center" vertical="center"/>
    </xf>
    <xf numFmtId="164" fontId="13" fillId="0" borderId="0" xfId="1" applyFont="1" applyFill="1" applyBorder="1"/>
    <xf numFmtId="164" fontId="36" fillId="0" borderId="0" xfId="1" applyFont="1" applyFill="1"/>
    <xf numFmtId="0" fontId="37" fillId="0" borderId="0" xfId="61" applyFont="1"/>
    <xf numFmtId="0" fontId="36" fillId="0" borderId="27" xfId="61" applyFont="1" applyBorder="1" applyAlignment="1">
      <alignment horizontal="center"/>
    </xf>
    <xf numFmtId="164" fontId="35" fillId="0" borderId="27" xfId="1" applyFont="1" applyFill="1" applyBorder="1" applyAlignment="1">
      <alignment horizontal="center"/>
    </xf>
    <xf numFmtId="0" fontId="35" fillId="0" borderId="27" xfId="61" applyFont="1" applyBorder="1" applyAlignment="1">
      <alignment horizontal="center"/>
    </xf>
    <xf numFmtId="0" fontId="36" fillId="0" borderId="0" xfId="61" applyFont="1" applyAlignment="1">
      <alignment horizontal="center"/>
    </xf>
    <xf numFmtId="164" fontId="36" fillId="0" borderId="0" xfId="1" applyFont="1" applyFill="1" applyBorder="1" applyAlignment="1">
      <alignment horizontal="center"/>
    </xf>
    <xf numFmtId="14" fontId="36" fillId="0" borderId="0" xfId="61" applyNumberFormat="1" applyFont="1" applyAlignment="1">
      <alignment horizontal="center"/>
    </xf>
    <xf numFmtId="0" fontId="36" fillId="0" borderId="23" xfId="61" applyFont="1" applyBorder="1"/>
    <xf numFmtId="0" fontId="36" fillId="0" borderId="23" xfId="61" applyFont="1" applyBorder="1" applyAlignment="1">
      <alignment horizontal="center"/>
    </xf>
    <xf numFmtId="14" fontId="36" fillId="0" borderId="23" xfId="45" applyNumberFormat="1" applyFont="1" applyFill="1" applyBorder="1" applyAlignment="1">
      <alignment horizontal="center"/>
    </xf>
    <xf numFmtId="14" fontId="36" fillId="0" borderId="23" xfId="61" applyNumberFormat="1" applyFont="1" applyBorder="1" applyAlignment="1">
      <alignment horizontal="center"/>
    </xf>
    <xf numFmtId="164" fontId="36" fillId="0" borderId="23" xfId="1" applyFont="1" applyFill="1" applyBorder="1" applyAlignment="1">
      <alignment horizontal="center"/>
    </xf>
    <xf numFmtId="164" fontId="36" fillId="0" borderId="0" xfId="45" applyFont="1" applyFill="1" applyBorder="1"/>
    <xf numFmtId="9" fontId="36" fillId="0" borderId="0" xfId="61" applyNumberFormat="1" applyFont="1" applyAlignment="1">
      <alignment horizontal="center"/>
    </xf>
    <xf numFmtId="164" fontId="36" fillId="0" borderId="0" xfId="45" applyFont="1" applyFill="1" applyBorder="1" applyAlignment="1">
      <alignment horizontal="center"/>
    </xf>
    <xf numFmtId="0" fontId="36" fillId="0" borderId="32" xfId="61" applyFont="1" applyBorder="1" applyAlignment="1">
      <alignment horizontal="center"/>
    </xf>
    <xf numFmtId="0" fontId="35" fillId="0" borderId="32" xfId="61" applyFont="1" applyBorder="1"/>
    <xf numFmtId="0" fontId="36" fillId="0" borderId="32" xfId="61" applyFont="1" applyBorder="1"/>
    <xf numFmtId="164" fontId="35" fillId="0" borderId="32" xfId="45" applyFont="1" applyFill="1" applyBorder="1"/>
    <xf numFmtId="164" fontId="35" fillId="0" borderId="32" xfId="1" applyFont="1" applyFill="1" applyBorder="1"/>
    <xf numFmtId="0" fontId="35" fillId="0" borderId="0" xfId="61" applyFont="1"/>
    <xf numFmtId="164" fontId="35" fillId="0" borderId="0" xfId="1" applyFont="1" applyFill="1"/>
    <xf numFmtId="164" fontId="35" fillId="0" borderId="0" xfId="1" applyFont="1" applyFill="1" applyBorder="1" applyAlignment="1" applyProtection="1">
      <alignment horizontal="center" vertical="top"/>
    </xf>
    <xf numFmtId="164" fontId="35" fillId="0" borderId="0" xfId="45" applyFont="1" applyFill="1" applyBorder="1"/>
    <xf numFmtId="0" fontId="37" fillId="0" borderId="26" xfId="61" applyFont="1" applyBorder="1"/>
    <xf numFmtId="164" fontId="35" fillId="0" borderId="27" xfId="45" applyFont="1" applyFill="1" applyBorder="1"/>
    <xf numFmtId="164" fontId="35" fillId="0" borderId="27" xfId="1" applyFont="1" applyFill="1" applyBorder="1"/>
    <xf numFmtId="164" fontId="35" fillId="0" borderId="6" xfId="45" applyFont="1" applyFill="1" applyBorder="1"/>
    <xf numFmtId="0" fontId="36" fillId="0" borderId="5" xfId="61" applyFont="1" applyBorder="1"/>
    <xf numFmtId="0" fontId="36" fillId="0" borderId="2" xfId="61" applyFont="1" applyBorder="1"/>
    <xf numFmtId="0" fontId="37" fillId="0" borderId="5" xfId="61" applyFont="1" applyBorder="1"/>
    <xf numFmtId="164" fontId="36" fillId="0" borderId="0" xfId="61" applyNumberFormat="1" applyFont="1"/>
    <xf numFmtId="164" fontId="36" fillId="0" borderId="25" xfId="61" applyNumberFormat="1" applyFont="1" applyBorder="1"/>
    <xf numFmtId="0" fontId="37" fillId="0" borderId="0" xfId="59" applyFont="1"/>
    <xf numFmtId="169" fontId="35" fillId="0" borderId="5" xfId="44" applyFont="1" applyFill="1" applyBorder="1"/>
    <xf numFmtId="0" fontId="35" fillId="0" borderId="0" xfId="59" applyFont="1"/>
    <xf numFmtId="169" fontId="36" fillId="0" borderId="5" xfId="44" applyFont="1" applyFill="1" applyBorder="1"/>
    <xf numFmtId="0" fontId="36" fillId="0" borderId="3" xfId="61" applyFont="1" applyBorder="1"/>
    <xf numFmtId="164" fontId="36" fillId="0" borderId="25" xfId="1" applyFont="1" applyFill="1" applyBorder="1"/>
    <xf numFmtId="0" fontId="36" fillId="0" borderId="4" xfId="61" applyFont="1" applyBorder="1"/>
    <xf numFmtId="164" fontId="38" fillId="0" borderId="47" xfId="1" applyFont="1" applyFill="1" applyBorder="1" applyAlignment="1">
      <alignment horizontal="left" vertical="top" wrapText="1"/>
    </xf>
    <xf numFmtId="164" fontId="38" fillId="0" borderId="47" xfId="1" applyFont="1" applyFill="1" applyBorder="1" applyAlignment="1">
      <alignment horizontal="left" vertical="center"/>
    </xf>
    <xf numFmtId="164" fontId="35" fillId="0" borderId="47" xfId="1" applyFont="1" applyFill="1" applyBorder="1" applyAlignment="1">
      <alignment horizontal="left" vertical="top" wrapText="1"/>
    </xf>
    <xf numFmtId="43" fontId="0" fillId="0" borderId="0" xfId="0" applyNumberFormat="1"/>
    <xf numFmtId="164" fontId="54" fillId="0" borderId="47" xfId="1" applyFont="1" applyFill="1" applyBorder="1"/>
    <xf numFmtId="164" fontId="38" fillId="0" borderId="47" xfId="0" applyNumberFormat="1" applyFont="1" applyBorder="1"/>
    <xf numFmtId="0" fontId="36" fillId="0" borderId="47" xfId="0" applyFont="1" applyBorder="1"/>
    <xf numFmtId="0" fontId="35" fillId="0" borderId="26" xfId="0" applyFont="1" applyBorder="1" applyAlignment="1">
      <alignment horizontal="center" vertical="top"/>
    </xf>
    <xf numFmtId="0" fontId="35" fillId="0" borderId="3" xfId="0" applyFont="1" applyBorder="1" applyAlignment="1">
      <alignment horizontal="center" vertical="top"/>
    </xf>
    <xf numFmtId="164" fontId="35" fillId="0" borderId="47" xfId="35" applyNumberFormat="1" applyFont="1" applyFill="1" applyBorder="1" applyAlignment="1">
      <alignment horizontal="right" vertical="top" wrapText="1"/>
    </xf>
    <xf numFmtId="164" fontId="35" fillId="0" borderId="47" xfId="35" applyNumberFormat="1" applyFont="1" applyFill="1" applyBorder="1" applyAlignment="1">
      <alignment horizontal="center" vertical="center"/>
    </xf>
    <xf numFmtId="0" fontId="54" fillId="0" borderId="50" xfId="0" applyFont="1" applyBorder="1"/>
    <xf numFmtId="0" fontId="54" fillId="0" borderId="43" xfId="0" applyFont="1" applyBorder="1" applyAlignment="1">
      <alignment wrapText="1"/>
    </xf>
    <xf numFmtId="171" fontId="55" fillId="0" borderId="5" xfId="0" applyNumberFormat="1" applyFont="1" applyBorder="1"/>
    <xf numFmtId="0" fontId="55" fillId="0" borderId="1" xfId="0" applyFont="1" applyBorder="1"/>
    <xf numFmtId="164" fontId="55" fillId="0" borderId="0" xfId="1" applyFont="1" applyFill="1" applyBorder="1"/>
    <xf numFmtId="10" fontId="55" fillId="0" borderId="1" xfId="0" applyNumberFormat="1" applyFont="1" applyBorder="1"/>
    <xf numFmtId="0" fontId="55" fillId="0" borderId="3" xfId="0" applyFont="1" applyBorder="1"/>
    <xf numFmtId="0" fontId="55" fillId="0" borderId="49" xfId="0" applyFont="1" applyBorder="1"/>
    <xf numFmtId="0" fontId="55" fillId="0" borderId="25" xfId="0" applyFont="1" applyBorder="1"/>
    <xf numFmtId="0" fontId="54" fillId="0" borderId="43" xfId="0" applyFont="1" applyBorder="1"/>
    <xf numFmtId="0" fontId="54" fillId="0" borderId="52" xfId="0" applyFont="1" applyBorder="1"/>
    <xf numFmtId="171" fontId="55" fillId="0" borderId="1" xfId="0" applyNumberFormat="1" applyFont="1" applyBorder="1"/>
    <xf numFmtId="164" fontId="55" fillId="0" borderId="1" xfId="1" applyFont="1" applyFill="1" applyBorder="1"/>
    <xf numFmtId="0" fontId="35" fillId="0" borderId="47" xfId="0" applyFont="1" applyBorder="1" applyAlignment="1">
      <alignment vertical="top" wrapText="1"/>
    </xf>
    <xf numFmtId="0" fontId="36" fillId="0" borderId="25" xfId="0" applyFont="1" applyBorder="1"/>
    <xf numFmtId="169" fontId="35" fillId="0" borderId="48" xfId="44" applyFont="1" applyFill="1" applyBorder="1" applyAlignment="1">
      <alignment horizontal="left"/>
    </xf>
    <xf numFmtId="169" fontId="35" fillId="0" borderId="1" xfId="44" applyFont="1" applyFill="1" applyBorder="1" applyAlignment="1">
      <alignment horizontal="left"/>
    </xf>
    <xf numFmtId="169" fontId="35" fillId="0" borderId="49" xfId="44" applyFont="1" applyFill="1" applyBorder="1" applyAlignment="1">
      <alignment horizontal="left"/>
    </xf>
    <xf numFmtId="0" fontId="35" fillId="0" borderId="48" xfId="59" applyFont="1" applyBorder="1" applyAlignment="1">
      <alignment horizontal="left"/>
    </xf>
    <xf numFmtId="0" fontId="35" fillId="0" borderId="1" xfId="59" applyFont="1" applyBorder="1" applyAlignment="1">
      <alignment horizontal="left"/>
    </xf>
    <xf numFmtId="0" fontId="35" fillId="0" borderId="49" xfId="59" applyFont="1" applyBorder="1" applyAlignment="1">
      <alignment horizontal="left"/>
    </xf>
    <xf numFmtId="10" fontId="36" fillId="0" borderId="48" xfId="59" applyNumberFormat="1" applyFont="1" applyBorder="1" applyAlignment="1">
      <alignment horizontal="right"/>
    </xf>
    <xf numFmtId="10" fontId="36" fillId="0" borderId="1" xfId="59" applyNumberFormat="1" applyFont="1" applyBorder="1" applyAlignment="1">
      <alignment horizontal="right"/>
    </xf>
    <xf numFmtId="0" fontId="35" fillId="0" borderId="49" xfId="59" applyFont="1" applyBorder="1"/>
    <xf numFmtId="164" fontId="36" fillId="0" borderId="0" xfId="1" applyFont="1" applyFill="1" applyBorder="1" applyAlignment="1"/>
    <xf numFmtId="0" fontId="36" fillId="0" borderId="2" xfId="0" applyFont="1" applyBorder="1"/>
    <xf numFmtId="0" fontId="35" fillId="0" borderId="6" xfId="0" applyFont="1" applyBorder="1" applyAlignment="1">
      <alignment horizontal="center" vertical="top" wrapText="1"/>
    </xf>
    <xf numFmtId="0" fontId="35" fillId="0" borderId="52" xfId="0" applyFont="1" applyBorder="1" applyAlignment="1">
      <alignment horizontal="center" vertical="top" wrapText="1"/>
    </xf>
    <xf numFmtId="0" fontId="38" fillId="0" borderId="52" xfId="0" applyFont="1" applyBorder="1" applyAlignment="1">
      <alignment horizontal="center" vertical="top" wrapText="1"/>
    </xf>
    <xf numFmtId="0" fontId="39" fillId="0" borderId="26" xfId="0" applyFont="1" applyBorder="1" applyAlignment="1">
      <alignment vertical="top"/>
    </xf>
    <xf numFmtId="0" fontId="38" fillId="0" borderId="4" xfId="0" applyFont="1" applyBorder="1" applyAlignment="1">
      <alignment horizontal="center" vertical="top"/>
    </xf>
    <xf numFmtId="164" fontId="35" fillId="0" borderId="0" xfId="1" applyFont="1" applyFill="1" applyBorder="1" applyAlignment="1">
      <alignment horizontal="center" vertical="top" wrapText="1"/>
    </xf>
    <xf numFmtId="0" fontId="38" fillId="0" borderId="0" xfId="0" applyFont="1" applyAlignment="1">
      <alignment horizontal="center" vertical="top" wrapText="1"/>
    </xf>
    <xf numFmtId="0" fontId="38" fillId="0" borderId="0" xfId="50" applyFont="1"/>
    <xf numFmtId="164" fontId="35" fillId="0" borderId="0" xfId="1" applyFont="1" applyFill="1" applyBorder="1" applyAlignment="1">
      <alignment horizontal="center" vertical="top"/>
    </xf>
    <xf numFmtId="164" fontId="38" fillId="0" borderId="0" xfId="1" applyFont="1" applyFill="1" applyBorder="1" applyAlignment="1">
      <alignment horizontal="center" vertical="top"/>
    </xf>
    <xf numFmtId="0" fontId="38" fillId="0" borderId="0" xfId="50" applyFont="1" applyAlignment="1">
      <alignment horizontal="right" vertical="top"/>
    </xf>
    <xf numFmtId="0" fontId="35" fillId="0" borderId="0" xfId="60" applyFont="1" applyBorder="1"/>
    <xf numFmtId="0" fontId="35" fillId="0" borderId="0" xfId="60" applyFont="1" applyBorder="1" applyAlignment="1">
      <alignment horizontal="left"/>
    </xf>
    <xf numFmtId="0" fontId="38" fillId="0" borderId="0" xfId="0" applyFont="1" applyAlignment="1">
      <alignment horizontal="left" vertical="top" wrapText="1"/>
    </xf>
    <xf numFmtId="164" fontId="36" fillId="0" borderId="0" xfId="1" applyFont="1" applyFill="1" applyBorder="1" applyAlignment="1">
      <alignment horizontal="right"/>
    </xf>
    <xf numFmtId="0" fontId="54" fillId="0" borderId="0" xfId="0" applyFont="1"/>
    <xf numFmtId="0" fontId="35" fillId="0" borderId="26" xfId="0" quotePrefix="1" applyFont="1" applyBorder="1" applyAlignment="1">
      <alignment horizontal="center" vertical="top"/>
    </xf>
    <xf numFmtId="0" fontId="35" fillId="0" borderId="27" xfId="0" applyFont="1" applyBorder="1" applyAlignment="1">
      <alignment vertical="top"/>
    </xf>
    <xf numFmtId="0" fontId="36" fillId="0" borderId="27" xfId="0" quotePrefix="1" applyFont="1" applyBorder="1" applyAlignment="1">
      <alignment horizontal="center" vertical="top"/>
    </xf>
    <xf numFmtId="0" fontId="36" fillId="0" borderId="6" xfId="0" applyFont="1" applyBorder="1" applyAlignment="1">
      <alignment vertical="top"/>
    </xf>
    <xf numFmtId="0" fontId="35" fillId="0" borderId="2" xfId="0" applyFont="1" applyBorder="1" applyAlignment="1">
      <alignment horizontal="right" vertical="top"/>
    </xf>
    <xf numFmtId="0" fontId="36" fillId="0" borderId="3" xfId="0" applyFont="1" applyBorder="1" applyAlignment="1">
      <alignment vertical="top"/>
    </xf>
    <xf numFmtId="0" fontId="36" fillId="0" borderId="25" xfId="0" applyFont="1" applyBorder="1" applyAlignment="1">
      <alignment vertical="top"/>
    </xf>
    <xf numFmtId="0" fontId="35" fillId="0" borderId="4" xfId="0" applyFont="1" applyBorder="1" applyAlignment="1">
      <alignment horizontal="right" vertical="top"/>
    </xf>
    <xf numFmtId="0" fontId="36" fillId="0" borderId="49" xfId="0" applyFont="1" applyBorder="1" applyAlignment="1">
      <alignment horizontal="center" vertical="top"/>
    </xf>
    <xf numFmtId="0" fontId="38" fillId="0" borderId="26" xfId="0" applyFont="1" applyBorder="1" applyAlignment="1">
      <alignment horizontal="left" vertical="top"/>
    </xf>
    <xf numFmtId="0" fontId="38" fillId="0" borderId="6" xfId="0" applyFont="1" applyBorder="1" applyAlignment="1">
      <alignment vertical="top"/>
    </xf>
    <xf numFmtId="0" fontId="35" fillId="0" borderId="5" xfId="0" applyFont="1" applyBorder="1" applyAlignment="1">
      <alignment vertical="top" wrapText="1"/>
    </xf>
    <xf numFmtId="0" fontId="64" fillId="0" borderId="0" xfId="61" applyFont="1"/>
    <xf numFmtId="0" fontId="64" fillId="0" borderId="0" xfId="0" applyFont="1"/>
    <xf numFmtId="0" fontId="65" fillId="0" borderId="0" xfId="0" applyFont="1" applyAlignment="1">
      <alignment horizontal="left"/>
    </xf>
    <xf numFmtId="0" fontId="65" fillId="0" borderId="0" xfId="0" applyFont="1" applyAlignment="1">
      <alignment horizontal="left" vertical="top"/>
    </xf>
    <xf numFmtId="0" fontId="65" fillId="0" borderId="0" xfId="0" applyFont="1" applyAlignment="1">
      <alignment vertical="top"/>
    </xf>
    <xf numFmtId="164" fontId="35" fillId="0" borderId="48" xfId="1" applyFont="1" applyFill="1" applyBorder="1" applyAlignment="1">
      <alignment horizontal="left" wrapText="1"/>
    </xf>
    <xf numFmtId="164" fontId="35" fillId="0" borderId="47" xfId="1" quotePrefix="1" applyFont="1" applyFill="1" applyBorder="1" applyAlignment="1">
      <alignment horizontal="left" wrapText="1"/>
    </xf>
    <xf numFmtId="164" fontId="38" fillId="0" borderId="47" xfId="1" applyFont="1" applyFill="1" applyBorder="1" applyAlignment="1">
      <alignment horizontal="left" wrapText="1"/>
    </xf>
    <xf numFmtId="43" fontId="13" fillId="0" borderId="0" xfId="0" applyNumberFormat="1" applyFont="1"/>
    <xf numFmtId="43" fontId="0" fillId="0" borderId="0" xfId="69" applyFont="1" applyAlignment="1">
      <alignment vertical="center"/>
    </xf>
    <xf numFmtId="10" fontId="0" fillId="0" borderId="0" xfId="71" applyNumberFormat="1" applyFont="1" applyAlignment="1">
      <alignment vertical="center"/>
    </xf>
    <xf numFmtId="0" fontId="0" fillId="0" borderId="0" xfId="0" applyAlignment="1">
      <alignment vertical="center" wrapText="1"/>
    </xf>
    <xf numFmtId="43" fontId="0" fillId="0" borderId="0" xfId="0" applyNumberFormat="1" applyAlignment="1">
      <alignment vertical="center"/>
    </xf>
    <xf numFmtId="0" fontId="0" fillId="0" borderId="0" xfId="0" applyAlignment="1">
      <alignment vertical="top" wrapText="1"/>
    </xf>
    <xf numFmtId="0" fontId="0" fillId="0" borderId="0" xfId="0" applyAlignment="1">
      <alignment vertical="top"/>
    </xf>
    <xf numFmtId="43" fontId="0" fillId="0" borderId="0" xfId="69" applyFont="1" applyAlignment="1">
      <alignment vertical="top"/>
    </xf>
    <xf numFmtId="10" fontId="0" fillId="0" borderId="0" xfId="71" applyNumberFormat="1" applyFont="1" applyAlignment="1">
      <alignment vertical="top"/>
    </xf>
    <xf numFmtId="0" fontId="0" fillId="0" borderId="0" xfId="0" applyAlignment="1">
      <alignment wrapText="1"/>
    </xf>
    <xf numFmtId="43" fontId="0" fillId="0" borderId="0" xfId="71" applyNumberFormat="1" applyFont="1"/>
    <xf numFmtId="10" fontId="0" fillId="0" borderId="0" xfId="71" applyNumberFormat="1" applyFont="1"/>
    <xf numFmtId="0" fontId="66" fillId="0" borderId="0" xfId="0" applyFont="1"/>
    <xf numFmtId="43" fontId="44" fillId="0" borderId="0" xfId="69" applyFont="1"/>
    <xf numFmtId="0" fontId="66" fillId="0" borderId="0" xfId="72" applyFont="1" applyAlignment="1"/>
    <xf numFmtId="0" fontId="66" fillId="0" borderId="0" xfId="72" applyFont="1" applyAlignment="1">
      <alignment wrapText="1"/>
    </xf>
    <xf numFmtId="43" fontId="44" fillId="0" borderId="0" xfId="0" applyNumberFormat="1" applyFont="1"/>
    <xf numFmtId="164" fontId="0" fillId="0" borderId="0" xfId="1" applyFont="1"/>
    <xf numFmtId="0" fontId="35" fillId="0" borderId="0" xfId="58" applyFont="1" applyAlignment="1">
      <alignment horizontal="center" wrapText="1"/>
    </xf>
    <xf numFmtId="0" fontId="35" fillId="0" borderId="0" xfId="0" applyFont="1" applyAlignment="1">
      <alignment horizontal="center"/>
    </xf>
    <xf numFmtId="164" fontId="36" fillId="0" borderId="0" xfId="1" applyFont="1"/>
    <xf numFmtId="0" fontId="68" fillId="0" borderId="0" xfId="0" applyFont="1" applyAlignment="1">
      <alignment vertical="top"/>
    </xf>
    <xf numFmtId="0" fontId="69" fillId="0" borderId="0" xfId="0" applyFont="1" applyAlignment="1">
      <alignment horizontal="left" vertical="top"/>
    </xf>
    <xf numFmtId="0" fontId="68" fillId="0" borderId="0" xfId="0" applyFont="1" applyAlignment="1">
      <alignment horizontal="left" vertical="top"/>
    </xf>
    <xf numFmtId="0" fontId="35" fillId="0" borderId="0" xfId="58" applyFont="1" applyAlignment="1">
      <alignment horizontal="center"/>
    </xf>
    <xf numFmtId="3" fontId="38" fillId="0" borderId="0" xfId="0" applyNumberFormat="1" applyFont="1" applyAlignment="1">
      <alignment horizontal="center" vertical="top"/>
    </xf>
    <xf numFmtId="164" fontId="36" fillId="0" borderId="0" xfId="1" applyFont="1" applyFill="1" applyBorder="1" applyAlignment="1">
      <alignment horizontal="center" vertical="top"/>
    </xf>
    <xf numFmtId="0" fontId="35" fillId="0" borderId="48" xfId="59" applyFont="1" applyBorder="1" applyAlignment="1">
      <alignment horizontal="center" vertical="top"/>
    </xf>
    <xf numFmtId="0" fontId="35" fillId="0" borderId="48" xfId="44" applyNumberFormat="1" applyFont="1" applyFill="1" applyBorder="1" applyAlignment="1">
      <alignment horizontal="center" vertical="top"/>
    </xf>
    <xf numFmtId="164" fontId="36" fillId="0" borderId="47" xfId="1" applyFont="1" applyBorder="1" applyAlignment="1">
      <alignment horizontal="left"/>
    </xf>
    <xf numFmtId="164" fontId="36" fillId="0" borderId="48" xfId="0" applyNumberFormat="1" applyFont="1" applyBorder="1"/>
    <xf numFmtId="164" fontId="35" fillId="0" borderId="23" xfId="1" applyFont="1" applyFill="1" applyBorder="1"/>
    <xf numFmtId="164" fontId="35" fillId="0" borderId="23" xfId="1" applyFont="1" applyFill="1" applyBorder="1" applyAlignment="1">
      <alignment horizontal="center"/>
    </xf>
    <xf numFmtId="164" fontId="70" fillId="0" borderId="0" xfId="1" applyFont="1"/>
    <xf numFmtId="172" fontId="70" fillId="0" borderId="0" xfId="1" applyNumberFormat="1" applyFont="1"/>
    <xf numFmtId="0" fontId="39" fillId="0" borderId="5" xfId="0" applyFont="1" applyBorder="1" applyAlignment="1">
      <alignment horizontal="left" vertical="top"/>
    </xf>
    <xf numFmtId="164" fontId="39" fillId="0" borderId="2" xfId="1" applyFont="1" applyFill="1" applyBorder="1" applyAlignment="1">
      <alignment horizontal="center" vertical="top"/>
    </xf>
    <xf numFmtId="164" fontId="39" fillId="0" borderId="48" xfId="1" applyFont="1" applyFill="1" applyBorder="1" applyAlignment="1">
      <alignment horizontal="center" vertical="top"/>
    </xf>
    <xf numFmtId="164" fontId="39" fillId="0" borderId="1" xfId="1" applyFont="1" applyFill="1" applyBorder="1" applyAlignment="1">
      <alignment horizontal="center" vertical="top"/>
    </xf>
    <xf numFmtId="164" fontId="13" fillId="0" borderId="0" xfId="0" applyNumberFormat="1" applyFont="1" applyAlignment="1">
      <alignment vertical="top"/>
    </xf>
    <xf numFmtId="177" fontId="35" fillId="0" borderId="48" xfId="1" applyNumberFormat="1" applyFont="1" applyFill="1" applyBorder="1" applyAlignment="1">
      <alignment horizontal="left" wrapText="1"/>
    </xf>
    <xf numFmtId="43" fontId="36" fillId="0" borderId="0" xfId="61" applyNumberFormat="1" applyFont="1"/>
    <xf numFmtId="0" fontId="36" fillId="0" borderId="0" xfId="73" applyFont="1" applyAlignment="1" applyProtection="1">
      <alignment vertical="top"/>
      <protection locked="0"/>
    </xf>
    <xf numFmtId="0" fontId="36" fillId="9" borderId="0" xfId="73" applyFont="1" applyFill="1" applyAlignment="1" applyProtection="1">
      <alignment vertical="top"/>
      <protection locked="0"/>
    </xf>
    <xf numFmtId="0" fontId="36" fillId="0" borderId="0" xfId="73" applyFont="1" applyAlignment="1">
      <alignment vertical="top"/>
    </xf>
    <xf numFmtId="15" fontId="36" fillId="9" borderId="0" xfId="73" applyNumberFormat="1" applyFont="1" applyFill="1" applyAlignment="1" applyProtection="1">
      <alignment horizontal="left" vertical="top"/>
      <protection locked="0"/>
    </xf>
    <xf numFmtId="0" fontId="36" fillId="0" borderId="0" xfId="73" applyFont="1" applyAlignment="1">
      <alignment horizontal="center" vertical="top"/>
    </xf>
    <xf numFmtId="1" fontId="36" fillId="0" borderId="0" xfId="73" applyNumberFormat="1" applyFont="1" applyAlignment="1" applyProtection="1">
      <alignment horizontal="center" vertical="top"/>
      <protection locked="0"/>
    </xf>
    <xf numFmtId="14" fontId="36" fillId="0" borderId="0" xfId="73" applyNumberFormat="1" applyFont="1" applyAlignment="1">
      <alignment horizontal="center" vertical="top"/>
    </xf>
    <xf numFmtId="0" fontId="36" fillId="0" borderId="0" xfId="73" applyFont="1" applyAlignment="1" applyProtection="1">
      <alignment horizontal="center" vertical="top"/>
      <protection locked="0"/>
    </xf>
    <xf numFmtId="14" fontId="36" fillId="0" borderId="0" xfId="73" applyNumberFormat="1" applyFont="1" applyAlignment="1" applyProtection="1">
      <alignment horizontal="center" vertical="top"/>
      <protection locked="0"/>
    </xf>
    <xf numFmtId="49" fontId="36" fillId="9" borderId="0" xfId="73" applyNumberFormat="1" applyFont="1" applyFill="1" applyAlignment="1" applyProtection="1">
      <alignment horizontal="left" vertical="top"/>
      <protection locked="0"/>
    </xf>
    <xf numFmtId="0" fontId="36" fillId="9" borderId="0" xfId="73" applyFont="1" applyFill="1" applyAlignment="1" applyProtection="1">
      <alignment horizontal="left" vertical="top"/>
      <protection locked="0"/>
    </xf>
    <xf numFmtId="14" fontId="36" fillId="9" borderId="0" xfId="73" applyNumberFormat="1" applyFont="1" applyFill="1" applyAlignment="1" applyProtection="1">
      <alignment horizontal="left" vertical="top"/>
      <protection locked="0"/>
    </xf>
    <xf numFmtId="0" fontId="35" fillId="0" borderId="0" xfId="73" applyFont="1" applyAlignment="1" applyProtection="1">
      <alignment vertical="top"/>
      <protection locked="0"/>
    </xf>
    <xf numFmtId="0" fontId="35" fillId="0" borderId="0" xfId="73" applyFont="1" applyAlignment="1" applyProtection="1">
      <alignment horizontal="left" vertical="top"/>
      <protection locked="0"/>
    </xf>
    <xf numFmtId="0" fontId="36" fillId="0" borderId="47" xfId="73" applyFont="1" applyBorder="1" applyAlignment="1" applyProtection="1">
      <alignment vertical="top"/>
      <protection locked="0"/>
    </xf>
    <xf numFmtId="14" fontId="36" fillId="0" borderId="47" xfId="73" applyNumberFormat="1" applyFont="1" applyBorder="1" applyAlignment="1" applyProtection="1">
      <alignment horizontal="left" vertical="top"/>
      <protection locked="0"/>
    </xf>
    <xf numFmtId="49" fontId="36" fillId="9" borderId="0" xfId="73" quotePrefix="1" applyNumberFormat="1" applyFont="1" applyFill="1" applyAlignment="1" applyProtection="1">
      <alignment vertical="top"/>
      <protection locked="0"/>
    </xf>
    <xf numFmtId="0" fontId="36" fillId="0" borderId="0" xfId="73" quotePrefix="1" applyFont="1" applyAlignment="1" applyProtection="1">
      <alignment vertical="top"/>
      <protection locked="0"/>
    </xf>
    <xf numFmtId="14" fontId="36" fillId="0" borderId="0" xfId="73" applyNumberFormat="1" applyFont="1" applyAlignment="1">
      <alignment vertical="top"/>
    </xf>
    <xf numFmtId="14" fontId="36" fillId="0" borderId="0" xfId="73" applyNumberFormat="1" applyFont="1" applyAlignment="1" applyProtection="1">
      <alignment vertical="top"/>
      <protection locked="0"/>
    </xf>
    <xf numFmtId="18" fontId="36" fillId="9" borderId="0" xfId="73" applyNumberFormat="1" applyFont="1" applyFill="1" applyAlignment="1" applyProtection="1">
      <alignment horizontal="left" vertical="top"/>
      <protection locked="0"/>
    </xf>
    <xf numFmtId="0" fontId="35" fillId="10" borderId="0" xfId="73" applyFont="1" applyFill="1" applyAlignment="1" applyProtection="1">
      <alignment vertical="top"/>
      <protection locked="0"/>
    </xf>
    <xf numFmtId="0" fontId="36" fillId="0" borderId="48" xfId="73" applyFont="1" applyBorder="1" applyAlignment="1" applyProtection="1">
      <alignment horizontal="left" vertical="top"/>
      <protection locked="0"/>
    </xf>
    <xf numFmtId="0" fontId="36" fillId="9" borderId="0" xfId="73" applyFont="1" applyFill="1" applyAlignment="1" applyProtection="1">
      <alignment vertical="top" wrapText="1"/>
      <protection locked="0"/>
    </xf>
    <xf numFmtId="0" fontId="36" fillId="0" borderId="1" xfId="73" applyFont="1" applyBorder="1" applyAlignment="1" applyProtection="1">
      <alignment horizontal="left" vertical="top"/>
      <protection locked="0"/>
    </xf>
    <xf numFmtId="49" fontId="36" fillId="9" borderId="0" xfId="73" applyNumberFormat="1" applyFont="1" applyFill="1" applyAlignment="1" applyProtection="1">
      <alignment vertical="top" wrapText="1"/>
      <protection locked="0"/>
    </xf>
    <xf numFmtId="0" fontId="36" fillId="9" borderId="0" xfId="73" quotePrefix="1" applyFont="1" applyFill="1" applyAlignment="1" applyProtection="1">
      <alignment vertical="top"/>
      <protection locked="0"/>
    </xf>
    <xf numFmtId="1" fontId="36" fillId="0" borderId="0" xfId="73" applyNumberFormat="1" applyFont="1" applyAlignment="1">
      <alignment vertical="top"/>
    </xf>
    <xf numFmtId="0" fontId="74" fillId="0" borderId="0" xfId="73" applyFont="1" applyAlignment="1">
      <alignment vertical="top"/>
    </xf>
    <xf numFmtId="0" fontId="76" fillId="0" borderId="0" xfId="76" applyFont="1" applyAlignment="1">
      <alignment vertical="top"/>
    </xf>
    <xf numFmtId="0" fontId="76" fillId="0" borderId="0" xfId="76" applyFont="1" applyAlignment="1">
      <alignment horizontal="left" vertical="top" wrapText="1"/>
    </xf>
    <xf numFmtId="0" fontId="75" fillId="0" borderId="0" xfId="76" applyFont="1" applyAlignment="1">
      <alignment vertical="top"/>
    </xf>
    <xf numFmtId="0" fontId="76" fillId="0" borderId="0" xfId="76" applyFont="1" applyAlignment="1">
      <alignment vertical="center"/>
    </xf>
    <xf numFmtId="0" fontId="78" fillId="0" borderId="0" xfId="76" applyFont="1" applyAlignment="1">
      <alignment vertical="top"/>
    </xf>
    <xf numFmtId="167" fontId="76" fillId="0" borderId="0" xfId="77" applyNumberFormat="1" applyFont="1" applyFill="1" applyBorder="1" applyAlignment="1">
      <alignment vertical="top"/>
    </xf>
    <xf numFmtId="167" fontId="76" fillId="0" borderId="0" xfId="77" applyNumberFormat="1" applyFont="1" applyFill="1" applyAlignment="1">
      <alignment vertical="top"/>
    </xf>
    <xf numFmtId="0" fontId="76" fillId="0" borderId="0" xfId="76" applyFont="1" applyAlignment="1">
      <alignment vertical="top" wrapText="1"/>
    </xf>
    <xf numFmtId="1" fontId="64" fillId="0" borderId="0" xfId="73" applyNumberFormat="1" applyFont="1" applyAlignment="1">
      <alignment horizontal="left" vertical="top"/>
    </xf>
    <xf numFmtId="0" fontId="65" fillId="0" borderId="0" xfId="51" applyFont="1" applyAlignment="1">
      <alignment horizontal="left" vertical="top"/>
    </xf>
    <xf numFmtId="0" fontId="64" fillId="0" borderId="0" xfId="51" applyFont="1" applyAlignment="1">
      <alignment vertical="top"/>
    </xf>
    <xf numFmtId="0" fontId="64" fillId="0" borderId="0" xfId="76" applyFont="1" applyAlignment="1">
      <alignment horizontal="center" vertical="top" wrapText="1"/>
    </xf>
    <xf numFmtId="1" fontId="65" fillId="0" borderId="0" xfId="73" applyNumberFormat="1" applyFont="1" applyAlignment="1">
      <alignment horizontal="left" vertical="top"/>
    </xf>
    <xf numFmtId="49" fontId="76" fillId="0" borderId="0" xfId="76" applyNumberFormat="1" applyFont="1" applyAlignment="1">
      <alignment horizontal="left" vertical="top"/>
    </xf>
    <xf numFmtId="4" fontId="64" fillId="0" borderId="0" xfId="78" applyNumberFormat="1" applyFont="1" applyFill="1" applyAlignment="1">
      <alignment vertical="top"/>
    </xf>
    <xf numFmtId="0" fontId="64" fillId="0" borderId="0" xfId="73" applyFont="1" applyAlignment="1">
      <alignment vertical="top"/>
    </xf>
    <xf numFmtId="1" fontId="64" fillId="0" borderId="0" xfId="73" applyNumberFormat="1" applyFont="1" applyAlignment="1">
      <alignment horizontal="center" vertical="top"/>
    </xf>
    <xf numFmtId="0" fontId="64" fillId="0" borderId="0" xfId="73" applyFont="1" applyAlignment="1">
      <alignment horizontal="center" vertical="top"/>
    </xf>
    <xf numFmtId="0" fontId="65" fillId="0" borderId="47" xfId="73" applyFont="1" applyBorder="1" applyAlignment="1">
      <alignment horizontal="center" vertical="top" wrapText="1"/>
    </xf>
    <xf numFmtId="0" fontId="64" fillId="0" borderId="0" xfId="73" applyFont="1" applyAlignment="1">
      <alignment horizontal="center" vertical="top" wrapText="1"/>
    </xf>
    <xf numFmtId="0" fontId="64" fillId="0" borderId="47" xfId="73" applyFont="1" applyBorder="1" applyAlignment="1">
      <alignment horizontal="center" vertical="top" wrapText="1"/>
    </xf>
    <xf numFmtId="167" fontId="65" fillId="0" borderId="47" xfId="77" applyNumberFormat="1" applyFont="1" applyBorder="1" applyAlignment="1">
      <alignment vertical="top" wrapText="1"/>
    </xf>
    <xf numFmtId="0" fontId="65" fillId="0" borderId="0" xfId="73" applyFont="1" applyAlignment="1">
      <alignment vertical="top"/>
    </xf>
    <xf numFmtId="0" fontId="64" fillId="0" borderId="0" xfId="73" applyFont="1" applyAlignment="1">
      <alignment horizontal="left" vertical="top"/>
    </xf>
    <xf numFmtId="0" fontId="65" fillId="0" borderId="0" xfId="73" applyFont="1" applyAlignment="1">
      <alignment horizontal="left" vertical="top"/>
    </xf>
    <xf numFmtId="0" fontId="65" fillId="0" borderId="0" xfId="73" applyFont="1" applyAlignment="1">
      <alignment horizontal="center" vertical="top"/>
    </xf>
    <xf numFmtId="167" fontId="64" fillId="0" borderId="0" xfId="77" applyNumberFormat="1" applyFont="1" applyFill="1" applyAlignment="1">
      <alignment horizontal="center" vertical="top"/>
    </xf>
    <xf numFmtId="0" fontId="64" fillId="0" borderId="0" xfId="73" applyFont="1" applyAlignment="1">
      <alignment horizontal="right" vertical="top"/>
    </xf>
    <xf numFmtId="167" fontId="64" fillId="0" borderId="0" xfId="77" applyNumberFormat="1" applyFont="1" applyAlignment="1">
      <alignment horizontal="center" vertical="top"/>
    </xf>
    <xf numFmtId="0" fontId="65" fillId="0" borderId="0" xfId="73" applyFont="1" applyAlignment="1">
      <alignment horizontal="right" vertical="top"/>
    </xf>
    <xf numFmtId="0" fontId="64" fillId="0" borderId="0" xfId="73" applyFont="1" applyAlignment="1">
      <alignment horizontal="justify" vertical="top"/>
    </xf>
    <xf numFmtId="0" fontId="64" fillId="0" borderId="0" xfId="73" applyFont="1" applyAlignment="1">
      <alignment horizontal="justify" vertical="top" wrapText="1"/>
    </xf>
    <xf numFmtId="0" fontId="64" fillId="0" borderId="47" xfId="73" applyFont="1" applyBorder="1" applyAlignment="1">
      <alignment horizontal="center" vertical="top"/>
    </xf>
    <xf numFmtId="167" fontId="65" fillId="0" borderId="0" xfId="77" applyNumberFormat="1" applyFont="1" applyAlignment="1">
      <alignment horizontal="center" vertical="top"/>
    </xf>
    <xf numFmtId="167" fontId="64" fillId="0" borderId="0" xfId="77" applyNumberFormat="1" applyFont="1" applyAlignment="1">
      <alignment horizontal="center" vertical="top" wrapText="1"/>
    </xf>
    <xf numFmtId="10" fontId="64" fillId="0" borderId="0" xfId="79" applyNumberFormat="1" applyFont="1" applyAlignment="1">
      <alignment horizontal="center" vertical="top"/>
    </xf>
    <xf numFmtId="0" fontId="74" fillId="0" borderId="0" xfId="73" applyFont="1" applyAlignment="1">
      <alignment horizontal="left" vertical="top"/>
    </xf>
    <xf numFmtId="167" fontId="64" fillId="0" borderId="0" xfId="77" applyNumberFormat="1" applyFont="1" applyBorder="1" applyAlignment="1">
      <alignment horizontal="center" vertical="top"/>
    </xf>
    <xf numFmtId="0" fontId="76" fillId="0" borderId="0" xfId="80" applyFont="1" applyAlignment="1">
      <alignment horizontal="center" vertical="top"/>
    </xf>
    <xf numFmtId="0" fontId="76" fillId="0" borderId="0" xfId="80" applyFont="1" applyAlignment="1">
      <alignment vertical="top"/>
    </xf>
    <xf numFmtId="0" fontId="54" fillId="0" borderId="0" xfId="80" applyFont="1" applyAlignment="1">
      <alignment horizontal="right" vertical="top"/>
    </xf>
    <xf numFmtId="0" fontId="55" fillId="0" borderId="0" xfId="80" applyFont="1" applyAlignment="1">
      <alignment horizontal="left" vertical="top"/>
    </xf>
    <xf numFmtId="0" fontId="76" fillId="0" borderId="0" xfId="80" applyFont="1" applyAlignment="1">
      <alignment horizontal="left" vertical="top"/>
    </xf>
    <xf numFmtId="0" fontId="75" fillId="0" borderId="0" xfId="80" applyFont="1" applyAlignment="1">
      <alignment horizontal="center" vertical="top"/>
    </xf>
    <xf numFmtId="0" fontId="75" fillId="12" borderId="50" xfId="80" applyFont="1" applyFill="1" applyBorder="1" applyAlignment="1">
      <alignment horizontal="left" vertical="top"/>
    </xf>
    <xf numFmtId="0" fontId="55" fillId="0" borderId="47" xfId="80" applyFont="1" applyBorder="1" applyAlignment="1">
      <alignment horizontal="center" vertical="top" wrapText="1"/>
    </xf>
    <xf numFmtId="0" fontId="55" fillId="0" borderId="48" xfId="80" applyFont="1" applyBorder="1" applyAlignment="1">
      <alignment horizontal="center" vertical="top" wrapText="1"/>
    </xf>
    <xf numFmtId="0" fontId="55" fillId="0" borderId="49" xfId="80" applyFont="1" applyBorder="1" applyAlignment="1">
      <alignment horizontal="center" vertical="top" wrapText="1"/>
    </xf>
    <xf numFmtId="0" fontId="55" fillId="0" borderId="49" xfId="80" applyFont="1" applyBorder="1" applyAlignment="1">
      <alignment horizontal="center" vertical="top"/>
    </xf>
    <xf numFmtId="0" fontId="84" fillId="0" borderId="47" xfId="80" applyFont="1" applyBorder="1" applyAlignment="1">
      <alignment horizontal="center" vertical="top" wrapText="1"/>
    </xf>
    <xf numFmtId="0" fontId="55" fillId="0" borderId="47" xfId="80" applyFont="1" applyBorder="1" applyAlignment="1">
      <alignment horizontal="center" vertical="top"/>
    </xf>
    <xf numFmtId="0" fontId="55" fillId="0" borderId="47" xfId="80" applyFont="1" applyBorder="1" applyAlignment="1">
      <alignment vertical="top"/>
    </xf>
    <xf numFmtId="0" fontId="75" fillId="12" borderId="43" xfId="80" applyFont="1" applyFill="1" applyBorder="1" applyAlignment="1">
      <alignment horizontal="left" vertical="top"/>
    </xf>
    <xf numFmtId="0" fontId="75" fillId="0" borderId="0" xfId="80" applyFont="1" applyAlignment="1">
      <alignment horizontal="left" vertical="top"/>
    </xf>
    <xf numFmtId="0" fontId="75" fillId="0" borderId="0" xfId="80" applyFont="1" applyAlignment="1">
      <alignment vertical="top"/>
    </xf>
    <xf numFmtId="0" fontId="55" fillId="0" borderId="5" xfId="80" applyFont="1" applyBorder="1" applyAlignment="1">
      <alignment horizontal="center" vertical="top" wrapText="1"/>
    </xf>
    <xf numFmtId="0" fontId="55" fillId="0" borderId="3" xfId="80" applyFont="1" applyBorder="1" applyAlignment="1">
      <alignment horizontal="center" vertical="top" wrapText="1"/>
    </xf>
    <xf numFmtId="167" fontId="55" fillId="11" borderId="47" xfId="77" applyNumberFormat="1" applyFont="1" applyFill="1" applyBorder="1" applyAlignment="1">
      <alignment horizontal="center" vertical="top"/>
    </xf>
    <xf numFmtId="167" fontId="55" fillId="0" borderId="47" xfId="77" applyNumberFormat="1" applyFont="1" applyBorder="1" applyAlignment="1">
      <alignment horizontal="center" vertical="top"/>
    </xf>
    <xf numFmtId="10" fontId="55" fillId="0" borderId="47" xfId="81" applyNumberFormat="1" applyFont="1" applyBorder="1" applyAlignment="1">
      <alignment vertical="top"/>
    </xf>
    <xf numFmtId="10" fontId="84" fillId="0" borderId="47" xfId="81" applyNumberFormat="1" applyFont="1" applyBorder="1" applyAlignment="1">
      <alignment vertical="top"/>
    </xf>
    <xf numFmtId="167" fontId="54" fillId="0" borderId="47" xfId="77" applyNumberFormat="1" applyFont="1" applyBorder="1" applyAlignment="1">
      <alignment horizontal="center" vertical="top"/>
    </xf>
    <xf numFmtId="10" fontId="54" fillId="0" borderId="47" xfId="81" applyNumberFormat="1" applyFont="1" applyBorder="1" applyAlignment="1">
      <alignment vertical="top"/>
    </xf>
    <xf numFmtId="10" fontId="85" fillId="0" borderId="47" xfId="81" applyNumberFormat="1" applyFont="1" applyBorder="1" applyAlignment="1">
      <alignment vertical="top"/>
    </xf>
    <xf numFmtId="167" fontId="54" fillId="0" borderId="48" xfId="77" applyNumberFormat="1" applyFont="1" applyBorder="1" applyAlignment="1">
      <alignment horizontal="center" vertical="top"/>
    </xf>
    <xf numFmtId="10" fontId="54" fillId="0" borderId="47" xfId="81" applyNumberFormat="1" applyFont="1" applyBorder="1" applyAlignment="1">
      <alignment horizontal="right" vertical="top"/>
    </xf>
    <xf numFmtId="0" fontId="84" fillId="0" borderId="48" xfId="80" applyFont="1" applyBorder="1" applyAlignment="1">
      <alignment horizontal="center" vertical="top"/>
    </xf>
    <xf numFmtId="0" fontId="84" fillId="0" borderId="49" xfId="80" applyFont="1" applyBorder="1" applyAlignment="1">
      <alignment horizontal="center" vertical="top"/>
    </xf>
    <xf numFmtId="0" fontId="84" fillId="0" borderId="47" xfId="80" applyFont="1" applyBorder="1" applyAlignment="1">
      <alignment horizontal="center" vertical="top"/>
    </xf>
    <xf numFmtId="167" fontId="36" fillId="11" borderId="47" xfId="82" applyNumberFormat="1" applyFont="1" applyFill="1" applyBorder="1" applyAlignment="1">
      <alignment horizontal="right" vertical="top" wrapText="1"/>
    </xf>
    <xf numFmtId="10" fontId="36" fillId="13" borderId="47" xfId="81" applyNumberFormat="1" applyFont="1" applyFill="1" applyBorder="1" applyAlignment="1">
      <alignment horizontal="right" vertical="top" wrapText="1"/>
    </xf>
    <xf numFmtId="15" fontId="86" fillId="0" borderId="47" xfId="80" applyNumberFormat="1" applyFont="1" applyBorder="1" applyAlignment="1">
      <alignment horizontal="center" vertical="top"/>
    </xf>
    <xf numFmtId="0" fontId="86" fillId="0" borderId="47" xfId="80" applyFont="1" applyBorder="1" applyAlignment="1">
      <alignment vertical="top"/>
    </xf>
    <xf numFmtId="15" fontId="86" fillId="11" borderId="47" xfId="80" applyNumberFormat="1" applyFont="1" applyFill="1" applyBorder="1" applyAlignment="1">
      <alignment horizontal="center" vertical="top"/>
    </xf>
    <xf numFmtId="0" fontId="86" fillId="11" borderId="47" xfId="80" applyFont="1" applyFill="1" applyBorder="1" applyAlignment="1">
      <alignment horizontal="center" vertical="top"/>
    </xf>
    <xf numFmtId="0" fontId="86" fillId="0" borderId="47" xfId="80" applyFont="1" applyBorder="1" applyAlignment="1">
      <alignment horizontal="center" vertical="top"/>
    </xf>
    <xf numFmtId="0" fontId="55" fillId="12" borderId="49" xfId="80" applyFont="1" applyFill="1" applyBorder="1" applyAlignment="1">
      <alignment horizontal="center" vertical="top" wrapText="1"/>
    </xf>
    <xf numFmtId="0" fontId="55" fillId="12" borderId="47" xfId="80" applyFont="1" applyFill="1" applyBorder="1" applyAlignment="1">
      <alignment horizontal="center" vertical="top" wrapText="1"/>
    </xf>
    <xf numFmtId="0" fontId="55" fillId="12" borderId="50" xfId="80" applyFont="1" applyFill="1" applyBorder="1" applyAlignment="1">
      <alignment horizontal="center" vertical="top" wrapText="1"/>
    </xf>
    <xf numFmtId="0" fontId="55" fillId="12" borderId="52" xfId="80" applyFont="1" applyFill="1" applyBorder="1" applyAlignment="1">
      <alignment horizontal="center" vertical="top" wrapText="1"/>
    </xf>
    <xf numFmtId="14" fontId="86" fillId="0" borderId="47" xfId="80" applyNumberFormat="1" applyFont="1" applyBorder="1" applyAlignment="1">
      <alignment horizontal="center" vertical="top"/>
    </xf>
    <xf numFmtId="0" fontId="55" fillId="0" borderId="5" xfId="80" applyFont="1" applyBorder="1" applyAlignment="1">
      <alignment vertical="top" wrapText="1"/>
    </xf>
    <xf numFmtId="0" fontId="55" fillId="0" borderId="2" xfId="80" applyFont="1" applyBorder="1" applyAlignment="1">
      <alignment vertical="top" wrapText="1"/>
    </xf>
    <xf numFmtId="0" fontId="55" fillId="0" borderId="47" xfId="80" applyFont="1" applyBorder="1" applyAlignment="1">
      <alignment vertical="top" wrapText="1"/>
    </xf>
    <xf numFmtId="0" fontId="86" fillId="12" borderId="47" xfId="80" applyFont="1" applyFill="1" applyBorder="1" applyAlignment="1">
      <alignment horizontal="center" vertical="top"/>
    </xf>
    <xf numFmtId="167" fontId="55" fillId="12" borderId="50" xfId="82" applyNumberFormat="1" applyFont="1" applyFill="1" applyBorder="1" applyAlignment="1">
      <alignment horizontal="center" vertical="top" wrapText="1"/>
    </xf>
    <xf numFmtId="167" fontId="55" fillId="12" borderId="52" xfId="82" applyNumberFormat="1" applyFont="1" applyFill="1" applyBorder="1" applyAlignment="1">
      <alignment horizontal="center" vertical="top" wrapText="1"/>
    </xf>
    <xf numFmtId="0" fontId="55" fillId="12" borderId="47" xfId="80" applyFont="1" applyFill="1" applyBorder="1" applyAlignment="1">
      <alignment vertical="top"/>
    </xf>
    <xf numFmtId="0" fontId="55" fillId="12" borderId="47" xfId="80" applyFont="1" applyFill="1" applyBorder="1" applyAlignment="1">
      <alignment vertical="top" wrapText="1"/>
    </xf>
    <xf numFmtId="0" fontId="54" fillId="12" borderId="26" xfId="80" applyFont="1" applyFill="1" applyBorder="1" applyAlignment="1">
      <alignment horizontal="center" vertical="top" wrapText="1"/>
    </xf>
    <xf numFmtId="0" fontId="55" fillId="0" borderId="0" xfId="80" applyFont="1" applyAlignment="1">
      <alignment horizontal="center" vertical="top" wrapText="1"/>
    </xf>
    <xf numFmtId="0" fontId="55" fillId="0" borderId="0" xfId="80" applyFont="1" applyAlignment="1">
      <alignment horizontal="left" vertical="top" wrapText="1"/>
    </xf>
    <xf numFmtId="0" fontId="86" fillId="0" borderId="0" xfId="80" applyFont="1" applyAlignment="1">
      <alignment horizontal="center" vertical="top"/>
    </xf>
    <xf numFmtId="0" fontId="86" fillId="0" borderId="0" xfId="80" applyFont="1" applyAlignment="1">
      <alignment vertical="top"/>
    </xf>
    <xf numFmtId="167" fontId="55" fillId="0" borderId="0" xfId="82" applyNumberFormat="1" applyFont="1" applyFill="1" applyBorder="1" applyAlignment="1">
      <alignment horizontal="center" vertical="top" wrapText="1"/>
    </xf>
    <xf numFmtId="10" fontId="55" fillId="0" borderId="0" xfId="81" applyNumberFormat="1" applyFont="1" applyBorder="1" applyAlignment="1">
      <alignment vertical="top"/>
    </xf>
    <xf numFmtId="167" fontId="55" fillId="0" borderId="0" xfId="82" applyNumberFormat="1" applyFont="1" applyBorder="1" applyAlignment="1">
      <alignment horizontal="center" vertical="top" wrapText="1"/>
    </xf>
    <xf numFmtId="0" fontId="83" fillId="0" borderId="25" xfId="80" applyFont="1" applyBorder="1" applyAlignment="1">
      <alignment vertical="top"/>
    </xf>
    <xf numFmtId="0" fontId="84" fillId="0" borderId="2" xfId="80" applyFont="1" applyBorder="1" applyAlignment="1">
      <alignment horizontal="right" vertical="top"/>
    </xf>
    <xf numFmtId="0" fontId="76" fillId="12" borderId="43" xfId="80" applyFont="1" applyFill="1" applyBorder="1" applyAlignment="1">
      <alignment horizontal="left" vertical="top"/>
    </xf>
    <xf numFmtId="0" fontId="76" fillId="12" borderId="52" xfId="80" applyFont="1" applyFill="1" applyBorder="1" applyAlignment="1">
      <alignment horizontal="left" vertical="top"/>
    </xf>
    <xf numFmtId="0" fontId="55" fillId="0" borderId="48" xfId="80" applyFont="1" applyBorder="1" applyAlignment="1">
      <alignment horizontal="center" vertical="top"/>
    </xf>
    <xf numFmtId="0" fontId="84" fillId="11" borderId="49" xfId="80" applyFont="1" applyFill="1" applyBorder="1" applyAlignment="1">
      <alignment horizontal="center" vertical="top"/>
    </xf>
    <xf numFmtId="0" fontId="55" fillId="0" borderId="49" xfId="80" applyFont="1" applyBorder="1" applyAlignment="1">
      <alignment vertical="top"/>
    </xf>
    <xf numFmtId="164" fontId="55" fillId="0" borderId="48" xfId="82" applyFont="1" applyBorder="1" applyAlignment="1">
      <alignment vertical="top"/>
    </xf>
    <xf numFmtId="164" fontId="55" fillId="0" borderId="47" xfId="82" applyFont="1" applyBorder="1" applyAlignment="1">
      <alignment vertical="top"/>
    </xf>
    <xf numFmtId="164" fontId="54" fillId="0" borderId="47" xfId="82" applyFont="1" applyBorder="1" applyAlignment="1">
      <alignment vertical="top"/>
    </xf>
    <xf numFmtId="0" fontId="85" fillId="0" borderId="52" xfId="80" applyFont="1" applyBorder="1" applyAlignment="1">
      <alignment vertical="top" wrapText="1"/>
    </xf>
    <xf numFmtId="0" fontId="64" fillId="0" borderId="0" xfId="80" applyFont="1" applyAlignment="1">
      <alignment vertical="top"/>
    </xf>
    <xf numFmtId="164" fontId="84" fillId="11" borderId="48" xfId="77" applyFont="1" applyFill="1" applyBorder="1" applyAlignment="1">
      <alignment horizontal="center" vertical="top"/>
    </xf>
    <xf numFmtId="164" fontId="55" fillId="11" borderId="48" xfId="77" applyFont="1" applyFill="1" applyBorder="1" applyAlignment="1">
      <alignment horizontal="center" vertical="top"/>
    </xf>
    <xf numFmtId="0" fontId="55" fillId="11" borderId="49" xfId="80" applyFont="1" applyFill="1" applyBorder="1" applyAlignment="1">
      <alignment horizontal="center" vertical="top"/>
    </xf>
    <xf numFmtId="164" fontId="84" fillId="11" borderId="47" xfId="82" applyFont="1" applyFill="1" applyBorder="1" applyAlignment="1">
      <alignment vertical="top"/>
    </xf>
    <xf numFmtId="0" fontId="84" fillId="0" borderId="47" xfId="80" applyFont="1" applyBorder="1" applyAlignment="1">
      <alignment horizontal="left" vertical="top"/>
    </xf>
    <xf numFmtId="0" fontId="75" fillId="0" borderId="0" xfId="80" applyFont="1" applyAlignment="1">
      <alignment horizontal="right" vertical="top"/>
    </xf>
    <xf numFmtId="0" fontId="78" fillId="0" borderId="0" xfId="80" applyFont="1"/>
    <xf numFmtId="49" fontId="88" fillId="0" borderId="0" xfId="80" applyNumberFormat="1" applyFont="1" applyAlignment="1">
      <alignment horizontal="center" vertical="top" wrapText="1"/>
    </xf>
    <xf numFmtId="0" fontId="89" fillId="0" borderId="0" xfId="80" applyFont="1" applyAlignment="1">
      <alignment horizontal="center" vertical="top" wrapText="1"/>
    </xf>
    <xf numFmtId="0" fontId="89" fillId="0" borderId="0" xfId="80" applyFont="1" applyAlignment="1">
      <alignment horizontal="left" vertical="top" wrapText="1"/>
    </xf>
    <xf numFmtId="0" fontId="89" fillId="0" borderId="0" xfId="80" applyFont="1" applyAlignment="1">
      <alignment horizontal="left" vertical="top"/>
    </xf>
    <xf numFmtId="0" fontId="76" fillId="0" borderId="0" xfId="80" applyFont="1" applyAlignment="1">
      <alignment vertical="top" wrapText="1"/>
    </xf>
    <xf numFmtId="0" fontId="88" fillId="0" borderId="47" xfId="80" applyFont="1" applyBorder="1" applyAlignment="1">
      <alignment horizontal="center" vertical="top" wrapText="1"/>
    </xf>
    <xf numFmtId="0" fontId="75" fillId="0" borderId="47" xfId="80" applyFont="1" applyBorder="1" applyAlignment="1">
      <alignment horizontal="center" vertical="top" wrapText="1"/>
    </xf>
    <xf numFmtId="0" fontId="89" fillId="11" borderId="47" xfId="80" applyFont="1" applyFill="1" applyBorder="1" applyAlignment="1">
      <alignment horizontal="center" vertical="top" wrapText="1"/>
    </xf>
    <xf numFmtId="167" fontId="89" fillId="11" borderId="47" xfId="77" applyNumberFormat="1" applyFont="1" applyFill="1" applyBorder="1" applyAlignment="1">
      <alignment horizontal="center" vertical="top" wrapText="1"/>
    </xf>
    <xf numFmtId="0" fontId="64" fillId="0" borderId="0" xfId="75" applyNumberFormat="1" applyFont="1" applyFill="1" applyAlignment="1">
      <alignment horizontal="center" vertical="top"/>
    </xf>
    <xf numFmtId="0" fontId="74" fillId="0" borderId="0" xfId="73" applyFont="1" applyAlignment="1">
      <alignment vertical="top" wrapText="1"/>
    </xf>
    <xf numFmtId="1" fontId="64" fillId="0" borderId="0" xfId="73" applyNumberFormat="1" applyFont="1"/>
    <xf numFmtId="167" fontId="64" fillId="0" borderId="0" xfId="77" applyNumberFormat="1" applyFont="1" applyFill="1"/>
    <xf numFmtId="1" fontId="65" fillId="0" borderId="0" xfId="73" applyNumberFormat="1" applyFont="1"/>
    <xf numFmtId="167" fontId="65" fillId="0" borderId="0" xfId="77" applyNumberFormat="1" applyFont="1" applyFill="1"/>
    <xf numFmtId="0" fontId="65" fillId="0" borderId="0" xfId="77" applyNumberFormat="1" applyFont="1" applyFill="1" applyAlignment="1"/>
    <xf numFmtId="0" fontId="65" fillId="0" borderId="0" xfId="77" applyNumberFormat="1" applyFont="1" applyFill="1" applyAlignment="1">
      <alignment horizontal="left"/>
    </xf>
    <xf numFmtId="167" fontId="65" fillId="0" borderId="0" xfId="77" applyNumberFormat="1" applyFont="1" applyFill="1" applyAlignment="1">
      <alignment horizontal="left"/>
    </xf>
    <xf numFmtId="0" fontId="64" fillId="0" borderId="0" xfId="73" applyFont="1"/>
    <xf numFmtId="0" fontId="64" fillId="0" borderId="0" xfId="73" applyFont="1" applyAlignment="1">
      <alignment horizontal="left"/>
    </xf>
    <xf numFmtId="167" fontId="64" fillId="0" borderId="0" xfId="77" applyNumberFormat="1" applyFont="1" applyFill="1" applyAlignment="1" applyProtection="1">
      <alignment horizontal="left"/>
    </xf>
    <xf numFmtId="0" fontId="64" fillId="0" borderId="0" xfId="73" applyFont="1" applyAlignment="1">
      <alignment vertical="top" wrapText="1"/>
    </xf>
    <xf numFmtId="0" fontId="64" fillId="0" borderId="0" xfId="77" applyNumberFormat="1" applyFont="1" applyFill="1" applyAlignment="1"/>
    <xf numFmtId="0" fontId="92" fillId="0" borderId="0" xfId="75" applyNumberFormat="1" applyFont="1" applyFill="1" applyAlignment="1">
      <alignment vertical="top"/>
    </xf>
    <xf numFmtId="0" fontId="93" fillId="0" borderId="0" xfId="73" applyFont="1" applyAlignment="1">
      <alignment horizontal="justify" vertical="top"/>
    </xf>
    <xf numFmtId="0" fontId="93" fillId="0" borderId="0" xfId="73" applyFont="1" applyAlignment="1">
      <alignment horizontal="center" vertical="top"/>
    </xf>
    <xf numFmtId="0" fontId="64" fillId="0" borderId="0" xfId="73" applyFont="1" applyAlignment="1">
      <alignment horizontal="right" vertical="top" wrapText="1"/>
    </xf>
    <xf numFmtId="167" fontId="65" fillId="0" borderId="0" xfId="77" applyNumberFormat="1" applyFont="1" applyFill="1" applyAlignment="1">
      <alignment vertical="top"/>
    </xf>
    <xf numFmtId="167" fontId="64" fillId="0" borderId="0" xfId="77" applyNumberFormat="1" applyFont="1" applyFill="1" applyAlignment="1">
      <alignment vertical="top"/>
    </xf>
    <xf numFmtId="1" fontId="65" fillId="0" borderId="0" xfId="73" applyNumberFormat="1" applyFont="1" applyAlignment="1">
      <alignment horizontal="right" vertical="top"/>
    </xf>
    <xf numFmtId="1" fontId="64" fillId="0" borderId="0" xfId="73" applyNumberFormat="1" applyFont="1" applyAlignment="1">
      <alignment horizontal="right" vertical="top"/>
    </xf>
    <xf numFmtId="0" fontId="65" fillId="0" borderId="0" xfId="77" applyNumberFormat="1" applyFont="1" applyFill="1" applyAlignment="1">
      <alignment vertical="top"/>
    </xf>
    <xf numFmtId="0" fontId="65" fillId="0" borderId="0" xfId="77" applyNumberFormat="1" applyFont="1" applyFill="1" applyAlignment="1">
      <alignment horizontal="left" vertical="top"/>
    </xf>
    <xf numFmtId="167" fontId="65" fillId="0" borderId="0" xfId="77" applyNumberFormat="1" applyFont="1" applyFill="1" applyAlignment="1">
      <alignment horizontal="left" vertical="top"/>
    </xf>
    <xf numFmtId="0" fontId="65" fillId="0" borderId="0" xfId="77" applyNumberFormat="1" applyFont="1" applyFill="1" applyAlignment="1">
      <alignment horizontal="right" vertical="top"/>
    </xf>
    <xf numFmtId="167" fontId="64" fillId="0" borderId="0" xfId="77" applyNumberFormat="1" applyFont="1" applyFill="1" applyAlignment="1" applyProtection="1">
      <alignment horizontal="left" vertical="top"/>
    </xf>
    <xf numFmtId="0" fontId="64" fillId="0" borderId="0" xfId="77" applyNumberFormat="1" applyFont="1" applyFill="1" applyAlignment="1">
      <alignment horizontal="right" vertical="top"/>
    </xf>
    <xf numFmtId="0" fontId="77" fillId="0" borderId="0" xfId="73" applyFont="1" applyAlignment="1">
      <alignment horizontal="right" vertical="top"/>
    </xf>
    <xf numFmtId="0" fontId="76" fillId="0" borderId="3" xfId="76" applyFont="1" applyBorder="1" applyAlignment="1">
      <alignment vertical="center" wrapText="1"/>
    </xf>
    <xf numFmtId="0" fontId="76" fillId="0" borderId="25" xfId="76" applyFont="1" applyBorder="1" applyAlignment="1">
      <alignment vertical="center" wrapText="1"/>
    </xf>
    <xf numFmtId="0" fontId="76" fillId="0" borderId="4" xfId="76" applyFont="1" applyBorder="1" applyAlignment="1">
      <alignment vertical="center" wrapText="1"/>
    </xf>
    <xf numFmtId="0" fontId="75" fillId="0" borderId="0" xfId="76" applyFont="1" applyAlignment="1">
      <alignment horizontal="left" vertical="top" wrapText="1"/>
    </xf>
    <xf numFmtId="0" fontId="76" fillId="0" borderId="0" xfId="76" applyFont="1" applyAlignment="1">
      <alignment horizontal="left" vertical="top"/>
    </xf>
    <xf numFmtId="0" fontId="76" fillId="0" borderId="0" xfId="76" applyFont="1" applyAlignment="1">
      <alignment horizontal="right" vertical="top"/>
    </xf>
    <xf numFmtId="0" fontId="76" fillId="0" borderId="0" xfId="76" quotePrefix="1" applyFont="1" applyAlignment="1">
      <alignment vertical="top"/>
    </xf>
    <xf numFmtId="0" fontId="77" fillId="0" borderId="0" xfId="76" applyFont="1" applyAlignment="1">
      <alignment horizontal="right" vertical="top"/>
    </xf>
    <xf numFmtId="0" fontId="94" fillId="0" borderId="0" xfId="73" applyFont="1" applyAlignment="1">
      <alignment vertical="top"/>
    </xf>
    <xf numFmtId="178" fontId="75" fillId="0" borderId="0" xfId="76" applyNumberFormat="1" applyFont="1" applyAlignment="1">
      <alignment horizontal="center" vertical="top"/>
    </xf>
    <xf numFmtId="178" fontId="75" fillId="0" borderId="0" xfId="76" applyNumberFormat="1" applyFont="1" applyAlignment="1">
      <alignment horizontal="center" vertical="center"/>
    </xf>
    <xf numFmtId="178" fontId="75" fillId="0" borderId="0" xfId="76" applyNumberFormat="1" applyFont="1" applyAlignment="1">
      <alignment horizontal="right" vertical="top"/>
    </xf>
    <xf numFmtId="178" fontId="75" fillId="0" borderId="0" xfId="76" applyNumberFormat="1" applyFont="1" applyAlignment="1">
      <alignment horizontal="right" vertical="top" wrapText="1"/>
    </xf>
    <xf numFmtId="178" fontId="75" fillId="0" borderId="0" xfId="76" applyNumberFormat="1" applyFont="1" applyAlignment="1">
      <alignment horizontal="right" vertical="center"/>
    </xf>
    <xf numFmtId="0" fontId="76" fillId="0" borderId="0" xfId="76" applyFont="1" applyAlignment="1">
      <alignment horizontal="justify" vertical="top" wrapText="1"/>
    </xf>
    <xf numFmtId="179" fontId="75" fillId="0" borderId="0" xfId="1" applyNumberFormat="1" applyFont="1" applyAlignment="1">
      <alignment horizontal="center" vertical="top"/>
    </xf>
    <xf numFmtId="0" fontId="55" fillId="0" borderId="0" xfId="76" applyFont="1" applyAlignment="1">
      <alignment horizontal="left" vertical="top" wrapText="1"/>
    </xf>
    <xf numFmtId="0" fontId="54" fillId="0" borderId="47" xfId="76" applyFont="1" applyBorder="1" applyAlignment="1">
      <alignment horizontal="left" vertical="top" wrapText="1"/>
    </xf>
    <xf numFmtId="0" fontId="75" fillId="0" borderId="47" xfId="76" applyFont="1" applyBorder="1" applyAlignment="1">
      <alignment horizontal="left" vertical="top" wrapText="1"/>
    </xf>
    <xf numFmtId="0" fontId="55" fillId="0" borderId="0" xfId="76" applyFont="1" applyAlignment="1">
      <alignment horizontal="center" vertical="top" wrapText="1"/>
    </xf>
    <xf numFmtId="49" fontId="55" fillId="0" borderId="0" xfId="76" applyNumberFormat="1" applyFont="1" applyAlignment="1">
      <alignment horizontal="left" vertical="top" wrapText="1"/>
    </xf>
    <xf numFmtId="2" fontId="36" fillId="9" borderId="0" xfId="73" applyNumberFormat="1" applyFont="1" applyFill="1" applyAlignment="1" applyProtection="1">
      <alignment horizontal="left" vertical="top"/>
      <protection locked="0"/>
    </xf>
    <xf numFmtId="0" fontId="76" fillId="0" borderId="0" xfId="76" applyFont="1" applyAlignment="1">
      <alignment horizontal="left" vertical="center" wrapText="1"/>
    </xf>
    <xf numFmtId="0" fontId="75" fillId="0" borderId="0" xfId="76" applyFont="1" applyAlignment="1">
      <alignment horizontal="center" vertical="center" wrapText="1"/>
    </xf>
    <xf numFmtId="167" fontId="75" fillId="0" borderId="0" xfId="77" applyNumberFormat="1" applyFont="1" applyFill="1" applyBorder="1" applyAlignment="1">
      <alignment horizontal="left" vertical="center" wrapText="1"/>
    </xf>
    <xf numFmtId="0" fontId="76" fillId="0" borderId="0" xfId="76" applyFont="1" applyAlignment="1">
      <alignment vertical="center" wrapText="1"/>
    </xf>
    <xf numFmtId="0" fontId="76" fillId="0" borderId="5" xfId="76" applyFont="1" applyBorder="1" applyAlignment="1">
      <alignment vertical="center" wrapText="1"/>
    </xf>
    <xf numFmtId="0" fontId="76" fillId="0" borderId="2" xfId="76" applyFont="1" applyBorder="1" applyAlignment="1">
      <alignment vertical="center" wrapText="1"/>
    </xf>
    <xf numFmtId="0" fontId="76" fillId="0" borderId="0" xfId="76" applyFont="1" applyAlignment="1">
      <alignment horizontal="center" vertical="center" wrapText="1"/>
    </xf>
    <xf numFmtId="49" fontId="76" fillId="0" borderId="0" xfId="76" applyNumberFormat="1" applyFont="1" applyAlignment="1">
      <alignment vertical="top"/>
    </xf>
    <xf numFmtId="0" fontId="76" fillId="5" borderId="0" xfId="76" applyFont="1" applyFill="1" applyAlignment="1">
      <alignment vertical="top"/>
    </xf>
    <xf numFmtId="0" fontId="76" fillId="5" borderId="0" xfId="76" applyFont="1" applyFill="1" applyAlignment="1">
      <alignment horizontal="left" vertical="top" wrapText="1"/>
    </xf>
    <xf numFmtId="167" fontId="76" fillId="0" borderId="0" xfId="77" applyNumberFormat="1" applyFont="1" applyFill="1" applyBorder="1" applyAlignment="1">
      <alignment horizontal="center" vertical="center"/>
    </xf>
    <xf numFmtId="0" fontId="75" fillId="0" borderId="0" xfId="76" applyFont="1" applyAlignment="1">
      <alignment horizontal="center" vertical="center"/>
    </xf>
    <xf numFmtId="167" fontId="76" fillId="0" borderId="0" xfId="77" applyNumberFormat="1" applyFont="1" applyFill="1" applyBorder="1" applyAlignment="1">
      <alignment horizontal="center" vertical="top"/>
    </xf>
    <xf numFmtId="167" fontId="75" fillId="0" borderId="47" xfId="77" applyNumberFormat="1" applyFont="1" applyFill="1" applyBorder="1" applyAlignment="1">
      <alignment horizontal="center" vertical="center" wrapText="1"/>
    </xf>
    <xf numFmtId="167" fontId="76" fillId="0" borderId="47" xfId="77" applyNumberFormat="1" applyFont="1" applyFill="1" applyBorder="1" applyAlignment="1">
      <alignment horizontal="center" vertical="center"/>
    </xf>
    <xf numFmtId="178" fontId="75" fillId="0" borderId="0" xfId="76" applyNumberFormat="1" applyFont="1" applyAlignment="1">
      <alignment horizontal="left" vertical="top"/>
    </xf>
    <xf numFmtId="1" fontId="76" fillId="0" borderId="0" xfId="76" applyNumberFormat="1" applyFont="1" applyAlignment="1">
      <alignment vertical="top"/>
    </xf>
    <xf numFmtId="0" fontId="75" fillId="0" borderId="0" xfId="76" applyFont="1" applyAlignment="1">
      <alignment horizontal="center" vertical="top" wrapText="1"/>
    </xf>
    <xf numFmtId="2" fontId="76" fillId="0" borderId="0" xfId="76" applyNumberFormat="1" applyFont="1" applyAlignment="1">
      <alignment horizontal="left" vertical="top" wrapText="1"/>
    </xf>
    <xf numFmtId="0" fontId="75" fillId="0" borderId="47" xfId="76" applyFont="1" applyBorder="1" applyAlignment="1">
      <alignment horizontal="center" vertical="top" wrapText="1"/>
    </xf>
    <xf numFmtId="0" fontId="85" fillId="13" borderId="47" xfId="0" applyFont="1" applyFill="1" applyBorder="1" applyAlignment="1">
      <alignment horizontal="center" vertical="center" wrapText="1"/>
    </xf>
    <xf numFmtId="0" fontId="85" fillId="13" borderId="47" xfId="0" applyFont="1" applyFill="1" applyBorder="1" applyAlignment="1">
      <alignment vertical="center" wrapText="1"/>
    </xf>
    <xf numFmtId="0" fontId="84" fillId="0" borderId="47" xfId="0" applyFont="1" applyBorder="1" applyAlignment="1">
      <alignment vertical="center" wrapText="1"/>
    </xf>
    <xf numFmtId="0" fontId="36" fillId="0" borderId="0" xfId="73" applyFont="1" applyAlignment="1" applyProtection="1">
      <alignment horizontal="left" vertical="top"/>
      <protection locked="0"/>
    </xf>
    <xf numFmtId="14" fontId="36" fillId="9" borderId="0" xfId="73" applyNumberFormat="1" applyFont="1" applyFill="1" applyAlignment="1" applyProtection="1">
      <alignment vertical="top"/>
      <protection locked="0"/>
    </xf>
    <xf numFmtId="0" fontId="39" fillId="0" borderId="27" xfId="0" applyFont="1" applyBorder="1" applyAlignment="1">
      <alignment vertical="top"/>
    </xf>
    <xf numFmtId="0" fontId="38" fillId="0" borderId="25" xfId="0" applyFont="1" applyBorder="1" applyAlignment="1">
      <alignment horizontal="center" vertical="top"/>
    </xf>
    <xf numFmtId="0" fontId="38" fillId="0" borderId="27" xfId="0" applyFont="1" applyBorder="1" applyAlignment="1">
      <alignment horizontal="left" vertical="top"/>
    </xf>
    <xf numFmtId="49" fontId="64" fillId="0" borderId="47" xfId="73" applyNumberFormat="1" applyFont="1" applyBorder="1" applyAlignment="1">
      <alignment horizontal="center" vertical="top" wrapText="1"/>
    </xf>
    <xf numFmtId="0" fontId="64" fillId="0" borderId="50" xfId="73" applyFont="1" applyBorder="1" applyAlignment="1">
      <alignment horizontal="center" vertical="top" wrapText="1"/>
    </xf>
    <xf numFmtId="167" fontId="64" fillId="0" borderId="47" xfId="77" applyNumberFormat="1" applyFont="1" applyFill="1" applyBorder="1" applyAlignment="1">
      <alignment vertical="top" wrapText="1"/>
    </xf>
    <xf numFmtId="49" fontId="64" fillId="0" borderId="50" xfId="73" applyNumberFormat="1" applyFont="1" applyBorder="1" applyAlignment="1">
      <alignment horizontal="center" vertical="top" wrapText="1"/>
    </xf>
    <xf numFmtId="1" fontId="36" fillId="0" borderId="0" xfId="73" applyNumberFormat="1" applyFont="1" applyAlignment="1">
      <alignment horizontal="center" vertical="top"/>
    </xf>
    <xf numFmtId="0" fontId="36" fillId="0" borderId="0" xfId="73" applyFont="1" applyAlignment="1">
      <alignment horizontal="right" vertical="top"/>
    </xf>
    <xf numFmtId="0" fontId="37" fillId="0" borderId="0" xfId="73" applyFont="1" applyAlignment="1">
      <alignment vertical="top"/>
    </xf>
    <xf numFmtId="0" fontId="35" fillId="0" borderId="0" xfId="73" applyFont="1" applyAlignment="1">
      <alignment horizontal="left" vertical="top"/>
    </xf>
    <xf numFmtId="0" fontId="36" fillId="0" borderId="0" xfId="73" applyFont="1" applyAlignment="1">
      <alignment horizontal="left" vertical="top" wrapText="1"/>
    </xf>
    <xf numFmtId="0" fontId="35" fillId="0" borderId="0" xfId="73" applyFont="1" applyAlignment="1">
      <alignment horizontal="right" vertical="top"/>
    </xf>
    <xf numFmtId="0" fontId="36" fillId="0" borderId="0" xfId="73" applyFont="1" applyAlignment="1">
      <alignment horizontal="justify" vertical="top"/>
    </xf>
    <xf numFmtId="49" fontId="36" fillId="0" borderId="0" xfId="73" applyNumberFormat="1" applyFont="1" applyAlignment="1">
      <alignment horizontal="center" vertical="top"/>
    </xf>
    <xf numFmtId="0" fontId="36" fillId="0" borderId="0" xfId="73" applyFont="1" applyAlignment="1">
      <alignment horizontal="justify" vertical="top" wrapText="1"/>
    </xf>
    <xf numFmtId="49" fontId="37" fillId="0" borderId="0" xfId="73" applyNumberFormat="1" applyFont="1" applyAlignment="1">
      <alignment horizontal="left" vertical="top"/>
    </xf>
    <xf numFmtId="49" fontId="35" fillId="0" borderId="0" xfId="73" applyNumberFormat="1" applyFont="1" applyAlignment="1">
      <alignment horizontal="left" vertical="top"/>
    </xf>
    <xf numFmtId="0" fontId="35" fillId="0" borderId="47" xfId="73" applyFont="1" applyBorder="1" applyAlignment="1">
      <alignment horizontal="center" vertical="top"/>
    </xf>
    <xf numFmtId="0" fontId="35" fillId="0" borderId="47" xfId="73" applyFont="1" applyBorder="1" applyAlignment="1">
      <alignment horizontal="center" vertical="top" wrapText="1"/>
    </xf>
    <xf numFmtId="167" fontId="36" fillId="0" borderId="47" xfId="77" applyNumberFormat="1" applyFont="1" applyBorder="1" applyAlignment="1">
      <alignment horizontal="center" vertical="top"/>
    </xf>
    <xf numFmtId="10" fontId="36" fillId="0" borderId="47" xfId="79" applyNumberFormat="1" applyFont="1" applyBorder="1" applyAlignment="1">
      <alignment vertical="top"/>
    </xf>
    <xf numFmtId="167" fontId="36" fillId="0" borderId="47" xfId="77" applyNumberFormat="1" applyFont="1" applyBorder="1" applyAlignment="1">
      <alignment vertical="top"/>
    </xf>
    <xf numFmtId="0" fontId="35" fillId="0" borderId="0" xfId="73" applyFont="1" applyAlignment="1">
      <alignment vertical="top"/>
    </xf>
    <xf numFmtId="49" fontId="36" fillId="0" borderId="0" xfId="73" applyNumberFormat="1" applyFont="1" applyAlignment="1">
      <alignment horizontal="justify" vertical="top"/>
    </xf>
    <xf numFmtId="49" fontId="36" fillId="0" borderId="0" xfId="73" applyNumberFormat="1" applyFont="1" applyAlignment="1">
      <alignment horizontal="left" vertical="top"/>
    </xf>
    <xf numFmtId="49" fontId="35" fillId="0" borderId="47" xfId="73" applyNumberFormat="1" applyFont="1" applyBorder="1" applyAlignment="1">
      <alignment horizontal="center" vertical="top"/>
    </xf>
    <xf numFmtId="49" fontId="35" fillId="0" borderId="0" xfId="73" applyNumberFormat="1" applyFont="1" applyAlignment="1">
      <alignment horizontal="justify" vertical="top"/>
    </xf>
    <xf numFmtId="0" fontId="36" fillId="0" borderId="0" xfId="73" applyFont="1" applyAlignment="1">
      <alignment horizontal="left" vertical="top"/>
    </xf>
    <xf numFmtId="1" fontId="36" fillId="0" borderId="0" xfId="73" applyNumberFormat="1" applyFont="1" applyAlignment="1">
      <alignment horizontal="left" vertical="top"/>
    </xf>
    <xf numFmtId="1" fontId="35" fillId="0" borderId="0" xfId="73" applyNumberFormat="1" applyFont="1" applyAlignment="1">
      <alignment horizontal="left" vertical="top"/>
    </xf>
    <xf numFmtId="0" fontId="35" fillId="0" borderId="0" xfId="73" applyFont="1" applyAlignment="1">
      <alignment horizontal="center" vertical="top"/>
    </xf>
    <xf numFmtId="49" fontId="36" fillId="5" borderId="47" xfId="73" applyNumberFormat="1" applyFont="1" applyFill="1" applyBorder="1" applyAlignment="1">
      <alignment horizontal="center" vertical="top"/>
    </xf>
    <xf numFmtId="0" fontId="36" fillId="5" borderId="47" xfId="73" applyFont="1" applyFill="1" applyBorder="1" applyAlignment="1">
      <alignment horizontal="center" vertical="top"/>
    </xf>
    <xf numFmtId="0" fontId="36" fillId="5" borderId="47" xfId="73" applyFont="1" applyFill="1" applyBorder="1" applyAlignment="1">
      <alignment horizontal="center" vertical="top" wrapText="1"/>
    </xf>
    <xf numFmtId="0" fontId="36" fillId="0" borderId="5" xfId="73" applyFont="1" applyBorder="1" applyAlignment="1">
      <alignment horizontal="left" vertical="top"/>
    </xf>
    <xf numFmtId="0" fontId="36" fillId="0" borderId="2" xfId="73" applyFont="1" applyBorder="1" applyAlignment="1">
      <alignment horizontal="left" vertical="top"/>
    </xf>
    <xf numFmtId="164" fontId="36" fillId="0" borderId="5" xfId="77" applyFont="1" applyBorder="1" applyAlignment="1">
      <alignment horizontal="center" vertical="top"/>
    </xf>
    <xf numFmtId="164" fontId="36" fillId="0" borderId="0" xfId="77" applyFont="1" applyBorder="1" applyAlignment="1">
      <alignment horizontal="center" vertical="top"/>
    </xf>
    <xf numFmtId="164" fontId="36" fillId="0" borderId="2" xfId="77" applyFont="1" applyBorder="1" applyAlignment="1">
      <alignment horizontal="center" vertical="top"/>
    </xf>
    <xf numFmtId="0" fontId="36" fillId="0" borderId="2" xfId="73" applyFont="1" applyBorder="1" applyAlignment="1">
      <alignment vertical="top"/>
    </xf>
    <xf numFmtId="0" fontId="36" fillId="0" borderId="5" xfId="73" applyFont="1" applyBorder="1" applyAlignment="1">
      <alignment vertical="top"/>
    </xf>
    <xf numFmtId="0" fontId="36" fillId="0" borderId="3" xfId="73" applyFont="1" applyBorder="1" applyAlignment="1">
      <alignment vertical="top"/>
    </xf>
    <xf numFmtId="0" fontId="36" fillId="0" borderId="25" xfId="73" applyFont="1" applyBorder="1" applyAlignment="1">
      <alignment vertical="top"/>
    </xf>
    <xf numFmtId="0" fontId="36" fillId="0" borderId="4" xfId="73" applyFont="1" applyBorder="1" applyAlignment="1">
      <alignment vertical="top"/>
    </xf>
    <xf numFmtId="0" fontId="36" fillId="0" borderId="0" xfId="73" applyFont="1" applyAlignment="1">
      <alignment horizontal="center" vertical="top" wrapText="1"/>
    </xf>
    <xf numFmtId="0" fontId="35" fillId="0" borderId="49" xfId="73" applyFont="1" applyBorder="1" applyAlignment="1">
      <alignment horizontal="center" vertical="top" wrapText="1"/>
    </xf>
    <xf numFmtId="49" fontId="36" fillId="0" borderId="0" xfId="73" applyNumberFormat="1" applyFont="1" applyAlignment="1">
      <alignment horizontal="center" vertical="top" wrapText="1"/>
    </xf>
    <xf numFmtId="0" fontId="36" fillId="5" borderId="47" xfId="73" applyFont="1" applyFill="1" applyBorder="1" applyAlignment="1">
      <alignment vertical="top"/>
    </xf>
    <xf numFmtId="9" fontId="36" fillId="5" borderId="47" xfId="79" applyFont="1" applyFill="1" applyBorder="1" applyAlignment="1">
      <alignment horizontal="center" vertical="top"/>
    </xf>
    <xf numFmtId="164" fontId="36" fillId="5" borderId="47" xfId="77" applyFont="1" applyFill="1" applyBorder="1" applyAlignment="1">
      <alignment horizontal="center" vertical="top"/>
    </xf>
    <xf numFmtId="0" fontId="36" fillId="0" borderId="0" xfId="73" quotePrefix="1" applyFont="1" applyAlignment="1">
      <alignment horizontal="center" vertical="top"/>
    </xf>
    <xf numFmtId="0" fontId="37" fillId="0" borderId="0" xfId="73" applyFont="1" applyAlignment="1">
      <alignment vertical="top" wrapText="1"/>
    </xf>
    <xf numFmtId="1" fontId="36" fillId="0" borderId="0" xfId="73" applyNumberFormat="1" applyFont="1"/>
    <xf numFmtId="167" fontId="36" fillId="0" borderId="0" xfId="77" applyNumberFormat="1" applyFont="1" applyFill="1"/>
    <xf numFmtId="1" fontId="35" fillId="0" borderId="0" xfId="73" applyNumberFormat="1" applyFont="1"/>
    <xf numFmtId="167" fontId="35" fillId="0" borderId="0" xfId="77" applyNumberFormat="1" applyFont="1" applyFill="1"/>
    <xf numFmtId="0" fontId="35" fillId="0" borderId="0" xfId="77" applyNumberFormat="1" applyFont="1" applyFill="1" applyAlignment="1"/>
    <xf numFmtId="0" fontId="35" fillId="0" borderId="0" xfId="77" applyNumberFormat="1" applyFont="1" applyFill="1" applyAlignment="1">
      <alignment horizontal="left"/>
    </xf>
    <xf numFmtId="167" fontId="35" fillId="0" borderId="0" xfId="77" applyNumberFormat="1" applyFont="1" applyFill="1" applyAlignment="1">
      <alignment horizontal="left"/>
    </xf>
    <xf numFmtId="0" fontId="36" fillId="0" borderId="0" xfId="73" applyFont="1"/>
    <xf numFmtId="0" fontId="36" fillId="0" borderId="0" xfId="73" applyFont="1" applyAlignment="1">
      <alignment horizontal="left"/>
    </xf>
    <xf numFmtId="167" fontId="36" fillId="0" borderId="0" xfId="77" applyNumberFormat="1" applyFont="1" applyFill="1" applyAlignment="1" applyProtection="1">
      <alignment horizontal="left"/>
    </xf>
    <xf numFmtId="49" fontId="36" fillId="9" borderId="0" xfId="73" applyNumberFormat="1" applyFont="1" applyFill="1" applyAlignment="1" applyProtection="1">
      <alignment vertical="top"/>
      <protection locked="0"/>
    </xf>
    <xf numFmtId="49" fontId="4" fillId="9" borderId="0" xfId="48" applyNumberFormat="1" applyFill="1" applyAlignment="1" applyProtection="1">
      <alignment horizontal="left" vertical="top"/>
      <protection locked="0"/>
    </xf>
    <xf numFmtId="49" fontId="4" fillId="9" borderId="0" xfId="48" applyNumberFormat="1" applyFill="1" applyAlignment="1" applyProtection="1">
      <alignment vertical="top" wrapText="1"/>
      <protection locked="0"/>
    </xf>
    <xf numFmtId="0" fontId="36" fillId="0" borderId="5" xfId="0" applyFont="1" applyBorder="1" applyAlignment="1">
      <alignment vertical="top" wrapText="1"/>
    </xf>
    <xf numFmtId="0" fontId="39" fillId="0" borderId="48" xfId="0" applyFont="1" applyBorder="1"/>
    <xf numFmtId="164" fontId="36" fillId="0" borderId="1" xfId="75" applyFont="1" applyFill="1" applyBorder="1" applyAlignment="1"/>
    <xf numFmtId="164" fontId="36" fillId="0" borderId="1" xfId="75" applyFont="1" applyFill="1" applyBorder="1"/>
    <xf numFmtId="164" fontId="36" fillId="0" borderId="48" xfId="75" applyFont="1" applyFill="1" applyBorder="1"/>
    <xf numFmtId="164" fontId="36" fillId="0" borderId="1" xfId="75" applyFont="1" applyFill="1" applyBorder="1" applyAlignment="1">
      <alignment horizontal="right"/>
    </xf>
    <xf numFmtId="164" fontId="39" fillId="0" borderId="1" xfId="75" applyFont="1" applyFill="1" applyBorder="1" applyAlignment="1">
      <alignment vertical="top" wrapText="1"/>
    </xf>
    <xf numFmtId="10" fontId="39" fillId="0" borderId="1" xfId="1" applyNumberFormat="1" applyFont="1" applyFill="1" applyBorder="1" applyAlignment="1">
      <alignment vertical="top" wrapText="1"/>
    </xf>
    <xf numFmtId="10" fontId="39" fillId="0" borderId="1" xfId="75" applyNumberFormat="1" applyFont="1" applyFill="1" applyBorder="1" applyAlignment="1">
      <alignment vertical="top" wrapText="1"/>
    </xf>
    <xf numFmtId="164" fontId="39" fillId="0" borderId="1" xfId="75" applyFont="1" applyFill="1" applyBorder="1"/>
    <xf numFmtId="164" fontId="55" fillId="0" borderId="47" xfId="75" applyFont="1" applyFill="1" applyBorder="1"/>
    <xf numFmtId="0" fontId="39" fillId="0" borderId="5" xfId="0" applyFont="1" applyBorder="1" applyAlignment="1">
      <alignment vertical="top" wrapText="1"/>
    </xf>
    <xf numFmtId="0" fontId="38" fillId="0" borderId="3" xfId="0" applyFont="1" applyBorder="1" applyAlignment="1">
      <alignment horizontal="right" vertical="top" wrapText="1"/>
    </xf>
    <xf numFmtId="164" fontId="38" fillId="0" borderId="4" xfId="1" applyFont="1" applyFill="1" applyBorder="1" applyAlignment="1">
      <alignment vertical="top"/>
    </xf>
    <xf numFmtId="164" fontId="38" fillId="0" borderId="47" xfId="1" applyFont="1" applyFill="1" applyBorder="1" applyAlignment="1">
      <alignment horizontal="center" vertical="center"/>
    </xf>
    <xf numFmtId="164" fontId="36" fillId="0" borderId="48" xfId="1" applyFont="1" applyFill="1" applyBorder="1" applyAlignment="1">
      <alignment horizontal="right" vertical="top"/>
    </xf>
    <xf numFmtId="0" fontId="39" fillId="0" borderId="26" xfId="0" applyFont="1" applyBorder="1" applyAlignment="1">
      <alignment horizontal="left" vertical="top" wrapText="1"/>
    </xf>
    <xf numFmtId="164" fontId="39" fillId="0" borderId="6" xfId="1" applyFont="1" applyFill="1" applyBorder="1" applyAlignment="1">
      <alignment horizontal="right" vertical="top"/>
    </xf>
    <xf numFmtId="164" fontId="39" fillId="0" borderId="48" xfId="75" applyFont="1" applyFill="1" applyBorder="1" applyAlignment="1">
      <alignment vertical="top" wrapText="1"/>
    </xf>
    <xf numFmtId="164" fontId="36" fillId="0" borderId="1" xfId="1" applyFont="1" applyFill="1" applyBorder="1" applyAlignment="1">
      <alignment horizontal="center" vertical="center"/>
    </xf>
    <xf numFmtId="172" fontId="56" fillId="0" borderId="0" xfId="68" applyNumberFormat="1"/>
    <xf numFmtId="164" fontId="36" fillId="0" borderId="48" xfId="1" applyFont="1" applyBorder="1" applyAlignment="1">
      <alignment horizontal="left"/>
    </xf>
    <xf numFmtId="180" fontId="13" fillId="0" borderId="0" xfId="0" applyNumberFormat="1" applyFont="1" applyAlignment="1">
      <alignment vertical="top"/>
    </xf>
    <xf numFmtId="43" fontId="15" fillId="0" borderId="0" xfId="0" applyNumberFormat="1" applyFont="1"/>
    <xf numFmtId="0" fontId="35" fillId="0" borderId="48" xfId="0" applyFont="1" applyBorder="1" applyAlignment="1">
      <alignment horizontal="center" vertical="top" wrapText="1"/>
    </xf>
    <xf numFmtId="10" fontId="0" fillId="5" borderId="0" xfId="71" applyNumberFormat="1" applyFont="1" applyFill="1"/>
    <xf numFmtId="43" fontId="0" fillId="5" borderId="0" xfId="0" applyNumberFormat="1" applyFill="1" applyAlignment="1">
      <alignment vertical="center"/>
    </xf>
    <xf numFmtId="43" fontId="0" fillId="5" borderId="0" xfId="0" applyNumberFormat="1" applyFill="1"/>
    <xf numFmtId="43" fontId="0" fillId="5" borderId="0" xfId="69" applyFont="1" applyFill="1"/>
    <xf numFmtId="0" fontId="0" fillId="5" borderId="0" xfId="0" applyFill="1"/>
    <xf numFmtId="0" fontId="36" fillId="0" borderId="1" xfId="0" applyFont="1" applyBorder="1" applyAlignment="1">
      <alignment horizontal="left" vertical="top" wrapText="1"/>
    </xf>
    <xf numFmtId="0" fontId="35" fillId="0" borderId="49" xfId="0" applyFont="1" applyBorder="1" applyAlignment="1">
      <alignment horizontal="right"/>
    </xf>
    <xf numFmtId="0" fontId="37" fillId="0" borderId="0" xfId="59" applyFont="1" applyAlignment="1">
      <alignment horizontal="center"/>
    </xf>
    <xf numFmtId="164" fontId="35" fillId="0" borderId="47" xfId="1" applyFont="1" applyFill="1" applyBorder="1" applyAlignment="1">
      <alignment horizontal="left" vertical="center"/>
    </xf>
    <xf numFmtId="10" fontId="39" fillId="0" borderId="48" xfId="1" applyNumberFormat="1" applyFont="1" applyFill="1" applyBorder="1"/>
    <xf numFmtId="10" fontId="39" fillId="0" borderId="1" xfId="1" applyNumberFormat="1" applyFont="1" applyFill="1" applyBorder="1"/>
    <xf numFmtId="181" fontId="36" fillId="0" borderId="1" xfId="1" applyNumberFormat="1" applyFont="1" applyFill="1" applyBorder="1"/>
    <xf numFmtId="0" fontId="38" fillId="0" borderId="1" xfId="0" applyFont="1" applyBorder="1" applyAlignment="1">
      <alignment horizontal="left" vertical="top" wrapText="1"/>
    </xf>
    <xf numFmtId="0" fontId="41" fillId="0" borderId="1" xfId="0" applyFont="1" applyBorder="1" applyAlignment="1">
      <alignment vertical="top" wrapText="1"/>
    </xf>
    <xf numFmtId="0" fontId="39" fillId="0" borderId="1" xfId="0" applyFont="1" applyBorder="1" applyAlignment="1">
      <alignment horizontal="left" indent="2"/>
    </xf>
    <xf numFmtId="164" fontId="55" fillId="0" borderId="0" xfId="1" applyFont="1"/>
    <xf numFmtId="172" fontId="55" fillId="0" borderId="0" xfId="1" applyNumberFormat="1" applyFont="1"/>
    <xf numFmtId="0" fontId="39" fillId="0" borderId="1" xfId="0" applyFont="1" applyBorder="1" applyAlignment="1">
      <alignment horizontal="left" indent="3"/>
    </xf>
    <xf numFmtId="0" fontId="30" fillId="0" borderId="0" xfId="60" applyFont="1" applyBorder="1" applyAlignment="1">
      <alignment horizontal="center"/>
    </xf>
    <xf numFmtId="0" fontId="31" fillId="0" borderId="0" xfId="60" applyFont="1" applyBorder="1" applyAlignment="1">
      <alignment horizontal="center"/>
    </xf>
    <xf numFmtId="0" fontId="12" fillId="4" borderId="0" xfId="60" applyFont="1" applyFill="1" applyAlignment="1">
      <alignment horizontal="center"/>
    </xf>
    <xf numFmtId="0" fontId="12" fillId="4" borderId="0" xfId="60" applyFont="1" applyFill="1" applyAlignment="1" applyProtection="1">
      <alignment horizontal="center" vertical="justify" wrapText="1"/>
      <protection locked="0"/>
    </xf>
    <xf numFmtId="0" fontId="35" fillId="10" borderId="0" xfId="73" applyFont="1" applyFill="1" applyAlignment="1" applyProtection="1">
      <alignment horizontal="center" vertical="top"/>
      <protection locked="0"/>
    </xf>
    <xf numFmtId="0" fontId="35" fillId="0" borderId="27" xfId="0" applyFont="1" applyBorder="1" applyAlignment="1">
      <alignment horizontal="center" vertical="top"/>
    </xf>
    <xf numFmtId="0" fontId="35" fillId="0" borderId="6" xfId="0" applyFont="1" applyBorder="1" applyAlignment="1">
      <alignment horizontal="center" vertical="top"/>
    </xf>
    <xf numFmtId="0" fontId="36" fillId="0" borderId="0" xfId="0" applyFont="1" applyAlignment="1">
      <alignment vertical="top" wrapText="1"/>
    </xf>
    <xf numFmtId="0" fontId="36" fillId="0" borderId="2" xfId="0" applyFont="1" applyBorder="1" applyAlignment="1">
      <alignment vertical="top" wrapText="1"/>
    </xf>
    <xf numFmtId="0" fontId="35" fillId="0" borderId="0" xfId="58" applyFont="1" applyAlignment="1">
      <alignment horizontal="center" wrapText="1"/>
    </xf>
    <xf numFmtId="0" fontId="35" fillId="0" borderId="0" xfId="64" applyFont="1" applyAlignment="1">
      <alignment horizontal="left"/>
    </xf>
    <xf numFmtId="0" fontId="38" fillId="0" borderId="0" xfId="0" applyFont="1" applyAlignment="1">
      <alignment horizontal="center" vertical="top"/>
    </xf>
    <xf numFmtId="0" fontId="38" fillId="0" borderId="2" xfId="0" applyFont="1" applyBorder="1" applyAlignment="1">
      <alignment horizontal="center" vertical="top"/>
    </xf>
    <xf numFmtId="0" fontId="38" fillId="0" borderId="0" xfId="0" applyFont="1" applyAlignment="1">
      <alignment vertical="top"/>
    </xf>
    <xf numFmtId="0" fontId="38" fillId="0" borderId="2" xfId="0" applyFont="1" applyBorder="1" applyAlignment="1">
      <alignment vertical="top"/>
    </xf>
    <xf numFmtId="0" fontId="16" fillId="2" borderId="0" xfId="0" applyFont="1" applyFill="1" applyAlignment="1">
      <alignment horizontal="center" vertical="top"/>
    </xf>
    <xf numFmtId="0" fontId="16" fillId="0" borderId="0" xfId="0" applyFont="1" applyAlignment="1">
      <alignment horizontal="center" vertical="top"/>
    </xf>
    <xf numFmtId="0" fontId="39" fillId="0" borderId="0" xfId="0" applyFont="1" applyAlignment="1">
      <alignment horizontal="left" vertical="top" indent="2"/>
    </xf>
    <xf numFmtId="0" fontId="39" fillId="0" borderId="2" xfId="0" applyFont="1" applyBorder="1" applyAlignment="1">
      <alignment horizontal="left" vertical="top" indent="2"/>
    </xf>
    <xf numFmtId="0" fontId="39" fillId="0" borderId="0" xfId="0" applyFont="1" applyAlignment="1">
      <alignment horizontal="left" vertical="top" wrapText="1" indent="2"/>
    </xf>
    <xf numFmtId="0" fontId="39" fillId="0" borderId="2" xfId="0" applyFont="1" applyBorder="1" applyAlignment="1">
      <alignment horizontal="left" vertical="top" wrapText="1" indent="2"/>
    </xf>
    <xf numFmtId="0" fontId="39" fillId="0" borderId="0" xfId="0" applyFont="1" applyAlignment="1">
      <alignment vertical="top"/>
    </xf>
    <xf numFmtId="0" fontId="39" fillId="0" borderId="2" xfId="0" applyFont="1" applyBorder="1" applyAlignment="1">
      <alignment vertical="top"/>
    </xf>
    <xf numFmtId="0" fontId="38" fillId="0" borderId="0" xfId="0" applyFont="1" applyAlignment="1">
      <alignment horizontal="left" vertical="top"/>
    </xf>
    <xf numFmtId="0" fontId="38" fillId="0" borderId="2" xfId="0" applyFont="1" applyBorder="1" applyAlignment="1">
      <alignment horizontal="left" vertical="top"/>
    </xf>
    <xf numFmtId="0" fontId="38" fillId="0" borderId="0" xfId="0" quotePrefix="1" applyFont="1" applyAlignment="1">
      <alignment horizontal="left" vertical="top"/>
    </xf>
    <xf numFmtId="0" fontId="38" fillId="0" borderId="2" xfId="0" quotePrefix="1" applyFont="1" applyBorder="1" applyAlignment="1">
      <alignment horizontal="left" vertical="top"/>
    </xf>
    <xf numFmtId="0" fontId="38" fillId="0" borderId="0" xfId="0" applyFont="1" applyAlignment="1">
      <alignment vertical="top" wrapText="1"/>
    </xf>
    <xf numFmtId="0" fontId="38" fillId="0" borderId="2" xfId="0" applyFont="1" applyBorder="1" applyAlignment="1">
      <alignment vertical="top" wrapText="1"/>
    </xf>
    <xf numFmtId="0" fontId="38" fillId="0" borderId="25" xfId="0" applyFont="1" applyBorder="1" applyAlignment="1">
      <alignment vertical="top" wrapText="1"/>
    </xf>
    <xf numFmtId="0" fontId="38" fillId="0" borderId="4" xfId="0" applyFont="1" applyBorder="1" applyAlignment="1">
      <alignment vertical="top" wrapText="1"/>
    </xf>
    <xf numFmtId="0" fontId="35" fillId="0" borderId="50" xfId="0" applyFont="1" applyBorder="1" applyAlignment="1">
      <alignment horizontal="center"/>
    </xf>
    <xf numFmtId="0" fontId="35" fillId="0" borderId="43" xfId="0" applyFont="1" applyBorder="1" applyAlignment="1">
      <alignment horizontal="center"/>
    </xf>
    <xf numFmtId="0" fontId="35" fillId="0" borderId="52" xfId="0" applyFont="1" applyBorder="1" applyAlignment="1">
      <alignment horizontal="center"/>
    </xf>
    <xf numFmtId="0" fontId="35" fillId="0" borderId="0" xfId="0" applyFont="1" applyAlignment="1">
      <alignment horizontal="center"/>
    </xf>
    <xf numFmtId="0" fontId="35" fillId="0" borderId="26" xfId="0" applyFont="1" applyBorder="1" applyAlignment="1">
      <alignment horizontal="center"/>
    </xf>
    <xf numFmtId="0" fontId="35" fillId="0" borderId="27" xfId="0" applyFont="1" applyBorder="1" applyAlignment="1">
      <alignment horizontal="center"/>
    </xf>
    <xf numFmtId="0" fontId="35" fillId="0" borderId="6" xfId="0" applyFont="1" applyBorder="1" applyAlignment="1">
      <alignment horizontal="center"/>
    </xf>
    <xf numFmtId="0" fontId="65" fillId="0" borderId="0" xfId="0" applyFont="1" applyAlignment="1">
      <alignment horizontal="left"/>
    </xf>
    <xf numFmtId="0" fontId="35" fillId="0" borderId="0" xfId="0" applyFont="1" applyAlignment="1">
      <alignment horizontal="left"/>
    </xf>
    <xf numFmtId="164" fontId="35" fillId="0" borderId="47" xfId="35" applyNumberFormat="1" applyFont="1" applyFill="1" applyBorder="1" applyAlignment="1">
      <alignment horizontal="center" vertical="top" wrapText="1"/>
    </xf>
    <xf numFmtId="0" fontId="38" fillId="0" borderId="0" xfId="0" applyFont="1" applyAlignment="1">
      <alignment horizontal="center"/>
    </xf>
    <xf numFmtId="0" fontId="39" fillId="0" borderId="0" xfId="0" applyFont="1" applyAlignment="1">
      <alignment horizontal="center"/>
    </xf>
    <xf numFmtId="0" fontId="35" fillId="0" borderId="0" xfId="0" applyFont="1" applyAlignment="1">
      <alignment horizontal="left" wrapText="1"/>
    </xf>
    <xf numFmtId="0" fontId="35" fillId="0" borderId="1" xfId="59" applyFont="1" applyBorder="1" applyAlignment="1">
      <alignment horizontal="center" vertical="top"/>
    </xf>
    <xf numFmtId="0" fontId="35" fillId="0" borderId="49" xfId="59" applyFont="1" applyBorder="1" applyAlignment="1">
      <alignment horizontal="center" vertical="top"/>
    </xf>
    <xf numFmtId="176" fontId="35" fillId="0" borderId="1" xfId="59" applyNumberFormat="1" applyFont="1" applyBorder="1" applyAlignment="1">
      <alignment horizontal="center" vertical="top" wrapText="1"/>
    </xf>
    <xf numFmtId="176" fontId="35" fillId="0" borderId="49" xfId="59" applyNumberFormat="1" applyFont="1" applyBorder="1" applyAlignment="1">
      <alignment horizontal="center" vertical="top" wrapText="1"/>
    </xf>
    <xf numFmtId="0" fontId="35" fillId="0" borderId="1" xfId="59" applyFont="1" applyBorder="1" applyAlignment="1">
      <alignment horizontal="center" vertical="top" wrapText="1"/>
    </xf>
    <xf numFmtId="0" fontId="35" fillId="0" borderId="49" xfId="59" applyFont="1" applyBorder="1" applyAlignment="1">
      <alignment horizontal="center" vertical="top" wrapText="1"/>
    </xf>
    <xf numFmtId="0" fontId="35" fillId="0" borderId="50" xfId="59" applyFont="1" applyBorder="1" applyAlignment="1">
      <alignment horizontal="center"/>
    </xf>
    <xf numFmtId="0" fontId="35" fillId="0" borderId="52" xfId="59" applyFont="1" applyBorder="1" applyAlignment="1">
      <alignment horizontal="center"/>
    </xf>
    <xf numFmtId="0" fontId="13" fillId="0" borderId="0" xfId="62" applyFont="1" applyAlignment="1">
      <alignment horizontal="center"/>
    </xf>
    <xf numFmtId="0" fontId="14" fillId="0" borderId="35" xfId="61" applyFont="1" applyBorder="1" applyAlignment="1">
      <alignment horizontal="center"/>
    </xf>
    <xf numFmtId="0" fontId="37" fillId="0" borderId="0" xfId="62" applyFont="1" applyAlignment="1">
      <alignment horizontal="center"/>
    </xf>
    <xf numFmtId="0" fontId="37" fillId="0" borderId="0" xfId="59" applyFont="1" applyAlignment="1">
      <alignment horizontal="center"/>
    </xf>
    <xf numFmtId="0" fontId="35" fillId="0" borderId="43" xfId="59" applyFont="1" applyBorder="1" applyAlignment="1">
      <alignment horizontal="center"/>
    </xf>
    <xf numFmtId="0" fontId="38" fillId="0" borderId="48" xfId="0" applyFont="1" applyBorder="1" applyAlignment="1">
      <alignment horizontal="center" vertical="top"/>
    </xf>
    <xf numFmtId="0" fontId="38" fillId="0" borderId="49" xfId="0" applyFont="1" applyBorder="1" applyAlignment="1">
      <alignment horizontal="center" vertical="top"/>
    </xf>
    <xf numFmtId="0" fontId="38" fillId="0" borderId="47" xfId="0" applyFont="1" applyBorder="1" applyAlignment="1">
      <alignment horizontal="center" vertical="top" wrapText="1"/>
    </xf>
    <xf numFmtId="0" fontId="39" fillId="0" borderId="0" xfId="0" applyFont="1" applyAlignment="1">
      <alignment horizontal="left" vertical="top"/>
    </xf>
    <xf numFmtId="164" fontId="35" fillId="0" borderId="0" xfId="1" applyFont="1" applyFill="1" applyBorder="1" applyAlignment="1" applyProtection="1">
      <alignment horizontal="center" vertical="top" wrapText="1"/>
    </xf>
    <xf numFmtId="0" fontId="35" fillId="0" borderId="47" xfId="0" applyFont="1" applyBorder="1" applyAlignment="1">
      <alignment horizontal="center" vertical="top" wrapText="1"/>
    </xf>
    <xf numFmtId="0" fontId="36" fillId="0" borderId="47" xfId="0" applyFont="1" applyBorder="1" applyAlignment="1">
      <alignment horizontal="center" vertical="top" wrapText="1"/>
    </xf>
    <xf numFmtId="0" fontId="35" fillId="0" borderId="26" xfId="0" applyFont="1" applyBorder="1" applyAlignment="1">
      <alignment horizontal="center" vertical="top" wrapText="1"/>
    </xf>
    <xf numFmtId="0" fontId="36" fillId="0" borderId="3" xfId="0" applyFont="1" applyBorder="1" applyAlignment="1">
      <alignment horizontal="center" vertical="top" wrapText="1"/>
    </xf>
    <xf numFmtId="0" fontId="35" fillId="0" borderId="0" xfId="0" applyFont="1" applyAlignment="1">
      <alignment horizontal="center" vertical="top" wrapText="1"/>
    </xf>
    <xf numFmtId="0" fontId="35" fillId="0" borderId="50" xfId="0" applyFont="1" applyBorder="1" applyAlignment="1">
      <alignment horizontal="center" vertical="top" wrapText="1"/>
    </xf>
    <xf numFmtId="1" fontId="8" fillId="3" borderId="31" xfId="0" applyNumberFormat="1" applyFont="1" applyFill="1" applyBorder="1" applyAlignment="1">
      <alignment horizontal="center"/>
    </xf>
    <xf numFmtId="1" fontId="8" fillId="3" borderId="33" xfId="0" applyNumberFormat="1" applyFont="1" applyFill="1" applyBorder="1" applyAlignment="1">
      <alignment horizontal="center"/>
    </xf>
    <xf numFmtId="0" fontId="18" fillId="4" borderId="0" xfId="0" applyFont="1" applyFill="1" applyAlignment="1">
      <alignment horizontal="left"/>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center" vertical="top"/>
    </xf>
    <xf numFmtId="0" fontId="0" fillId="0" borderId="0" xfId="0" applyAlignment="1">
      <alignment horizontal="center"/>
    </xf>
    <xf numFmtId="0" fontId="0" fillId="0" borderId="0" xfId="0" applyAlignment="1">
      <alignment horizontal="center" vertical="center"/>
    </xf>
    <xf numFmtId="0" fontId="54" fillId="0" borderId="47" xfId="0" applyFont="1" applyBorder="1" applyAlignment="1">
      <alignment horizontal="center" vertical="center"/>
    </xf>
    <xf numFmtId="0" fontId="54" fillId="0" borderId="47" xfId="0" applyFont="1" applyBorder="1" applyAlignment="1">
      <alignment horizontal="center" vertical="center" wrapText="1"/>
    </xf>
    <xf numFmtId="0" fontId="57" fillId="0" borderId="0" xfId="70" applyAlignment="1">
      <alignment horizontal="center" wrapText="1"/>
    </xf>
    <xf numFmtId="0" fontId="57" fillId="0" borderId="0" xfId="70" applyAlignment="1">
      <alignment horizontal="center"/>
    </xf>
    <xf numFmtId="0" fontId="58" fillId="0" borderId="0" xfId="70" applyFont="1" applyAlignment="1">
      <alignment horizontal="center" wrapText="1"/>
    </xf>
    <xf numFmtId="49" fontId="62" fillId="0" borderId="0" xfId="70" applyNumberFormat="1" applyFont="1" applyAlignment="1">
      <alignment horizontal="center" vertical="top" wrapText="1"/>
    </xf>
    <xf numFmtId="49" fontId="61" fillId="0" borderId="0" xfId="70" applyNumberFormat="1" applyFont="1" applyAlignment="1">
      <alignment horizontal="center" vertical="top" wrapText="1"/>
    </xf>
    <xf numFmtId="0" fontId="35" fillId="0" borderId="0" xfId="70" applyFont="1" applyAlignment="1">
      <alignment horizontal="left" vertical="top" wrapText="1"/>
    </xf>
    <xf numFmtId="49" fontId="60" fillId="0" borderId="0" xfId="70" applyNumberFormat="1" applyFont="1" applyAlignment="1">
      <alignment horizontal="center" vertical="top" wrapText="1"/>
    </xf>
    <xf numFmtId="49" fontId="63" fillId="0" borderId="0" xfId="70" applyNumberFormat="1" applyFont="1" applyAlignment="1">
      <alignment horizontal="center" vertical="top" wrapText="1"/>
    </xf>
    <xf numFmtId="0" fontId="35" fillId="0" borderId="0" xfId="62" applyFont="1" applyAlignment="1">
      <alignment horizontal="center"/>
    </xf>
    <xf numFmtId="0" fontId="36" fillId="0" borderId="0" xfId="62" applyFont="1" applyAlignment="1">
      <alignment horizontal="center"/>
    </xf>
    <xf numFmtId="0" fontId="37" fillId="0" borderId="0" xfId="61" applyFont="1" applyAlignment="1">
      <alignment horizontal="center"/>
    </xf>
    <xf numFmtId="0" fontId="35" fillId="0" borderId="27" xfId="61" applyFont="1" applyBorder="1" applyAlignment="1">
      <alignment horizontal="center"/>
    </xf>
    <xf numFmtId="0" fontId="36" fillId="0" borderId="27" xfId="57" applyFont="1" applyBorder="1" applyAlignment="1">
      <alignment horizontal="center"/>
    </xf>
    <xf numFmtId="0" fontId="76" fillId="0" borderId="0" xfId="76" applyFont="1" applyAlignment="1">
      <alignment horizontal="left" vertical="top" wrapText="1"/>
    </xf>
    <xf numFmtId="0" fontId="75" fillId="0" borderId="0" xfId="76" applyFont="1" applyAlignment="1">
      <alignment horizontal="left" vertical="top" wrapText="1"/>
    </xf>
    <xf numFmtId="0" fontId="75" fillId="0" borderId="47" xfId="76" applyFont="1" applyBorder="1" applyAlignment="1">
      <alignment horizontal="left" vertical="center" wrapText="1"/>
    </xf>
    <xf numFmtId="0" fontId="73" fillId="0" borderId="0" xfId="75" applyNumberFormat="1" applyFont="1" applyFill="1" applyAlignment="1">
      <alignment horizontal="center" vertical="top"/>
    </xf>
    <xf numFmtId="167" fontId="64" fillId="0" borderId="0" xfId="75" applyNumberFormat="1" applyFont="1" applyFill="1" applyAlignment="1">
      <alignment horizontal="center"/>
    </xf>
    <xf numFmtId="0" fontId="76" fillId="0" borderId="0" xfId="76" applyFont="1" applyAlignment="1">
      <alignment horizontal="justify" vertical="top" wrapText="1"/>
    </xf>
    <xf numFmtId="0" fontId="75" fillId="0" borderId="47" xfId="76" applyFont="1" applyBorder="1" applyAlignment="1">
      <alignment horizontal="left" vertical="top" wrapText="1"/>
    </xf>
    <xf numFmtId="0" fontId="36" fillId="0" borderId="27" xfId="76" applyFont="1" applyBorder="1" applyAlignment="1">
      <alignment horizontal="left" vertical="top" wrapText="1"/>
    </xf>
    <xf numFmtId="0" fontId="36" fillId="0" borderId="0" xfId="76" applyFont="1" applyAlignment="1">
      <alignment horizontal="left" vertical="top" wrapText="1"/>
    </xf>
    <xf numFmtId="0" fontId="55" fillId="0" borderId="0" xfId="76" applyFont="1" applyAlignment="1">
      <alignment horizontal="left" vertical="top" wrapText="1"/>
    </xf>
    <xf numFmtId="0" fontId="78" fillId="0" borderId="0" xfId="76" applyFont="1" applyAlignment="1">
      <alignment horizontal="left" vertical="top" wrapText="1"/>
    </xf>
    <xf numFmtId="0" fontId="76" fillId="0" borderId="5" xfId="76" applyFont="1" applyBorder="1" applyAlignment="1">
      <alignment horizontal="left" vertical="center" wrapText="1"/>
    </xf>
    <xf numFmtId="0" fontId="76" fillId="0" borderId="0" xfId="76" applyFont="1" applyAlignment="1">
      <alignment horizontal="left" vertical="center" wrapText="1"/>
    </xf>
    <xf numFmtId="0" fontId="75" fillId="0" borderId="50" xfId="76" applyFont="1" applyBorder="1" applyAlignment="1">
      <alignment horizontal="center" vertical="center" wrapText="1"/>
    </xf>
    <xf numFmtId="0" fontId="75" fillId="0" borderId="43" xfId="76" applyFont="1" applyBorder="1" applyAlignment="1">
      <alignment horizontal="center" vertical="center" wrapText="1"/>
    </xf>
    <xf numFmtId="0" fontId="76" fillId="0" borderId="26" xfId="76" applyFont="1" applyBorder="1" applyAlignment="1">
      <alignment horizontal="left" vertical="center" wrapText="1"/>
    </xf>
    <xf numFmtId="0" fontId="76" fillId="0" borderId="27" xfId="76" applyFont="1" applyBorder="1" applyAlignment="1">
      <alignment horizontal="left" vertical="center" wrapText="1"/>
    </xf>
    <xf numFmtId="0" fontId="75" fillId="0" borderId="52" xfId="76" applyFont="1" applyBorder="1" applyAlignment="1">
      <alignment horizontal="center" vertical="center" wrapText="1"/>
    </xf>
    <xf numFmtId="167" fontId="76" fillId="0" borderId="26" xfId="77" applyNumberFormat="1" applyFont="1" applyFill="1" applyBorder="1" applyAlignment="1">
      <alignment horizontal="left" vertical="center" wrapText="1"/>
    </xf>
    <xf numFmtId="167" fontId="76" fillId="0" borderId="6" xfId="77" applyNumberFormat="1" applyFont="1" applyFill="1" applyBorder="1" applyAlignment="1">
      <alignment horizontal="left" vertical="center" wrapText="1"/>
    </xf>
    <xf numFmtId="167" fontId="76" fillId="0" borderId="5" xfId="77" applyNumberFormat="1" applyFont="1" applyFill="1" applyBorder="1" applyAlignment="1">
      <alignment horizontal="left" vertical="center" wrapText="1"/>
    </xf>
    <xf numFmtId="167" fontId="76" fillId="0" borderId="2" xfId="77" applyNumberFormat="1" applyFont="1" applyFill="1" applyBorder="1" applyAlignment="1">
      <alignment horizontal="left" vertical="center" wrapText="1"/>
    </xf>
    <xf numFmtId="0" fontId="76" fillId="0" borderId="1" xfId="76" applyFont="1" applyBorder="1" applyAlignment="1">
      <alignment horizontal="left" vertical="center" wrapText="1"/>
    </xf>
    <xf numFmtId="0" fontId="76" fillId="0" borderId="2" xfId="76" applyFont="1" applyBorder="1" applyAlignment="1">
      <alignment horizontal="left" vertical="center" wrapText="1"/>
    </xf>
    <xf numFmtId="167" fontId="75" fillId="0" borderId="31" xfId="77" applyNumberFormat="1" applyFont="1" applyFill="1" applyBorder="1" applyAlignment="1">
      <alignment horizontal="left" vertical="center" wrapText="1"/>
    </xf>
    <xf numFmtId="167" fontId="75" fillId="0" borderId="33" xfId="77" applyNumberFormat="1" applyFont="1" applyFill="1" applyBorder="1" applyAlignment="1">
      <alignment horizontal="left" vertical="center" wrapText="1"/>
    </xf>
    <xf numFmtId="0" fontId="76" fillId="0" borderId="0" xfId="76" applyFont="1" applyAlignment="1">
      <alignment vertical="center" wrapText="1"/>
    </xf>
    <xf numFmtId="0" fontId="76" fillId="0" borderId="3" xfId="76" applyFont="1" applyBorder="1" applyAlignment="1">
      <alignment vertical="center" wrapText="1"/>
    </xf>
    <xf numFmtId="0" fontId="76" fillId="0" borderId="25" xfId="76" applyFont="1" applyBorder="1" applyAlignment="1">
      <alignment vertical="center" wrapText="1"/>
    </xf>
    <xf numFmtId="0" fontId="76" fillId="5" borderId="5" xfId="76" applyFont="1" applyFill="1" applyBorder="1" applyAlignment="1">
      <alignment horizontal="left" vertical="center" wrapText="1"/>
    </xf>
    <xf numFmtId="0" fontId="76" fillId="5" borderId="2" xfId="76" applyFont="1" applyFill="1" applyBorder="1" applyAlignment="1">
      <alignment horizontal="left" vertical="center" wrapText="1"/>
    </xf>
    <xf numFmtId="167" fontId="75" fillId="5" borderId="31" xfId="77" applyNumberFormat="1" applyFont="1" applyFill="1" applyBorder="1" applyAlignment="1">
      <alignment horizontal="left" vertical="center" wrapText="1"/>
    </xf>
    <xf numFmtId="167" fontId="75" fillId="5" borderId="33" xfId="77" applyNumberFormat="1" applyFont="1" applyFill="1" applyBorder="1" applyAlignment="1">
      <alignment horizontal="left" vertical="center" wrapText="1"/>
    </xf>
    <xf numFmtId="167" fontId="76" fillId="5" borderId="26" xfId="77" applyNumberFormat="1" applyFont="1" applyFill="1" applyBorder="1" applyAlignment="1">
      <alignment horizontal="left" vertical="center" wrapText="1"/>
    </xf>
    <xf numFmtId="167" fontId="76" fillId="5" borderId="6" xfId="77" applyNumberFormat="1" applyFont="1" applyFill="1" applyBorder="1" applyAlignment="1">
      <alignment horizontal="left" vertical="center" wrapText="1"/>
    </xf>
    <xf numFmtId="0" fontId="75" fillId="0" borderId="50" xfId="76" applyFont="1" applyBorder="1" applyAlignment="1">
      <alignment vertical="center" wrapText="1"/>
    </xf>
    <xf numFmtId="0" fontId="75" fillId="0" borderId="43" xfId="76" applyFont="1" applyBorder="1" applyAlignment="1">
      <alignment vertical="center" wrapText="1"/>
    </xf>
    <xf numFmtId="0" fontId="75" fillId="0" borderId="52" xfId="76" applyFont="1" applyBorder="1" applyAlignment="1">
      <alignment vertical="center" wrapText="1"/>
    </xf>
    <xf numFmtId="0" fontId="76" fillId="0" borderId="5" xfId="76" applyFont="1" applyBorder="1" applyAlignment="1">
      <alignment vertical="center" wrapText="1"/>
    </xf>
    <xf numFmtId="0" fontId="76" fillId="0" borderId="2" xfId="76" applyFont="1" applyBorder="1" applyAlignment="1">
      <alignment vertical="center" wrapText="1"/>
    </xf>
    <xf numFmtId="49" fontId="75" fillId="0" borderId="0" xfId="76" applyNumberFormat="1" applyFont="1" applyAlignment="1">
      <alignment horizontal="center" vertical="center" wrapText="1"/>
    </xf>
    <xf numFmtId="0" fontId="76" fillId="0" borderId="47" xfId="76" applyFont="1" applyBorder="1" applyAlignment="1">
      <alignment horizontal="left" vertical="center" wrapText="1"/>
    </xf>
    <xf numFmtId="167" fontId="76" fillId="0" borderId="47" xfId="77" applyNumberFormat="1" applyFont="1" applyFill="1" applyBorder="1" applyAlignment="1">
      <alignment horizontal="center" vertical="center"/>
    </xf>
    <xf numFmtId="0" fontId="75" fillId="0" borderId="47" xfId="76" applyFont="1" applyBorder="1" applyAlignment="1">
      <alignment horizontal="center" vertical="center"/>
    </xf>
    <xf numFmtId="167" fontId="76" fillId="0" borderId="50" xfId="77" applyNumberFormat="1" applyFont="1" applyFill="1" applyBorder="1" applyAlignment="1">
      <alignment vertical="top"/>
    </xf>
    <xf numFmtId="167" fontId="76" fillId="0" borderId="52" xfId="77" applyNumberFormat="1" applyFont="1" applyFill="1" applyBorder="1" applyAlignment="1">
      <alignment vertical="top"/>
    </xf>
    <xf numFmtId="167" fontId="75" fillId="0" borderId="47" xfId="77" applyNumberFormat="1" applyFont="1" applyFill="1" applyBorder="1" applyAlignment="1">
      <alignment horizontal="center" vertical="center" wrapText="1"/>
    </xf>
    <xf numFmtId="0" fontId="75" fillId="0" borderId="47" xfId="76" applyFont="1" applyBorder="1" applyAlignment="1">
      <alignment vertical="center"/>
    </xf>
    <xf numFmtId="0" fontId="75" fillId="0" borderId="0" xfId="76" applyFont="1" applyAlignment="1">
      <alignment vertical="center" wrapText="1"/>
    </xf>
    <xf numFmtId="167" fontId="75" fillId="0" borderId="50" xfId="77" applyNumberFormat="1" applyFont="1" applyFill="1" applyBorder="1" applyAlignment="1">
      <alignment horizontal="center" vertical="center" wrapText="1"/>
    </xf>
    <xf numFmtId="167" fontId="75" fillId="0" borderId="43" xfId="77" applyNumberFormat="1" applyFont="1" applyFill="1" applyBorder="1" applyAlignment="1">
      <alignment horizontal="center" vertical="center" wrapText="1"/>
    </xf>
    <xf numFmtId="167" fontId="75" fillId="0" borderId="52" xfId="77" applyNumberFormat="1" applyFont="1" applyFill="1" applyBorder="1" applyAlignment="1">
      <alignment horizontal="center" vertical="center" wrapText="1"/>
    </xf>
    <xf numFmtId="167" fontId="76" fillId="0" borderId="43" xfId="77" applyNumberFormat="1" applyFont="1" applyFill="1" applyBorder="1" applyAlignment="1">
      <alignment vertical="top"/>
    </xf>
    <xf numFmtId="167" fontId="76" fillId="0" borderId="50" xfId="77" applyNumberFormat="1" applyFont="1" applyFill="1" applyBorder="1" applyAlignment="1">
      <alignment horizontal="center" vertical="center"/>
    </xf>
    <xf numFmtId="167" fontId="76" fillId="0" borderId="43" xfId="77" applyNumberFormat="1" applyFont="1" applyFill="1" applyBorder="1" applyAlignment="1">
      <alignment horizontal="center" vertical="center"/>
    </xf>
    <xf numFmtId="167" fontId="76" fillId="0" borderId="52" xfId="77" applyNumberFormat="1" applyFont="1" applyFill="1" applyBorder="1" applyAlignment="1">
      <alignment horizontal="center" vertical="center"/>
    </xf>
    <xf numFmtId="0" fontId="76" fillId="0" borderId="50" xfId="76" quotePrefix="1" applyFont="1" applyBorder="1" applyAlignment="1">
      <alignment horizontal="center" vertical="center" wrapText="1"/>
    </xf>
    <xf numFmtId="0" fontId="76" fillId="0" borderId="43" xfId="76" applyFont="1" applyBorder="1" applyAlignment="1">
      <alignment horizontal="center" vertical="center" wrapText="1"/>
    </xf>
    <xf numFmtId="0" fontId="76" fillId="0" borderId="52" xfId="76" applyFont="1" applyBorder="1" applyAlignment="1">
      <alignment horizontal="center" vertical="center" wrapText="1"/>
    </xf>
    <xf numFmtId="0" fontId="76" fillId="0" borderId="25" xfId="76" applyFont="1" applyBorder="1" applyAlignment="1">
      <alignment horizontal="left" vertical="top" wrapText="1"/>
    </xf>
    <xf numFmtId="0" fontId="85" fillId="13" borderId="47" xfId="0" applyFont="1" applyFill="1" applyBorder="1" applyAlignment="1">
      <alignment horizontal="center" vertical="center" wrapText="1"/>
    </xf>
    <xf numFmtId="0" fontId="84" fillId="0" borderId="47" xfId="0" applyFont="1" applyBorder="1" applyAlignment="1">
      <alignment horizontal="center" vertical="center" wrapText="1"/>
    </xf>
    <xf numFmtId="0" fontId="84" fillId="0" borderId="26" xfId="0" applyFont="1" applyBorder="1" applyAlignment="1">
      <alignment horizontal="center" vertical="center" wrapText="1"/>
    </xf>
    <xf numFmtId="0" fontId="84" fillId="0" borderId="27" xfId="0" applyFont="1" applyBorder="1" applyAlignment="1">
      <alignment horizontal="center" vertical="center" wrapText="1"/>
    </xf>
    <xf numFmtId="0" fontId="84" fillId="0" borderId="6" xfId="0" applyFont="1" applyBorder="1" applyAlignment="1">
      <alignment horizontal="center" vertical="center" wrapText="1"/>
    </xf>
    <xf numFmtId="0" fontId="84" fillId="0" borderId="3" xfId="0" applyFont="1" applyBorder="1" applyAlignment="1">
      <alignment horizontal="center" vertical="center" wrapText="1"/>
    </xf>
    <xf numFmtId="0" fontId="84" fillId="0" borderId="25" xfId="0" applyFont="1" applyBorder="1" applyAlignment="1">
      <alignment horizontal="center" vertical="center" wrapText="1"/>
    </xf>
    <xf numFmtId="0" fontId="84" fillId="0" borderId="4" xfId="0" applyFont="1" applyBorder="1" applyAlignment="1">
      <alignment horizontal="center" vertical="center" wrapText="1"/>
    </xf>
    <xf numFmtId="167" fontId="64" fillId="0" borderId="0" xfId="75" applyNumberFormat="1" applyFont="1" applyFill="1" applyAlignment="1">
      <alignment horizontal="center" vertical="top"/>
    </xf>
    <xf numFmtId="0" fontId="74" fillId="0" borderId="0" xfId="73" applyFont="1" applyAlignment="1">
      <alignment horizontal="center" vertical="top"/>
    </xf>
    <xf numFmtId="0" fontId="65" fillId="0" borderId="50" xfId="73" applyFont="1" applyBorder="1" applyAlignment="1">
      <alignment horizontal="center" vertical="center" wrapText="1"/>
    </xf>
    <xf numFmtId="0" fontId="65" fillId="0" borderId="43" xfId="73" applyFont="1" applyBorder="1" applyAlignment="1">
      <alignment horizontal="center" vertical="center" wrapText="1"/>
    </xf>
    <xf numFmtId="0" fontId="37" fillId="0" borderId="0" xfId="75" applyNumberFormat="1" applyFont="1" applyFill="1" applyAlignment="1">
      <alignment horizontal="center" vertical="top"/>
    </xf>
    <xf numFmtId="167" fontId="36" fillId="0" borderId="0" xfId="75" applyNumberFormat="1" applyFont="1" applyFill="1" applyAlignment="1">
      <alignment horizontal="center" vertical="top"/>
    </xf>
    <xf numFmtId="0" fontId="35" fillId="0" borderId="0" xfId="73" applyFont="1" applyAlignment="1">
      <alignment horizontal="left" vertical="top"/>
    </xf>
    <xf numFmtId="0" fontId="40" fillId="0" borderId="0" xfId="73" applyFont="1" applyAlignment="1">
      <alignment horizontal="left" vertical="top"/>
    </xf>
    <xf numFmtId="0" fontId="36" fillId="0" borderId="0" xfId="73" applyFont="1" applyAlignment="1">
      <alignment horizontal="left" vertical="top" wrapText="1"/>
    </xf>
    <xf numFmtId="0" fontId="36" fillId="0" borderId="47" xfId="73" applyFont="1" applyBorder="1" applyAlignment="1">
      <alignment horizontal="center" vertical="top"/>
    </xf>
    <xf numFmtId="0" fontId="36" fillId="0" borderId="0" xfId="73" applyFont="1" applyAlignment="1">
      <alignment horizontal="justify" vertical="top"/>
    </xf>
    <xf numFmtId="0" fontId="35" fillId="0" borderId="0" xfId="73" applyFont="1" applyAlignment="1">
      <alignment horizontal="justify" vertical="top"/>
    </xf>
    <xf numFmtId="0" fontId="36" fillId="0" borderId="0" xfId="73" applyFont="1" applyAlignment="1">
      <alignment horizontal="justify" vertical="top" wrapText="1"/>
    </xf>
    <xf numFmtId="0" fontId="35" fillId="0" borderId="47" xfId="73" applyFont="1" applyBorder="1" applyAlignment="1">
      <alignment horizontal="center" vertical="top"/>
    </xf>
    <xf numFmtId="0" fontId="36" fillId="0" borderId="47" xfId="73" applyFont="1" applyBorder="1" applyAlignment="1">
      <alignment vertical="top"/>
    </xf>
    <xf numFmtId="167" fontId="36" fillId="0" borderId="47" xfId="77" applyNumberFormat="1" applyFont="1" applyBorder="1" applyAlignment="1">
      <alignment horizontal="center" vertical="top"/>
    </xf>
    <xf numFmtId="167" fontId="36" fillId="0" borderId="50" xfId="77" applyNumberFormat="1" applyFont="1" applyBorder="1" applyAlignment="1">
      <alignment horizontal="center" vertical="top"/>
    </xf>
    <xf numFmtId="167" fontId="36" fillId="0" borderId="52" xfId="77" applyNumberFormat="1" applyFont="1" applyBorder="1" applyAlignment="1">
      <alignment horizontal="center" vertical="top"/>
    </xf>
    <xf numFmtId="0" fontId="36" fillId="0" borderId="47" xfId="73" applyFont="1" applyBorder="1" applyAlignment="1">
      <alignment vertical="top" wrapText="1"/>
    </xf>
    <xf numFmtId="49" fontId="36" fillId="0" borderId="0" xfId="73" applyNumberFormat="1" applyFont="1" applyAlignment="1">
      <alignment horizontal="justify" vertical="top"/>
    </xf>
    <xf numFmtId="49" fontId="64" fillId="0" borderId="0" xfId="73" applyNumberFormat="1" applyFont="1" applyAlignment="1">
      <alignment horizontal="justify" vertical="top"/>
    </xf>
    <xf numFmtId="49" fontId="36" fillId="0" borderId="0" xfId="73" applyNumberFormat="1" applyFont="1" applyAlignment="1">
      <alignment horizontal="left" vertical="top" wrapText="1"/>
    </xf>
    <xf numFmtId="49" fontId="36" fillId="0" borderId="0" xfId="73" applyNumberFormat="1" applyFont="1" applyAlignment="1">
      <alignment horizontal="justify" vertical="top" wrapText="1"/>
    </xf>
    <xf numFmtId="49" fontId="35" fillId="0" borderId="47" xfId="73" applyNumberFormat="1" applyFont="1" applyBorder="1" applyAlignment="1">
      <alignment horizontal="left" vertical="top"/>
    </xf>
    <xf numFmtId="167" fontId="35" fillId="0" borderId="47" xfId="77" applyNumberFormat="1" applyFont="1" applyBorder="1" applyAlignment="1">
      <alignment horizontal="center" vertical="top"/>
    </xf>
    <xf numFmtId="49" fontId="35" fillId="0" borderId="47" xfId="73" applyNumberFormat="1" applyFont="1" applyBorder="1" applyAlignment="1">
      <alignment horizontal="center" vertical="top"/>
    </xf>
    <xf numFmtId="0" fontId="35" fillId="0" borderId="47" xfId="73" applyFont="1" applyBorder="1" applyAlignment="1">
      <alignment horizontal="center" vertical="top" wrapText="1"/>
    </xf>
    <xf numFmtId="49" fontId="36" fillId="0" borderId="47" xfId="73" applyNumberFormat="1" applyFont="1" applyBorder="1" applyAlignment="1">
      <alignment horizontal="left" vertical="top"/>
    </xf>
    <xf numFmtId="49" fontId="36" fillId="0" borderId="0" xfId="77" applyNumberFormat="1" applyFont="1" applyBorder="1" applyAlignment="1">
      <alignment horizontal="justify" vertical="top" wrapText="1"/>
    </xf>
    <xf numFmtId="0" fontId="36" fillId="5" borderId="0" xfId="73" applyFont="1" applyFill="1" applyAlignment="1">
      <alignment horizontal="justify" vertical="top" wrapText="1"/>
    </xf>
    <xf numFmtId="0" fontId="36" fillId="5" borderId="0" xfId="73" applyFont="1" applyFill="1" applyAlignment="1">
      <alignment horizontal="justify" vertical="top"/>
    </xf>
    <xf numFmtId="0" fontId="36" fillId="5" borderId="47" xfId="73" applyFont="1" applyFill="1" applyBorder="1" applyAlignment="1">
      <alignment horizontal="center" vertical="top"/>
    </xf>
    <xf numFmtId="49" fontId="35" fillId="5" borderId="47" xfId="73" applyNumberFormat="1" applyFont="1" applyFill="1" applyBorder="1" applyAlignment="1">
      <alignment horizontal="center" vertical="top"/>
    </xf>
    <xf numFmtId="49" fontId="36" fillId="5" borderId="47" xfId="73" applyNumberFormat="1" applyFont="1" applyFill="1" applyBorder="1" applyAlignment="1">
      <alignment horizontal="center" vertical="top"/>
    </xf>
    <xf numFmtId="0" fontId="36" fillId="5" borderId="47" xfId="73" applyFont="1" applyFill="1" applyBorder="1" applyAlignment="1">
      <alignment horizontal="center" vertical="top" wrapText="1"/>
    </xf>
    <xf numFmtId="164" fontId="36" fillId="0" borderId="5" xfId="77" applyFont="1" applyBorder="1" applyAlignment="1">
      <alignment horizontal="center" vertical="top"/>
    </xf>
    <xf numFmtId="164" fontId="36" fillId="0" borderId="0" xfId="77" applyFont="1" applyBorder="1" applyAlignment="1">
      <alignment horizontal="center" vertical="top"/>
    </xf>
    <xf numFmtId="164" fontId="36" fillId="0" borderId="2" xfId="77" applyFont="1" applyBorder="1" applyAlignment="1">
      <alignment horizontal="center" vertical="top"/>
    </xf>
    <xf numFmtId="0" fontId="36" fillId="0" borderId="5" xfId="73" applyFont="1" applyBorder="1" applyAlignment="1">
      <alignment horizontal="left" vertical="top"/>
    </xf>
    <xf numFmtId="0" fontId="36" fillId="0" borderId="0" xfId="73" applyFont="1" applyAlignment="1">
      <alignment horizontal="left" vertical="top"/>
    </xf>
    <xf numFmtId="0" fontId="36" fillId="0" borderId="2" xfId="73" applyFont="1" applyBorder="1" applyAlignment="1">
      <alignment horizontal="left" vertical="top"/>
    </xf>
    <xf numFmtId="0" fontId="36" fillId="0" borderId="5" xfId="73" applyFont="1" applyBorder="1" applyAlignment="1">
      <alignment horizontal="left" vertical="top" wrapText="1"/>
    </xf>
    <xf numFmtId="0" fontId="36" fillId="0" borderId="2" xfId="73" applyFont="1" applyBorder="1" applyAlignment="1">
      <alignment horizontal="left" vertical="top" wrapText="1"/>
    </xf>
    <xf numFmtId="1" fontId="37" fillId="0" borderId="0" xfId="73" applyNumberFormat="1" applyFont="1" applyAlignment="1">
      <alignment horizontal="center" vertical="top"/>
    </xf>
    <xf numFmtId="0" fontId="35" fillId="0" borderId="50" xfId="73" applyFont="1" applyBorder="1" applyAlignment="1">
      <alignment horizontal="center" vertical="top"/>
    </xf>
    <xf numFmtId="0" fontId="35" fillId="0" borderId="43" xfId="73" applyFont="1" applyBorder="1" applyAlignment="1">
      <alignment horizontal="center" vertical="top"/>
    </xf>
    <xf numFmtId="0" fontId="35" fillId="0" borderId="52" xfId="73" applyFont="1" applyBorder="1" applyAlignment="1">
      <alignment horizontal="center" vertical="top"/>
    </xf>
    <xf numFmtId="0" fontId="35" fillId="0" borderId="50" xfId="73" applyFont="1" applyBorder="1" applyAlignment="1">
      <alignment horizontal="right" vertical="top"/>
    </xf>
    <xf numFmtId="0" fontId="35" fillId="0" borderId="43" xfId="73" applyFont="1" applyBorder="1" applyAlignment="1">
      <alignment horizontal="right" vertical="top"/>
    </xf>
    <xf numFmtId="0" fontId="35" fillId="0" borderId="52" xfId="73" applyFont="1" applyBorder="1" applyAlignment="1">
      <alignment horizontal="right" vertical="top"/>
    </xf>
    <xf numFmtId="0" fontId="35" fillId="0" borderId="5" xfId="73" applyFont="1" applyBorder="1" applyAlignment="1">
      <alignment horizontal="left" vertical="top"/>
    </xf>
    <xf numFmtId="0" fontId="35" fillId="0" borderId="2" xfId="73" applyFont="1" applyBorder="1" applyAlignment="1">
      <alignment horizontal="left" vertical="top"/>
    </xf>
    <xf numFmtId="164" fontId="35" fillId="0" borderId="5" xfId="77" applyFont="1" applyBorder="1" applyAlignment="1">
      <alignment horizontal="center" vertical="top"/>
    </xf>
    <xf numFmtId="164" fontId="35" fillId="0" borderId="0" xfId="77" applyFont="1" applyBorder="1" applyAlignment="1">
      <alignment horizontal="center" vertical="top"/>
    </xf>
    <xf numFmtId="164" fontId="35" fillId="0" borderId="2" xfId="77" applyFont="1" applyBorder="1" applyAlignment="1">
      <alignment horizontal="center" vertical="top"/>
    </xf>
    <xf numFmtId="0" fontId="95" fillId="0" borderId="5" xfId="73" applyFont="1" applyBorder="1" applyAlignment="1">
      <alignment horizontal="left" vertical="top"/>
    </xf>
    <xf numFmtId="0" fontId="95" fillId="0" borderId="0" xfId="73" applyFont="1" applyAlignment="1">
      <alignment horizontal="left" vertical="top"/>
    </xf>
    <xf numFmtId="0" fontId="95" fillId="0" borderId="2" xfId="73" applyFont="1" applyBorder="1" applyAlignment="1">
      <alignment horizontal="left" vertical="top"/>
    </xf>
    <xf numFmtId="0" fontId="35" fillId="0" borderId="50" xfId="73" applyFont="1" applyBorder="1" applyAlignment="1">
      <alignment horizontal="left" vertical="top"/>
    </xf>
    <xf numFmtId="0" fontId="35" fillId="0" borderId="43" xfId="73" applyFont="1" applyBorder="1" applyAlignment="1">
      <alignment horizontal="left" vertical="top"/>
    </xf>
    <xf numFmtId="0" fontId="35" fillId="0" borderId="52" xfId="73" applyFont="1" applyBorder="1" applyAlignment="1">
      <alignment horizontal="left" vertical="top"/>
    </xf>
    <xf numFmtId="164" fontId="35" fillId="0" borderId="50" xfId="77" applyFont="1" applyBorder="1" applyAlignment="1">
      <alignment horizontal="center" vertical="top"/>
    </xf>
    <xf numFmtId="164" fontId="35" fillId="0" borderId="43" xfId="77" applyFont="1" applyBorder="1" applyAlignment="1">
      <alignment horizontal="center" vertical="top"/>
    </xf>
    <xf numFmtId="164" fontId="35" fillId="0" borderId="52" xfId="77" applyFont="1" applyBorder="1" applyAlignment="1">
      <alignment horizontal="center" vertical="top"/>
    </xf>
    <xf numFmtId="164" fontId="36" fillId="0" borderId="5" xfId="77" applyFont="1" applyBorder="1" applyAlignment="1">
      <alignment horizontal="right" vertical="top"/>
    </xf>
    <xf numFmtId="164" fontId="36" fillId="0" borderId="0" xfId="77" applyFont="1" applyBorder="1" applyAlignment="1">
      <alignment horizontal="right" vertical="top"/>
    </xf>
    <xf numFmtId="164" fontId="36" fillId="0" borderId="2" xfId="77" applyFont="1" applyBorder="1" applyAlignment="1">
      <alignment horizontal="right" vertical="top"/>
    </xf>
    <xf numFmtId="14" fontId="36" fillId="5" borderId="50" xfId="73" applyNumberFormat="1" applyFont="1" applyFill="1" applyBorder="1" applyAlignment="1">
      <alignment horizontal="center" vertical="top" wrapText="1"/>
    </xf>
    <xf numFmtId="14" fontId="36" fillId="5" borderId="52" xfId="73" applyNumberFormat="1" applyFont="1" applyFill="1" applyBorder="1" applyAlignment="1">
      <alignment horizontal="center" vertical="top" wrapText="1"/>
    </xf>
    <xf numFmtId="0" fontId="36" fillId="5" borderId="50" xfId="73" applyFont="1" applyFill="1" applyBorder="1" applyAlignment="1">
      <alignment horizontal="center" vertical="top" wrapText="1"/>
    </xf>
    <xf numFmtId="0" fontId="36" fillId="5" borderId="43" xfId="73" applyFont="1" applyFill="1" applyBorder="1" applyAlignment="1">
      <alignment horizontal="center" vertical="top" wrapText="1"/>
    </xf>
    <xf numFmtId="0" fontId="36" fillId="5" borderId="52" xfId="73" applyFont="1" applyFill="1" applyBorder="1" applyAlignment="1">
      <alignment horizontal="center" vertical="top" wrapText="1"/>
    </xf>
    <xf numFmtId="0" fontId="35" fillId="0" borderId="48" xfId="73" applyFont="1" applyBorder="1" applyAlignment="1">
      <alignment horizontal="center" vertical="top" wrapText="1"/>
    </xf>
    <xf numFmtId="0" fontId="35" fillId="0" borderId="49" xfId="73" applyFont="1" applyBorder="1" applyAlignment="1">
      <alignment horizontal="center" vertical="top" wrapText="1"/>
    </xf>
    <xf numFmtId="0" fontId="36" fillId="11" borderId="0" xfId="73" applyFont="1" applyFill="1" applyAlignment="1">
      <alignment horizontal="justify" vertical="top" wrapText="1"/>
    </xf>
    <xf numFmtId="0" fontId="64" fillId="0" borderId="0" xfId="73" applyFont="1" applyAlignment="1">
      <alignment horizontal="justify" vertical="top" wrapText="1"/>
    </xf>
    <xf numFmtId="0" fontId="37" fillId="0" borderId="0" xfId="73" applyFont="1" applyAlignment="1">
      <alignment horizontal="left" vertical="top" wrapText="1"/>
    </xf>
    <xf numFmtId="0" fontId="35" fillId="0" borderId="1" xfId="73" applyFont="1" applyBorder="1" applyAlignment="1">
      <alignment horizontal="center" vertical="top" wrapText="1"/>
    </xf>
    <xf numFmtId="0" fontId="35" fillId="0" borderId="50" xfId="73" applyFont="1" applyBorder="1" applyAlignment="1">
      <alignment horizontal="left" vertical="top" wrapText="1"/>
    </xf>
    <xf numFmtId="0" fontId="35" fillId="0" borderId="43" xfId="73" applyFont="1" applyBorder="1" applyAlignment="1">
      <alignment horizontal="left" vertical="top" wrapText="1"/>
    </xf>
    <xf numFmtId="0" fontId="35" fillId="0" borderId="52" xfId="73" applyFont="1" applyBorder="1" applyAlignment="1">
      <alignment horizontal="left" vertical="top" wrapText="1"/>
    </xf>
    <xf numFmtId="0" fontId="36" fillId="0" borderId="47" xfId="73" applyFont="1" applyBorder="1" applyAlignment="1">
      <alignment horizontal="justify" vertical="top" wrapText="1"/>
    </xf>
    <xf numFmtId="0" fontId="36" fillId="11" borderId="47" xfId="73" applyFont="1" applyFill="1" applyBorder="1" applyAlignment="1">
      <alignment horizontal="left" vertical="top" wrapText="1"/>
    </xf>
    <xf numFmtId="0" fontId="55" fillId="0" borderId="47" xfId="80" applyFont="1" applyBorder="1" applyAlignment="1">
      <alignment horizontal="left" vertical="top" wrapText="1"/>
    </xf>
    <xf numFmtId="0" fontId="55" fillId="0" borderId="26" xfId="80" applyFont="1" applyBorder="1" applyAlignment="1">
      <alignment horizontal="left" vertical="top" wrapText="1"/>
    </xf>
    <xf numFmtId="0" fontId="55" fillId="0" borderId="27" xfId="80" applyFont="1" applyBorder="1" applyAlignment="1">
      <alignment horizontal="left" vertical="top" wrapText="1"/>
    </xf>
    <xf numFmtId="0" fontId="55" fillId="0" borderId="6" xfId="80" applyFont="1" applyBorder="1" applyAlignment="1">
      <alignment horizontal="left" vertical="top" wrapText="1"/>
    </xf>
    <xf numFmtId="0" fontId="54" fillId="0" borderId="0" xfId="80" applyFont="1" applyAlignment="1">
      <alignment horizontal="center" vertical="top"/>
    </xf>
    <xf numFmtId="0" fontId="79" fillId="0" borderId="0" xfId="80" applyFont="1" applyAlignment="1">
      <alignment horizontal="center" vertical="top" wrapText="1"/>
    </xf>
    <xf numFmtId="0" fontId="75" fillId="12" borderId="50" xfId="80" applyFont="1" applyFill="1" applyBorder="1" applyAlignment="1">
      <alignment horizontal="left" vertical="top"/>
    </xf>
    <xf numFmtId="0" fontId="76" fillId="0" borderId="43" xfId="80" applyFont="1" applyBorder="1" applyAlignment="1">
      <alignment horizontal="left" vertical="top"/>
    </xf>
    <xf numFmtId="0" fontId="76" fillId="0" borderId="52" xfId="80" applyFont="1" applyBorder="1" applyAlignment="1">
      <alignment horizontal="left" vertical="top"/>
    </xf>
    <xf numFmtId="0" fontId="55" fillId="0" borderId="47" xfId="80" applyFont="1" applyBorder="1" applyAlignment="1">
      <alignment horizontal="left" vertical="top"/>
    </xf>
    <xf numFmtId="0" fontId="81" fillId="12" borderId="26" xfId="80" applyFont="1" applyFill="1" applyBorder="1" applyAlignment="1">
      <alignment horizontal="left" vertical="top"/>
    </xf>
    <xf numFmtId="0" fontId="81" fillId="12" borderId="27" xfId="80" applyFont="1" applyFill="1" applyBorder="1" applyAlignment="1">
      <alignment horizontal="left" vertical="top"/>
    </xf>
    <xf numFmtId="0" fontId="81" fillId="12" borderId="6" xfId="80" applyFont="1" applyFill="1" applyBorder="1" applyAlignment="1">
      <alignment horizontal="left" vertical="top"/>
    </xf>
    <xf numFmtId="0" fontId="83" fillId="0" borderId="5" xfId="80" applyFont="1" applyBorder="1" applyAlignment="1">
      <alignment horizontal="justify" vertical="top" wrapText="1"/>
    </xf>
    <xf numFmtId="0" fontId="83" fillId="0" borderId="0" xfId="80" applyFont="1" applyAlignment="1">
      <alignment horizontal="justify" vertical="top" wrapText="1"/>
    </xf>
    <xf numFmtId="0" fontId="83" fillId="0" borderId="2" xfId="80" applyFont="1" applyBorder="1" applyAlignment="1">
      <alignment horizontal="justify" vertical="top" wrapText="1"/>
    </xf>
    <xf numFmtId="0" fontId="84" fillId="0" borderId="48" xfId="80" applyFont="1" applyBorder="1" applyAlignment="1">
      <alignment horizontal="center" vertical="top" wrapText="1"/>
    </xf>
    <xf numFmtId="0" fontId="84" fillId="0" borderId="49" xfId="80" applyFont="1" applyBorder="1" applyAlignment="1">
      <alignment horizontal="center" vertical="top" wrapText="1"/>
    </xf>
    <xf numFmtId="0" fontId="84" fillId="0" borderId="26" xfId="80" applyFont="1" applyBorder="1" applyAlignment="1">
      <alignment horizontal="center" vertical="top" wrapText="1"/>
    </xf>
    <xf numFmtId="0" fontId="84" fillId="0" borderId="27" xfId="80" applyFont="1" applyBorder="1" applyAlignment="1">
      <alignment horizontal="center" vertical="top" wrapText="1"/>
    </xf>
    <xf numFmtId="0" fontId="84" fillId="0" borderId="6" xfId="80" applyFont="1" applyBorder="1" applyAlignment="1">
      <alignment horizontal="center" vertical="top" wrapText="1"/>
    </xf>
    <xf numFmtId="0" fontId="84" fillId="0" borderId="3" xfId="80" applyFont="1" applyBorder="1" applyAlignment="1">
      <alignment horizontal="center" vertical="top" wrapText="1"/>
    </xf>
    <xf numFmtId="0" fontId="84" fillId="0" borderId="25" xfId="80" applyFont="1" applyBorder="1" applyAlignment="1">
      <alignment horizontal="center" vertical="top" wrapText="1"/>
    </xf>
    <xf numFmtId="0" fontId="84" fillId="0" borderId="4" xfId="80" applyFont="1" applyBorder="1" applyAlignment="1">
      <alignment horizontal="center" vertical="top" wrapText="1"/>
    </xf>
    <xf numFmtId="0" fontId="84" fillId="0" borderId="47" xfId="80" applyFont="1" applyBorder="1" applyAlignment="1">
      <alignment horizontal="center" vertical="top" wrapText="1"/>
    </xf>
    <xf numFmtId="0" fontId="55" fillId="0" borderId="3" xfId="80" applyFont="1" applyBorder="1" applyAlignment="1">
      <alignment horizontal="left" vertical="top" wrapText="1"/>
    </xf>
    <xf numFmtId="0" fontId="55" fillId="0" borderId="25" xfId="80" applyFont="1" applyBorder="1" applyAlignment="1">
      <alignment horizontal="left" vertical="top" wrapText="1"/>
    </xf>
    <xf numFmtId="0" fontId="55" fillId="0" borderId="4" xfId="80" applyFont="1" applyBorder="1" applyAlignment="1">
      <alignment horizontal="left" vertical="top" wrapText="1"/>
    </xf>
    <xf numFmtId="0" fontId="84" fillId="0" borderId="50" xfId="80" applyFont="1" applyBorder="1" applyAlignment="1">
      <alignment horizontal="center" vertical="top" wrapText="1"/>
    </xf>
    <xf numFmtId="0" fontId="84" fillId="0" borderId="43" xfId="80" applyFont="1" applyBorder="1" applyAlignment="1">
      <alignment horizontal="center" vertical="top" wrapText="1"/>
    </xf>
    <xf numFmtId="0" fontId="84" fillId="0" borderId="52" xfId="80" applyFont="1" applyBorder="1" applyAlignment="1">
      <alignment horizontal="center" vertical="top" wrapText="1"/>
    </xf>
    <xf numFmtId="0" fontId="55" fillId="0" borderId="50" xfId="80" applyFont="1" applyBorder="1" applyAlignment="1">
      <alignment horizontal="center" vertical="top"/>
    </xf>
    <xf numFmtId="0" fontId="55" fillId="0" borderId="52" xfId="80" applyFont="1" applyBorder="1" applyAlignment="1">
      <alignment horizontal="center" vertical="top"/>
    </xf>
    <xf numFmtId="0" fontId="55" fillId="0" borderId="47" xfId="80" applyFont="1" applyBorder="1" applyAlignment="1">
      <alignment horizontal="center" vertical="top"/>
    </xf>
    <xf numFmtId="9" fontId="55" fillId="0" borderId="47" xfId="80" applyNumberFormat="1" applyFont="1" applyBorder="1" applyAlignment="1">
      <alignment horizontal="center" vertical="top"/>
    </xf>
    <xf numFmtId="0" fontId="81" fillId="12" borderId="50" xfId="80" applyFont="1" applyFill="1" applyBorder="1" applyAlignment="1">
      <alignment horizontal="left" vertical="top"/>
    </xf>
    <xf numFmtId="0" fontId="81" fillId="12" borderId="43" xfId="80" applyFont="1" applyFill="1" applyBorder="1" applyAlignment="1">
      <alignment horizontal="left" vertical="top"/>
    </xf>
    <xf numFmtId="0" fontId="81" fillId="12" borderId="52" xfId="80" applyFont="1" applyFill="1" applyBorder="1" applyAlignment="1">
      <alignment horizontal="left" vertical="top"/>
    </xf>
    <xf numFmtId="0" fontId="55" fillId="0" borderId="47" xfId="80" applyFont="1" applyBorder="1" applyAlignment="1">
      <alignment horizontal="center" vertical="top" wrapText="1"/>
    </xf>
    <xf numFmtId="0" fontId="55" fillId="0" borderId="26" xfId="80" applyFont="1" applyBorder="1" applyAlignment="1">
      <alignment horizontal="center" vertical="top" wrapText="1"/>
    </xf>
    <xf numFmtId="0" fontId="55" fillId="0" borderId="6" xfId="80" applyFont="1" applyBorder="1" applyAlignment="1">
      <alignment horizontal="center" vertical="top" wrapText="1"/>
    </xf>
    <xf numFmtId="0" fontId="55" fillId="0" borderId="5" xfId="80" applyFont="1" applyBorder="1" applyAlignment="1">
      <alignment horizontal="center" vertical="top" wrapText="1"/>
    </xf>
    <xf numFmtId="0" fontId="55" fillId="0" borderId="2" xfId="80" applyFont="1" applyBorder="1" applyAlignment="1">
      <alignment horizontal="center" vertical="top" wrapText="1"/>
    </xf>
    <xf numFmtId="0" fontId="55" fillId="0" borderId="3" xfId="80" applyFont="1" applyBorder="1" applyAlignment="1">
      <alignment horizontal="center" vertical="top" wrapText="1"/>
    </xf>
    <xf numFmtId="0" fontId="55" fillId="0" borderId="4" xfId="80" applyFont="1" applyBorder="1" applyAlignment="1">
      <alignment horizontal="center" vertical="top" wrapText="1"/>
    </xf>
    <xf numFmtId="0" fontId="55" fillId="0" borderId="48" xfId="80" applyFont="1" applyBorder="1" applyAlignment="1">
      <alignment horizontal="center" vertical="top" wrapText="1"/>
    </xf>
    <xf numFmtId="0" fontId="55" fillId="0" borderId="1" xfId="80" applyFont="1" applyBorder="1" applyAlignment="1">
      <alignment horizontal="center" vertical="top" wrapText="1"/>
    </xf>
    <xf numFmtId="0" fontId="55" fillId="0" borderId="49" xfId="80" applyFont="1" applyBorder="1" applyAlignment="1">
      <alignment horizontal="center" vertical="top" wrapText="1"/>
    </xf>
    <xf numFmtId="0" fontId="75" fillId="0" borderId="27" xfId="80" applyFont="1" applyBorder="1" applyAlignment="1">
      <alignment horizontal="left" vertical="top" wrapText="1"/>
    </xf>
    <xf numFmtId="0" fontId="54" fillId="0" borderId="25" xfId="80" applyFont="1" applyBorder="1" applyAlignment="1">
      <alignment horizontal="left" wrapText="1" indent="1"/>
    </xf>
    <xf numFmtId="0" fontId="75" fillId="12" borderId="43" xfId="80" applyFont="1" applyFill="1" applyBorder="1" applyAlignment="1">
      <alignment horizontal="left" vertical="top"/>
    </xf>
    <xf numFmtId="0" fontId="75" fillId="12" borderId="52" xfId="80" applyFont="1" applyFill="1" applyBorder="1" applyAlignment="1">
      <alignment horizontal="left" vertical="top"/>
    </xf>
    <xf numFmtId="0" fontId="76" fillId="0" borderId="0" xfId="80" applyFont="1" applyAlignment="1">
      <alignment horizontal="left" vertical="top"/>
    </xf>
    <xf numFmtId="0" fontId="75" fillId="0" borderId="0" xfId="80" applyFont="1" applyAlignment="1">
      <alignment horizontal="left" vertical="top"/>
    </xf>
    <xf numFmtId="0" fontId="54" fillId="0" borderId="47" xfId="80" applyFont="1" applyBorder="1" applyAlignment="1">
      <alignment horizontal="left" vertical="top" wrapText="1" indent="1"/>
    </xf>
    <xf numFmtId="0" fontId="55" fillId="0" borderId="47" xfId="80" applyFont="1" applyBorder="1" applyAlignment="1">
      <alignment horizontal="left" vertical="top" wrapText="1" indent="2"/>
    </xf>
    <xf numFmtId="0" fontId="55" fillId="0" borderId="26" xfId="80" applyFont="1" applyBorder="1" applyAlignment="1">
      <alignment horizontal="left" vertical="top" wrapText="1" indent="2"/>
    </xf>
    <xf numFmtId="0" fontId="55" fillId="0" borderId="6" xfId="80" applyFont="1" applyBorder="1" applyAlignment="1">
      <alignment horizontal="left" vertical="top" wrapText="1" indent="2"/>
    </xf>
    <xf numFmtId="0" fontId="55" fillId="0" borderId="3" xfId="80" applyFont="1" applyBorder="1" applyAlignment="1">
      <alignment horizontal="left" vertical="top" wrapText="1" indent="2"/>
    </xf>
    <xf numFmtId="0" fontId="55" fillId="0" borderId="4" xfId="80" applyFont="1" applyBorder="1" applyAlignment="1">
      <alignment horizontal="left" vertical="top" wrapText="1" indent="2"/>
    </xf>
    <xf numFmtId="167" fontId="55" fillId="11" borderId="48" xfId="77" applyNumberFormat="1" applyFont="1" applyFill="1" applyBorder="1" applyAlignment="1">
      <alignment horizontal="center" vertical="top"/>
    </xf>
    <xf numFmtId="167" fontId="55" fillId="11" borderId="49" xfId="77" applyNumberFormat="1" applyFont="1" applyFill="1" applyBorder="1" applyAlignment="1">
      <alignment horizontal="center" vertical="top"/>
    </xf>
    <xf numFmtId="0" fontId="54" fillId="0" borderId="26" xfId="80" applyFont="1" applyBorder="1" applyAlignment="1">
      <alignment horizontal="left" vertical="top" wrapText="1" indent="1"/>
    </xf>
    <xf numFmtId="0" fontId="54" fillId="0" borderId="6" xfId="80" applyFont="1" applyBorder="1" applyAlignment="1">
      <alignment horizontal="left" vertical="top" wrapText="1" indent="1"/>
    </xf>
    <xf numFmtId="0" fontId="54" fillId="0" borderId="50" xfId="80" applyFont="1" applyBorder="1" applyAlignment="1">
      <alignment horizontal="left" vertical="top"/>
    </xf>
    <xf numFmtId="0" fontId="54" fillId="0" borderId="52" xfId="80" applyFont="1" applyBorder="1" applyAlignment="1">
      <alignment horizontal="left" vertical="top"/>
    </xf>
    <xf numFmtId="0" fontId="75" fillId="0" borderId="0" xfId="80" applyFont="1" applyAlignment="1">
      <alignment horizontal="left" vertical="top" wrapText="1"/>
    </xf>
    <xf numFmtId="167" fontId="55" fillId="0" borderId="48" xfId="77" applyNumberFormat="1" applyFont="1" applyBorder="1" applyAlignment="1">
      <alignment horizontal="center" vertical="top"/>
    </xf>
    <xf numFmtId="167" fontId="55" fillId="0" borderId="49" xfId="77" applyNumberFormat="1" applyFont="1" applyBorder="1" applyAlignment="1">
      <alignment horizontal="center" vertical="top"/>
    </xf>
    <xf numFmtId="10" fontId="55" fillId="0" borderId="48" xfId="81" applyNumberFormat="1" applyFont="1" applyBorder="1" applyAlignment="1">
      <alignment horizontal="right" vertical="top"/>
    </xf>
    <xf numFmtId="10" fontId="55" fillId="0" borderId="49" xfId="81" applyNumberFormat="1" applyFont="1" applyBorder="1" applyAlignment="1">
      <alignment horizontal="right" vertical="top"/>
    </xf>
    <xf numFmtId="0" fontId="54" fillId="0" borderId="50" xfId="80" applyFont="1" applyBorder="1" applyAlignment="1">
      <alignment horizontal="left" vertical="top" wrapText="1" indent="1"/>
    </xf>
    <xf numFmtId="0" fontId="54" fillId="0" borderId="52" xfId="80" applyFont="1" applyBorder="1" applyAlignment="1">
      <alignment horizontal="left" vertical="top" wrapText="1" indent="1"/>
    </xf>
    <xf numFmtId="0" fontId="54" fillId="0" borderId="0" xfId="80" applyFont="1" applyAlignment="1">
      <alignment horizontal="left" wrapText="1" indent="1"/>
    </xf>
    <xf numFmtId="0" fontId="55" fillId="0" borderId="50" xfId="80" applyFont="1" applyBorder="1" applyAlignment="1">
      <alignment horizontal="left" vertical="top" wrapText="1" indent="2"/>
    </xf>
    <xf numFmtId="0" fontId="55" fillId="0" borderId="43" xfId="80" applyFont="1" applyBorder="1" applyAlignment="1">
      <alignment horizontal="left" vertical="top" wrapText="1" indent="2"/>
    </xf>
    <xf numFmtId="0" fontId="55" fillId="0" borderId="52" xfId="80" applyFont="1" applyBorder="1" applyAlignment="1">
      <alignment horizontal="left" vertical="top" wrapText="1" indent="2"/>
    </xf>
    <xf numFmtId="0" fontId="55" fillId="0" borderId="47" xfId="80" applyFont="1" applyBorder="1" applyAlignment="1">
      <alignment horizontal="left" vertical="top" wrapText="1" indent="3"/>
    </xf>
    <xf numFmtId="0" fontId="55" fillId="0" borderId="26" xfId="80" applyFont="1" applyBorder="1" applyAlignment="1">
      <alignment horizontal="left" vertical="top" wrapText="1" indent="3"/>
    </xf>
    <xf numFmtId="0" fontId="55" fillId="0" borderId="6" xfId="80" applyFont="1" applyBorder="1" applyAlignment="1">
      <alignment horizontal="left" vertical="top" wrapText="1" indent="3"/>
    </xf>
    <xf numFmtId="0" fontId="55" fillId="0" borderId="5" xfId="80" applyFont="1" applyBorder="1" applyAlignment="1">
      <alignment horizontal="left" vertical="top" wrapText="1" indent="3"/>
    </xf>
    <xf numFmtId="0" fontId="55" fillId="0" borderId="2" xfId="80" applyFont="1" applyBorder="1" applyAlignment="1">
      <alignment horizontal="left" vertical="top" wrapText="1" indent="3"/>
    </xf>
    <xf numFmtId="0" fontId="55" fillId="0" borderId="3" xfId="80" applyFont="1" applyBorder="1" applyAlignment="1">
      <alignment horizontal="left" vertical="top" wrapText="1" indent="3"/>
    </xf>
    <xf numFmtId="0" fontId="55" fillId="0" borderId="4" xfId="80" applyFont="1" applyBorder="1" applyAlignment="1">
      <alignment horizontal="left" vertical="top" wrapText="1" indent="3"/>
    </xf>
    <xf numFmtId="167" fontId="55" fillId="11" borderId="1" xfId="77" applyNumberFormat="1" applyFont="1" applyFill="1" applyBorder="1" applyAlignment="1">
      <alignment horizontal="center" vertical="top"/>
    </xf>
    <xf numFmtId="167" fontId="55" fillId="0" borderId="1" xfId="77" applyNumberFormat="1" applyFont="1" applyBorder="1" applyAlignment="1">
      <alignment horizontal="center" vertical="top"/>
    </xf>
    <xf numFmtId="10" fontId="55" fillId="0" borderId="1" xfId="81" applyNumberFormat="1" applyFont="1" applyBorder="1" applyAlignment="1">
      <alignment horizontal="right" vertical="top"/>
    </xf>
    <xf numFmtId="10" fontId="55" fillId="0" borderId="48" xfId="81" applyNumberFormat="1" applyFont="1" applyBorder="1" applyAlignment="1">
      <alignment horizontal="center" vertical="top"/>
    </xf>
    <xf numFmtId="10" fontId="55" fillId="0" borderId="1" xfId="81" applyNumberFormat="1" applyFont="1" applyBorder="1" applyAlignment="1">
      <alignment horizontal="center" vertical="top"/>
    </xf>
    <xf numFmtId="10" fontId="55" fillId="0" borderId="49" xfId="81" applyNumberFormat="1" applyFont="1" applyBorder="1" applyAlignment="1">
      <alignment horizontal="center" vertical="top"/>
    </xf>
    <xf numFmtId="0" fontId="54" fillId="0" borderId="47" xfId="80" applyFont="1" applyBorder="1" applyAlignment="1">
      <alignment vertical="top" wrapText="1"/>
    </xf>
    <xf numFmtId="0" fontId="54" fillId="0" borderId="26" xfId="80" applyFont="1" applyBorder="1" applyAlignment="1">
      <alignment horizontal="left" vertical="top" wrapText="1"/>
    </xf>
    <xf numFmtId="0" fontId="54" fillId="0" borderId="6" xfId="80" applyFont="1" applyBorder="1" applyAlignment="1">
      <alignment horizontal="left" vertical="top" wrapText="1"/>
    </xf>
    <xf numFmtId="0" fontId="54" fillId="0" borderId="5" xfId="80" applyFont="1" applyBorder="1" applyAlignment="1">
      <alignment horizontal="left" vertical="top" wrapText="1"/>
    </xf>
    <xf numFmtId="0" fontId="54" fillId="0" borderId="2" xfId="80" applyFont="1" applyBorder="1" applyAlignment="1">
      <alignment horizontal="left" vertical="top" wrapText="1"/>
    </xf>
    <xf numFmtId="0" fontId="54" fillId="0" borderId="3" xfId="80" applyFont="1" applyBorder="1" applyAlignment="1">
      <alignment horizontal="left" vertical="top" wrapText="1"/>
    </xf>
    <xf numFmtId="0" fontId="54" fillId="0" borderId="4" xfId="80" applyFont="1" applyBorder="1" applyAlignment="1">
      <alignment horizontal="left" vertical="top" wrapText="1"/>
    </xf>
    <xf numFmtId="167" fontId="54" fillId="11" borderId="48" xfId="77" applyNumberFormat="1" applyFont="1" applyFill="1" applyBorder="1" applyAlignment="1">
      <alignment horizontal="center" vertical="top"/>
    </xf>
    <xf numFmtId="167" fontId="54" fillId="11" borderId="1" xfId="77" applyNumberFormat="1" applyFont="1" applyFill="1" applyBorder="1" applyAlignment="1">
      <alignment horizontal="center" vertical="top"/>
    </xf>
    <xf numFmtId="167" fontId="54" fillId="11" borderId="49" xfId="77" applyNumberFormat="1" applyFont="1" applyFill="1" applyBorder="1" applyAlignment="1">
      <alignment horizontal="center" vertical="top"/>
    </xf>
    <xf numFmtId="0" fontId="84" fillId="11" borderId="50" xfId="80" applyFont="1" applyFill="1" applyBorder="1" applyAlignment="1">
      <alignment horizontal="center" vertical="top"/>
    </xf>
    <xf numFmtId="0" fontId="84" fillId="11" borderId="43" xfId="80" applyFont="1" applyFill="1" applyBorder="1" applyAlignment="1">
      <alignment horizontal="center" vertical="top"/>
    </xf>
    <xf numFmtId="0" fontId="84" fillId="11" borderId="52" xfId="80" applyFont="1" applyFill="1" applyBorder="1" applyAlignment="1">
      <alignment horizontal="center" vertical="top"/>
    </xf>
    <xf numFmtId="0" fontId="84" fillId="0" borderId="48" xfId="80" applyFont="1" applyBorder="1" applyAlignment="1">
      <alignment horizontal="center" vertical="top"/>
    </xf>
    <xf numFmtId="0" fontId="84" fillId="0" borderId="49" xfId="80" applyFont="1" applyBorder="1" applyAlignment="1">
      <alignment horizontal="center" vertical="top"/>
    </xf>
    <xf numFmtId="0" fontId="84" fillId="0" borderId="26" xfId="80" applyFont="1" applyBorder="1" applyAlignment="1">
      <alignment horizontal="center" vertical="top"/>
    </xf>
    <xf numFmtId="0" fontId="84" fillId="0" borderId="27" xfId="80" applyFont="1" applyBorder="1" applyAlignment="1">
      <alignment horizontal="center" vertical="top"/>
    </xf>
    <xf numFmtId="0" fontId="84" fillId="0" borderId="6" xfId="80" applyFont="1" applyBorder="1" applyAlignment="1">
      <alignment horizontal="center" vertical="top"/>
    </xf>
    <xf numFmtId="0" fontId="84" fillId="0" borderId="3" xfId="80" applyFont="1" applyBorder="1" applyAlignment="1">
      <alignment horizontal="center" vertical="top"/>
    </xf>
    <xf numFmtId="0" fontId="84" fillId="0" borderId="25" xfId="80" applyFont="1" applyBorder="1" applyAlignment="1">
      <alignment horizontal="center" vertical="top"/>
    </xf>
    <xf numFmtId="0" fontId="84" fillId="0" borderId="4" xfId="80" applyFont="1" applyBorder="1" applyAlignment="1">
      <alignment horizontal="center" vertical="top"/>
    </xf>
    <xf numFmtId="167" fontId="54" fillId="0" borderId="48" xfId="77" applyNumberFormat="1" applyFont="1" applyBorder="1" applyAlignment="1">
      <alignment horizontal="center" vertical="top"/>
    </xf>
    <xf numFmtId="167" fontId="54" fillId="0" borderId="1" xfId="77" applyNumberFormat="1" applyFont="1" applyBorder="1" applyAlignment="1">
      <alignment horizontal="center" vertical="top"/>
    </xf>
    <xf numFmtId="167" fontId="54" fillId="0" borderId="49" xfId="77" applyNumberFormat="1" applyFont="1" applyBorder="1" applyAlignment="1">
      <alignment horizontal="center" vertical="top"/>
    </xf>
    <xf numFmtId="0" fontId="55" fillId="0" borderId="49" xfId="80" applyFont="1" applyBorder="1" applyAlignment="1">
      <alignment horizontal="left" vertical="top" wrapText="1"/>
    </xf>
    <xf numFmtId="167" fontId="55" fillId="11" borderId="50" xfId="82" applyNumberFormat="1" applyFont="1" applyFill="1" applyBorder="1" applyAlignment="1">
      <alignment horizontal="center" vertical="top" wrapText="1"/>
    </xf>
    <xf numFmtId="167" fontId="55" fillId="11" borderId="52" xfId="82" applyNumberFormat="1" applyFont="1" applyFill="1" applyBorder="1" applyAlignment="1">
      <alignment horizontal="center" vertical="top" wrapText="1"/>
    </xf>
    <xf numFmtId="167" fontId="55" fillId="0" borderId="50" xfId="82" applyNumberFormat="1" applyFont="1" applyFill="1" applyBorder="1" applyAlignment="1">
      <alignment horizontal="center" vertical="top" wrapText="1"/>
    </xf>
    <xf numFmtId="167" fontId="55" fillId="0" borderId="52" xfId="82" applyNumberFormat="1" applyFont="1" applyFill="1" applyBorder="1" applyAlignment="1">
      <alignment horizontal="center" vertical="top" wrapText="1"/>
    </xf>
    <xf numFmtId="0" fontId="55" fillId="0" borderId="50" xfId="80" applyFont="1" applyBorder="1" applyAlignment="1">
      <alignment horizontal="left" vertical="top" wrapText="1"/>
    </xf>
    <xf numFmtId="167" fontId="55" fillId="0" borderId="50" xfId="82" applyNumberFormat="1" applyFont="1" applyBorder="1" applyAlignment="1">
      <alignment horizontal="center" vertical="top" wrapText="1"/>
    </xf>
    <xf numFmtId="167" fontId="55" fillId="0" borderId="52" xfId="82" applyNumberFormat="1" applyFont="1" applyBorder="1" applyAlignment="1">
      <alignment horizontal="center" vertical="top" wrapText="1"/>
    </xf>
    <xf numFmtId="0" fontId="55" fillId="12" borderId="50" xfId="80" applyFont="1" applyFill="1" applyBorder="1" applyAlignment="1">
      <alignment horizontal="left" vertical="top" wrapText="1"/>
    </xf>
    <xf numFmtId="0" fontId="55" fillId="12" borderId="52" xfId="80" applyFont="1" applyFill="1" applyBorder="1" applyAlignment="1">
      <alignment horizontal="left" vertical="top" wrapText="1"/>
    </xf>
    <xf numFmtId="0" fontId="54" fillId="12" borderId="50" xfId="80" applyFont="1" applyFill="1" applyBorder="1" applyAlignment="1">
      <alignment horizontal="left" vertical="top" wrapText="1"/>
    </xf>
    <xf numFmtId="0" fontId="54" fillId="12" borderId="43" xfId="80" applyFont="1" applyFill="1" applyBorder="1" applyAlignment="1">
      <alignment horizontal="left" vertical="top" wrapText="1"/>
    </xf>
    <xf numFmtId="0" fontId="54" fillId="12" borderId="52" xfId="80" applyFont="1" applyFill="1" applyBorder="1" applyAlignment="1">
      <alignment horizontal="left" vertical="top" wrapText="1"/>
    </xf>
    <xf numFmtId="0" fontId="85" fillId="0" borderId="47" xfId="80" applyFont="1" applyBorder="1" applyAlignment="1">
      <alignment horizontal="left" vertical="top" wrapText="1"/>
    </xf>
    <xf numFmtId="167" fontId="84" fillId="0" borderId="47" xfId="77" applyNumberFormat="1" applyFont="1" applyBorder="1" applyAlignment="1">
      <alignment horizontal="left" vertical="top" wrapText="1" indent="1"/>
    </xf>
    <xf numFmtId="164" fontId="84" fillId="11" borderId="47" xfId="77" applyFont="1" applyFill="1" applyBorder="1" applyAlignment="1">
      <alignment horizontal="center" vertical="top"/>
    </xf>
    <xf numFmtId="164" fontId="55" fillId="11" borderId="47" xfId="77" applyFont="1" applyFill="1" applyBorder="1" applyAlignment="1">
      <alignment horizontal="center" vertical="top"/>
    </xf>
    <xf numFmtId="164" fontId="55" fillId="0" borderId="47" xfId="77" applyFont="1" applyBorder="1" applyAlignment="1">
      <alignment horizontal="center" vertical="top"/>
    </xf>
    <xf numFmtId="0" fontId="75" fillId="12" borderId="48" xfId="80" applyFont="1" applyFill="1" applyBorder="1" applyAlignment="1">
      <alignment horizontal="left" vertical="top"/>
    </xf>
    <xf numFmtId="0" fontId="83" fillId="0" borderId="3" xfId="80" applyFont="1" applyBorder="1" applyAlignment="1">
      <alignment horizontal="left" vertical="top"/>
    </xf>
    <xf numFmtId="0" fontId="83" fillId="0" borderId="25" xfId="80" applyFont="1" applyBorder="1" applyAlignment="1">
      <alignment horizontal="left" vertical="top"/>
    </xf>
    <xf numFmtId="167" fontId="85" fillId="12" borderId="47" xfId="77" applyNumberFormat="1" applyFont="1" applyFill="1" applyBorder="1" applyAlignment="1">
      <alignment horizontal="left" vertical="top" wrapText="1"/>
    </xf>
    <xf numFmtId="164" fontId="84" fillId="12" borderId="47" xfId="77" applyFont="1" applyFill="1" applyBorder="1" applyAlignment="1">
      <alignment horizontal="center" vertical="top"/>
    </xf>
    <xf numFmtId="167" fontId="85" fillId="0" borderId="47" xfId="77" applyNumberFormat="1" applyFont="1" applyBorder="1" applyAlignment="1">
      <alignment horizontal="left" vertical="top" wrapText="1"/>
    </xf>
    <xf numFmtId="167" fontId="84" fillId="0" borderId="48" xfId="77" applyNumberFormat="1" applyFont="1" applyBorder="1" applyAlignment="1">
      <alignment horizontal="left" vertical="top" wrapText="1" indent="1"/>
    </xf>
    <xf numFmtId="164" fontId="84" fillId="11" borderId="26" xfId="77" applyFont="1" applyFill="1" applyBorder="1" applyAlignment="1">
      <alignment horizontal="center" vertical="top"/>
    </xf>
    <xf numFmtId="164" fontId="84" fillId="11" borderId="6" xfId="77" applyFont="1" applyFill="1" applyBorder="1" applyAlignment="1">
      <alignment horizontal="center" vertical="top"/>
    </xf>
    <xf numFmtId="164" fontId="84" fillId="0" borderId="26" xfId="77" applyFont="1" applyBorder="1" applyAlignment="1">
      <alignment horizontal="center" vertical="top"/>
    </xf>
    <xf numFmtId="164" fontId="84" fillId="0" borderId="6" xfId="77" applyFont="1" applyBorder="1" applyAlignment="1">
      <alignment horizontal="center" vertical="top"/>
    </xf>
    <xf numFmtId="167" fontId="84" fillId="12" borderId="47" xfId="77" applyNumberFormat="1" applyFont="1" applyFill="1" applyBorder="1" applyAlignment="1">
      <alignment horizontal="left" vertical="top" wrapText="1"/>
    </xf>
    <xf numFmtId="0" fontId="84" fillId="0" borderId="47" xfId="80" applyFont="1" applyBorder="1" applyAlignment="1">
      <alignment horizontal="center" vertical="top"/>
    </xf>
    <xf numFmtId="0" fontId="84" fillId="0" borderId="27" xfId="80" applyFont="1" applyBorder="1" applyAlignment="1">
      <alignment horizontal="right" vertical="top"/>
    </xf>
    <xf numFmtId="0" fontId="84" fillId="0" borderId="6" xfId="80" applyFont="1" applyBorder="1" applyAlignment="1">
      <alignment horizontal="right" vertical="top"/>
    </xf>
    <xf numFmtId="0" fontId="84" fillId="11" borderId="48" xfId="80" applyFont="1" applyFill="1" applyBorder="1" applyAlignment="1">
      <alignment horizontal="center" vertical="top"/>
    </xf>
    <xf numFmtId="0" fontId="55" fillId="11" borderId="48" xfId="80" applyFont="1" applyFill="1" applyBorder="1" applyAlignment="1">
      <alignment horizontal="center" vertical="top"/>
    </xf>
    <xf numFmtId="0" fontId="84" fillId="0" borderId="25" xfId="80" applyFont="1" applyBorder="1" applyAlignment="1">
      <alignment horizontal="right" vertical="top"/>
    </xf>
    <xf numFmtId="0" fontId="84" fillId="0" borderId="4" xfId="80" applyFont="1" applyBorder="1" applyAlignment="1">
      <alignment horizontal="right" vertical="top"/>
    </xf>
    <xf numFmtId="0" fontId="84" fillId="11" borderId="49" xfId="80" applyFont="1" applyFill="1" applyBorder="1" applyAlignment="1">
      <alignment horizontal="center" vertical="top"/>
    </xf>
    <xf numFmtId="164" fontId="84" fillId="11" borderId="26" xfId="82" applyFont="1" applyFill="1" applyBorder="1" applyAlignment="1">
      <alignment horizontal="center" vertical="top"/>
    </xf>
    <xf numFmtId="164" fontId="84" fillId="11" borderId="6" xfId="82" applyFont="1" applyFill="1" applyBorder="1" applyAlignment="1">
      <alignment horizontal="center" vertical="top"/>
    </xf>
    <xf numFmtId="0" fontId="84" fillId="0" borderId="50" xfId="80" applyFont="1" applyBorder="1" applyAlignment="1">
      <alignment horizontal="left" vertical="top" wrapText="1"/>
    </xf>
    <xf numFmtId="0" fontId="84" fillId="0" borderId="43" xfId="80" applyFont="1" applyBorder="1" applyAlignment="1">
      <alignment horizontal="left" vertical="top" wrapText="1"/>
    </xf>
    <xf numFmtId="0" fontId="84" fillId="0" borderId="52" xfId="80" applyFont="1" applyBorder="1" applyAlignment="1">
      <alignment horizontal="left" vertical="top" wrapText="1"/>
    </xf>
    <xf numFmtId="164" fontId="84" fillId="11" borderId="50" xfId="82" applyFont="1" applyFill="1" applyBorder="1" applyAlignment="1">
      <alignment horizontal="center" vertical="top"/>
    </xf>
    <xf numFmtId="164" fontId="84" fillId="11" borderId="52" xfId="82" applyFont="1" applyFill="1" applyBorder="1" applyAlignment="1">
      <alignment horizontal="center" vertical="top"/>
    </xf>
    <xf numFmtId="0" fontId="76" fillId="0" borderId="43" xfId="80" applyFont="1" applyBorder="1" applyAlignment="1">
      <alignment horizontal="left" vertical="top" wrapText="1"/>
    </xf>
    <xf numFmtId="0" fontId="76" fillId="0" borderId="52" xfId="80" applyFont="1" applyBorder="1" applyAlignment="1">
      <alignment horizontal="left" vertical="top" wrapText="1"/>
    </xf>
    <xf numFmtId="0" fontId="84" fillId="0" borderId="1" xfId="80" applyFont="1" applyBorder="1" applyAlignment="1">
      <alignment horizontal="center" vertical="top"/>
    </xf>
    <xf numFmtId="0" fontId="84" fillId="0" borderId="50" xfId="80" applyFont="1" applyBorder="1" applyAlignment="1">
      <alignment horizontal="left" vertical="top"/>
    </xf>
    <xf numFmtId="0" fontId="84" fillId="0" borderId="43" xfId="80" applyFont="1" applyBorder="1" applyAlignment="1">
      <alignment horizontal="left" vertical="top"/>
    </xf>
    <xf numFmtId="0" fontId="84" fillId="0" borderId="52" xfId="80" applyFont="1" applyBorder="1" applyAlignment="1">
      <alignment horizontal="left" vertical="top"/>
    </xf>
    <xf numFmtId="0" fontId="84" fillId="0" borderId="26" xfId="80" applyFont="1" applyBorder="1" applyAlignment="1">
      <alignment horizontal="left" vertical="top" wrapText="1" indent="1"/>
    </xf>
    <xf numFmtId="0" fontId="84" fillId="0" borderId="27" xfId="80" applyFont="1" applyBorder="1" applyAlignment="1">
      <alignment horizontal="left" vertical="top" wrapText="1" indent="1"/>
    </xf>
    <xf numFmtId="0" fontId="84" fillId="0" borderId="6" xfId="80" applyFont="1" applyBorder="1" applyAlignment="1">
      <alignment horizontal="left" vertical="top" wrapText="1" indent="1"/>
    </xf>
    <xf numFmtId="0" fontId="84" fillId="0" borderId="50" xfId="80" applyFont="1" applyBorder="1" applyAlignment="1">
      <alignment horizontal="left" vertical="top" wrapText="1" indent="1"/>
    </xf>
    <xf numFmtId="0" fontId="84" fillId="0" borderId="43" xfId="80" applyFont="1" applyBorder="1" applyAlignment="1">
      <alignment horizontal="left" vertical="top" wrapText="1" indent="1"/>
    </xf>
    <xf numFmtId="0" fontId="76" fillId="0" borderId="43" xfId="80" applyFont="1" applyBorder="1" applyAlignment="1">
      <alignment horizontal="left" vertical="top" wrapText="1" indent="1"/>
    </xf>
    <xf numFmtId="0" fontId="76" fillId="0" borderId="52" xfId="80" applyFont="1" applyBorder="1" applyAlignment="1">
      <alignment horizontal="left" vertical="top" wrapText="1" indent="1"/>
    </xf>
    <xf numFmtId="0" fontId="85" fillId="0" borderId="50" xfId="80" applyFont="1" applyBorder="1" applyAlignment="1">
      <alignment horizontal="center" vertical="top"/>
    </xf>
    <xf numFmtId="0" fontId="85" fillId="0" borderId="43" xfId="80" applyFont="1" applyBorder="1" applyAlignment="1">
      <alignment horizontal="center" vertical="top"/>
    </xf>
    <xf numFmtId="0" fontId="85" fillId="0" borderId="52" xfId="80" applyFont="1" applyBorder="1" applyAlignment="1">
      <alignment horizontal="center" vertical="top"/>
    </xf>
    <xf numFmtId="164" fontId="54" fillId="0" borderId="50" xfId="82" applyFont="1" applyBorder="1" applyAlignment="1">
      <alignment horizontal="center" vertical="top"/>
    </xf>
    <xf numFmtId="164" fontId="54" fillId="0" borderId="52" xfId="82" applyFont="1" applyBorder="1" applyAlignment="1">
      <alignment horizontal="center" vertical="top"/>
    </xf>
    <xf numFmtId="0" fontId="84" fillId="0" borderId="26" xfId="80" applyFont="1" applyBorder="1" applyAlignment="1">
      <alignment horizontal="left" vertical="top"/>
    </xf>
    <xf numFmtId="0" fontId="84" fillId="0" borderId="27" xfId="80" applyFont="1" applyBorder="1" applyAlignment="1">
      <alignment horizontal="left" vertical="top"/>
    </xf>
    <xf numFmtId="0" fontId="84" fillId="0" borderId="6" xfId="80" applyFont="1" applyBorder="1" applyAlignment="1">
      <alignment horizontal="left" vertical="top"/>
    </xf>
    <xf numFmtId="0" fontId="84" fillId="0" borderId="3" xfId="80" quotePrefix="1" applyFont="1" applyBorder="1" applyAlignment="1">
      <alignment horizontal="left" vertical="top" indent="5"/>
    </xf>
    <xf numFmtId="0" fontId="76" fillId="0" borderId="25" xfId="80" applyFont="1" applyBorder="1" applyAlignment="1">
      <alignment horizontal="left" vertical="top" indent="5"/>
    </xf>
    <xf numFmtId="0" fontId="76" fillId="0" borderId="4" xfId="80" applyFont="1" applyBorder="1" applyAlignment="1">
      <alignment horizontal="left" vertical="top" indent="5"/>
    </xf>
    <xf numFmtId="0" fontId="84" fillId="0" borderId="50" xfId="80" applyFont="1" applyBorder="1" applyAlignment="1">
      <alignment horizontal="center" vertical="top"/>
    </xf>
    <xf numFmtId="0" fontId="84" fillId="0" borderId="43" xfId="80" applyFont="1" applyBorder="1" applyAlignment="1">
      <alignment horizontal="center" vertical="top"/>
    </xf>
    <xf numFmtId="0" fontId="84" fillId="0" borderId="52" xfId="80" applyFont="1" applyBorder="1" applyAlignment="1">
      <alignment horizontal="center" vertical="top"/>
    </xf>
    <xf numFmtId="164" fontId="84" fillId="0" borderId="50" xfId="82" applyFont="1" applyBorder="1" applyAlignment="1">
      <alignment horizontal="center" vertical="top"/>
    </xf>
    <xf numFmtId="164" fontId="84" fillId="0" borderId="52" xfId="82" applyFont="1" applyBorder="1" applyAlignment="1">
      <alignment horizontal="center" vertical="top"/>
    </xf>
    <xf numFmtId="164" fontId="55" fillId="0" borderId="50" xfId="82" applyFont="1" applyBorder="1" applyAlignment="1">
      <alignment horizontal="center" vertical="top"/>
    </xf>
    <xf numFmtId="164" fontId="55" fillId="0" borderId="52" xfId="82" applyFont="1" applyBorder="1" applyAlignment="1">
      <alignment horizontal="center" vertical="top"/>
    </xf>
    <xf numFmtId="0" fontId="85" fillId="0" borderId="50" xfId="80" applyFont="1" applyBorder="1" applyAlignment="1">
      <alignment horizontal="left" vertical="top" wrapText="1"/>
    </xf>
    <xf numFmtId="0" fontId="85" fillId="0" borderId="43" xfId="80" applyFont="1" applyBorder="1" applyAlignment="1">
      <alignment horizontal="left" vertical="top" wrapText="1"/>
    </xf>
    <xf numFmtId="0" fontId="75" fillId="0" borderId="52" xfId="80" applyFont="1" applyBorder="1" applyAlignment="1">
      <alignment horizontal="left" vertical="top" wrapText="1"/>
    </xf>
    <xf numFmtId="164" fontId="85" fillId="0" borderId="50" xfId="82" applyFont="1" applyBorder="1" applyAlignment="1">
      <alignment horizontal="center" vertical="top"/>
    </xf>
    <xf numFmtId="164" fontId="85" fillId="0" borderId="52" xfId="82" applyFont="1" applyBorder="1" applyAlignment="1">
      <alignment horizontal="center" vertical="top"/>
    </xf>
    <xf numFmtId="0" fontId="85" fillId="0" borderId="50" xfId="80" applyFont="1" applyBorder="1" applyAlignment="1">
      <alignment horizontal="center" vertical="top" wrapText="1"/>
    </xf>
    <xf numFmtId="0" fontId="85" fillId="0" borderId="43" xfId="80" applyFont="1" applyBorder="1" applyAlignment="1">
      <alignment horizontal="center" vertical="top" wrapText="1"/>
    </xf>
    <xf numFmtId="0" fontId="85" fillId="0" borderId="52" xfId="80" applyFont="1" applyBorder="1" applyAlignment="1">
      <alignment horizontal="center" vertical="top" wrapText="1"/>
    </xf>
    <xf numFmtId="0" fontId="85" fillId="0" borderId="47" xfId="80" applyFont="1" applyBorder="1" applyAlignment="1">
      <alignment horizontal="center" vertical="top"/>
    </xf>
    <xf numFmtId="0" fontId="85" fillId="0" borderId="47" xfId="80" applyFont="1" applyBorder="1" applyAlignment="1">
      <alignment horizontal="center" vertical="top" wrapText="1"/>
    </xf>
    <xf numFmtId="0" fontId="84" fillId="0" borderId="5" xfId="80" applyFont="1" applyBorder="1" applyAlignment="1">
      <alignment horizontal="left" vertical="top" indent="1"/>
    </xf>
    <xf numFmtId="0" fontId="84" fillId="0" borderId="0" xfId="80" applyFont="1" applyAlignment="1">
      <alignment horizontal="left" vertical="top" indent="1"/>
    </xf>
    <xf numFmtId="0" fontId="84" fillId="0" borderId="3" xfId="80" quotePrefix="1" applyFont="1" applyBorder="1" applyAlignment="1">
      <alignment horizontal="left" vertical="top" indent="1"/>
    </xf>
    <xf numFmtId="0" fontId="84" fillId="0" borderId="25" xfId="80" quotePrefix="1" applyFont="1" applyBorder="1" applyAlignment="1">
      <alignment horizontal="left" vertical="top" indent="1"/>
    </xf>
    <xf numFmtId="0" fontId="85" fillId="0" borderId="50" xfId="80" applyFont="1" applyBorder="1" applyAlignment="1">
      <alignment horizontal="left" vertical="top"/>
    </xf>
    <xf numFmtId="0" fontId="85" fillId="0" borderId="43" xfId="80" applyFont="1" applyBorder="1" applyAlignment="1">
      <alignment horizontal="left" vertical="top"/>
    </xf>
    <xf numFmtId="0" fontId="85" fillId="0" borderId="52" xfId="80" applyFont="1" applyBorder="1" applyAlignment="1">
      <alignment horizontal="left" vertical="top"/>
    </xf>
    <xf numFmtId="0" fontId="89" fillId="0" borderId="0" xfId="80" applyFont="1" applyAlignment="1">
      <alignment horizontal="left" vertical="top" wrapText="1"/>
    </xf>
    <xf numFmtId="0" fontId="89" fillId="0" borderId="0" xfId="80" applyFont="1" applyAlignment="1">
      <alignment horizontal="left" vertical="top"/>
    </xf>
    <xf numFmtId="0" fontId="75" fillId="0" borderId="0" xfId="80" applyFont="1" applyAlignment="1">
      <alignment horizontal="center" vertical="top"/>
    </xf>
    <xf numFmtId="0" fontId="75" fillId="0" borderId="0" xfId="80" applyFont="1" applyAlignment="1">
      <alignment horizontal="center" vertical="top" wrapText="1"/>
    </xf>
    <xf numFmtId="0" fontId="87" fillId="0" borderId="0" xfId="80" applyFont="1" applyAlignment="1">
      <alignment horizontal="center" vertical="top" wrapText="1"/>
    </xf>
    <xf numFmtId="0" fontId="88" fillId="0" borderId="0" xfId="80" applyFont="1" applyAlignment="1">
      <alignment horizontal="left" vertical="top"/>
    </xf>
    <xf numFmtId="0" fontId="89" fillId="0" borderId="0" xfId="80" applyFont="1" applyAlignment="1">
      <alignment horizontal="justify" vertical="top" wrapText="1"/>
    </xf>
    <xf numFmtId="0" fontId="89" fillId="0" borderId="0" xfId="80" applyFont="1" applyAlignment="1">
      <alignment horizontal="justify" vertical="top"/>
    </xf>
    <xf numFmtId="0" fontId="37" fillId="0" borderId="0" xfId="73" applyFont="1" applyAlignment="1">
      <alignment horizontal="left" vertical="top"/>
    </xf>
    <xf numFmtId="0" fontId="36" fillId="0" borderId="0" xfId="75" applyNumberFormat="1" applyFont="1" applyFill="1" applyAlignment="1">
      <alignment horizontal="center" vertical="top"/>
    </xf>
    <xf numFmtId="0" fontId="37" fillId="0" borderId="0" xfId="73" applyFont="1" applyAlignment="1">
      <alignment horizontal="center" vertical="top"/>
    </xf>
    <xf numFmtId="0" fontId="74" fillId="0" borderId="0" xfId="75" applyNumberFormat="1" applyFont="1" applyFill="1" applyAlignment="1">
      <alignment horizontal="center" vertical="top"/>
    </xf>
    <xf numFmtId="0" fontId="64" fillId="0" borderId="0" xfId="75" applyNumberFormat="1" applyFont="1" applyFill="1" applyAlignment="1">
      <alignment horizontal="center" vertical="top"/>
    </xf>
    <xf numFmtId="0" fontId="65" fillId="0" borderId="25" xfId="73" applyFont="1" applyBorder="1" applyAlignment="1">
      <alignment horizontal="justify" vertical="top"/>
    </xf>
    <xf numFmtId="0" fontId="74" fillId="0" borderId="0" xfId="73" applyFont="1" applyAlignment="1">
      <alignment horizontal="left" vertical="top" wrapText="1"/>
    </xf>
    <xf numFmtId="0" fontId="64" fillId="0" borderId="0" xfId="73" applyFont="1" applyAlignment="1">
      <alignment horizontal="right" vertical="top"/>
    </xf>
    <xf numFmtId="0" fontId="64" fillId="0" borderId="0" xfId="73" applyFont="1" applyAlignment="1">
      <alignment horizontal="left" vertical="top" wrapText="1"/>
    </xf>
    <xf numFmtId="0" fontId="90" fillId="0" borderId="47" xfId="73" applyFont="1" applyBorder="1" applyAlignment="1">
      <alignment horizontal="center" vertical="top"/>
    </xf>
    <xf numFmtId="0" fontId="91" fillId="0" borderId="0" xfId="75" applyNumberFormat="1" applyFont="1" applyFill="1" applyAlignment="1">
      <alignment horizontal="left" vertical="top"/>
    </xf>
    <xf numFmtId="0" fontId="64" fillId="0" borderId="0" xfId="75" applyNumberFormat="1" applyFont="1" applyFill="1" applyAlignment="1">
      <alignment horizontal="right" vertical="top" wrapText="1"/>
    </xf>
    <xf numFmtId="0" fontId="64" fillId="0" borderId="0" xfId="75" applyNumberFormat="1" applyFont="1" applyFill="1" applyAlignment="1">
      <alignment horizontal="left" vertical="top"/>
    </xf>
    <xf numFmtId="0" fontId="65" fillId="0" borderId="0" xfId="73" applyFont="1" applyAlignment="1">
      <alignment horizontal="justify" vertical="top" wrapText="1"/>
    </xf>
    <xf numFmtId="0" fontId="64" fillId="0" borderId="0" xfId="73" applyFont="1" applyAlignment="1">
      <alignment horizontal="left" vertical="top"/>
    </xf>
    <xf numFmtId="1" fontId="65" fillId="0" borderId="0" xfId="73" applyNumberFormat="1" applyFont="1" applyAlignment="1">
      <alignment horizontal="left" vertical="top"/>
    </xf>
    <xf numFmtId="0" fontId="64" fillId="0" borderId="0" xfId="73" applyFont="1" applyAlignment="1">
      <alignment horizontal="center" vertical="top"/>
    </xf>
    <xf numFmtId="0" fontId="47" fillId="0" borderId="0" xfId="0" applyFont="1" applyAlignment="1">
      <alignment horizontal="left" vertical="center" wrapText="1"/>
    </xf>
    <xf numFmtId="0" fontId="49" fillId="7" borderId="54" xfId="0" applyFont="1" applyFill="1" applyBorder="1" applyAlignment="1">
      <alignment horizontal="center" vertical="center" wrapText="1"/>
    </xf>
    <xf numFmtId="0" fontId="49" fillId="7" borderId="63" xfId="0" applyFont="1" applyFill="1" applyBorder="1" applyAlignment="1">
      <alignment horizontal="center" vertical="center" wrapText="1"/>
    </xf>
    <xf numFmtId="0" fontId="49" fillId="7" borderId="19" xfId="0" applyFont="1" applyFill="1" applyBorder="1" applyAlignment="1">
      <alignment horizontal="center" vertical="center" wrapText="1"/>
    </xf>
    <xf numFmtId="0" fontId="49" fillId="7" borderId="16" xfId="0" applyFont="1" applyFill="1" applyBorder="1" applyAlignment="1">
      <alignment horizontal="center" vertical="center" wrapText="1"/>
    </xf>
    <xf numFmtId="0" fontId="49" fillId="7" borderId="64" xfId="0" applyFont="1" applyFill="1" applyBorder="1" applyAlignment="1">
      <alignment horizontal="center" vertical="center" wrapText="1"/>
    </xf>
    <xf numFmtId="0" fontId="49" fillId="7" borderId="65" xfId="0" applyFont="1" applyFill="1" applyBorder="1" applyAlignment="1">
      <alignment horizontal="center" vertical="center" wrapText="1"/>
    </xf>
    <xf numFmtId="0" fontId="49" fillId="7" borderId="66" xfId="0" applyFont="1" applyFill="1" applyBorder="1" applyAlignment="1">
      <alignment horizontal="center" vertical="center" wrapText="1"/>
    </xf>
  </cellXfs>
  <cellStyles count="83">
    <cellStyle name="Comma" xfId="1" builtinId="3"/>
    <cellStyle name="Comma 10" xfId="2" xr:uid="{00000000-0005-0000-0000-000001000000}"/>
    <cellStyle name="Comma 11" xfId="3" xr:uid="{00000000-0005-0000-0000-000002000000}"/>
    <cellStyle name="Comma 12" xfId="4" xr:uid="{00000000-0005-0000-0000-000003000000}"/>
    <cellStyle name="Comma 13" xfId="5" xr:uid="{00000000-0005-0000-0000-000004000000}"/>
    <cellStyle name="Comma 14" xfId="6" xr:uid="{00000000-0005-0000-0000-000005000000}"/>
    <cellStyle name="Comma 15" xfId="7" xr:uid="{00000000-0005-0000-0000-000006000000}"/>
    <cellStyle name="Comma 16" xfId="8" xr:uid="{00000000-0005-0000-0000-000007000000}"/>
    <cellStyle name="Comma 17" xfId="9" xr:uid="{00000000-0005-0000-0000-000008000000}"/>
    <cellStyle name="Comma 18" xfId="10" xr:uid="{00000000-0005-0000-0000-000009000000}"/>
    <cellStyle name="Comma 19" xfId="11" xr:uid="{00000000-0005-0000-0000-00000A000000}"/>
    <cellStyle name="Comma 2" xfId="12" xr:uid="{00000000-0005-0000-0000-00000B000000}"/>
    <cellStyle name="Comma 2 10" xfId="13" xr:uid="{00000000-0005-0000-0000-00000C000000}"/>
    <cellStyle name="Comma 2 2" xfId="14" xr:uid="{00000000-0005-0000-0000-00000D000000}"/>
    <cellStyle name="Comma 2 2 2" xfId="78" xr:uid="{00000000-0005-0000-0000-00000E000000}"/>
    <cellStyle name="Comma 2 3" xfId="15" xr:uid="{00000000-0005-0000-0000-00000F000000}"/>
    <cellStyle name="Comma 2 4" xfId="16" xr:uid="{00000000-0005-0000-0000-000010000000}"/>
    <cellStyle name="Comma 2 5" xfId="17" xr:uid="{00000000-0005-0000-0000-000011000000}"/>
    <cellStyle name="Comma 2 6" xfId="18" xr:uid="{00000000-0005-0000-0000-000012000000}"/>
    <cellStyle name="Comma 2 7" xfId="19" xr:uid="{00000000-0005-0000-0000-000013000000}"/>
    <cellStyle name="Comma 2 8" xfId="20" xr:uid="{00000000-0005-0000-0000-000014000000}"/>
    <cellStyle name="Comma 2 9" xfId="21" xr:uid="{00000000-0005-0000-0000-000015000000}"/>
    <cellStyle name="Comma 2_15old" xfId="22" xr:uid="{00000000-0005-0000-0000-000016000000}"/>
    <cellStyle name="Comma 20" xfId="23" xr:uid="{00000000-0005-0000-0000-000017000000}"/>
    <cellStyle name="Comma 21" xfId="24" xr:uid="{00000000-0005-0000-0000-000018000000}"/>
    <cellStyle name="Comma 22" xfId="25" xr:uid="{00000000-0005-0000-0000-000019000000}"/>
    <cellStyle name="Comma 23" xfId="26" xr:uid="{00000000-0005-0000-0000-00001A000000}"/>
    <cellStyle name="Comma 24" xfId="27" xr:uid="{00000000-0005-0000-0000-00001B000000}"/>
    <cellStyle name="Comma 25" xfId="28" xr:uid="{00000000-0005-0000-0000-00001C000000}"/>
    <cellStyle name="Comma 26" xfId="29" xr:uid="{00000000-0005-0000-0000-00001D000000}"/>
    <cellStyle name="Comma 27" xfId="30" xr:uid="{00000000-0005-0000-0000-00001E000000}"/>
    <cellStyle name="Comma 28" xfId="31" xr:uid="{00000000-0005-0000-0000-00001F000000}"/>
    <cellStyle name="Comma 29" xfId="32" xr:uid="{00000000-0005-0000-0000-000020000000}"/>
    <cellStyle name="Comma 3" xfId="33" xr:uid="{00000000-0005-0000-0000-000021000000}"/>
    <cellStyle name="Comma 3 2" xfId="75" xr:uid="{00000000-0005-0000-0000-000022000000}"/>
    <cellStyle name="Comma 30" xfId="34" xr:uid="{00000000-0005-0000-0000-000023000000}"/>
    <cellStyle name="Comma 31" xfId="35" xr:uid="{00000000-0005-0000-0000-000024000000}"/>
    <cellStyle name="Comma 32" xfId="36" xr:uid="{00000000-0005-0000-0000-000025000000}"/>
    <cellStyle name="Comma 33" xfId="37" xr:uid="{00000000-0005-0000-0000-000026000000}"/>
    <cellStyle name="Comma 34" xfId="69" xr:uid="{00000000-0005-0000-0000-000027000000}"/>
    <cellStyle name="Comma 35" xfId="77" xr:uid="{00000000-0005-0000-0000-000028000000}"/>
    <cellStyle name="Comma 4" xfId="38" xr:uid="{00000000-0005-0000-0000-000029000000}"/>
    <cellStyle name="Comma 5" xfId="39" xr:uid="{00000000-0005-0000-0000-00002A000000}"/>
    <cellStyle name="Comma 6" xfId="40" xr:uid="{00000000-0005-0000-0000-00002B000000}"/>
    <cellStyle name="Comma 7" xfId="41" xr:uid="{00000000-0005-0000-0000-00002C000000}"/>
    <cellStyle name="Comma 8" xfId="42" xr:uid="{00000000-0005-0000-0000-00002D000000}"/>
    <cellStyle name="Comma 85" xfId="82" xr:uid="{00000000-0005-0000-0000-00002E000000}"/>
    <cellStyle name="Comma 9" xfId="43" xr:uid="{00000000-0005-0000-0000-00002F000000}"/>
    <cellStyle name="Comma_6" xfId="44" xr:uid="{00000000-0005-0000-0000-000030000000}"/>
    <cellStyle name="Comma_B(1).SHEET2008-09.BRBD" xfId="45" xr:uid="{00000000-0005-0000-0000-000031000000}"/>
    <cellStyle name="Comma_BALANCE SHEET FHI 03-04 DEC" xfId="46" xr:uid="{00000000-0005-0000-0000-000032000000}"/>
    <cellStyle name="Comma_BALANCE SHEET FHI 03-04 DEC 2" xfId="47" xr:uid="{00000000-0005-0000-0000-000033000000}"/>
    <cellStyle name="Hyperlink" xfId="48" builtinId="8"/>
    <cellStyle name="Hyperlink 2" xfId="49" xr:uid="{00000000-0005-0000-0000-000035000000}"/>
    <cellStyle name="Hyperlink 3" xfId="74" xr:uid="{00000000-0005-0000-0000-000036000000}"/>
    <cellStyle name="Normal" xfId="0" builtinId="0"/>
    <cellStyle name="Normal 2" xfId="50" xr:uid="{00000000-0005-0000-0000-000038000000}"/>
    <cellStyle name="Normal 2 2" xfId="72" xr:uid="{00000000-0005-0000-0000-000039000000}"/>
    <cellStyle name="Normal 2 2 2" xfId="51" xr:uid="{00000000-0005-0000-0000-00003A000000}"/>
    <cellStyle name="Normal 24 3 2" xfId="52" xr:uid="{00000000-0005-0000-0000-00003B000000}"/>
    <cellStyle name="Normal 3" xfId="53" xr:uid="{00000000-0005-0000-0000-00003C000000}"/>
    <cellStyle name="Normal 4" xfId="54" xr:uid="{00000000-0005-0000-0000-00003D000000}"/>
    <cellStyle name="Normal 4 2" xfId="55" xr:uid="{00000000-0005-0000-0000-00003E000000}"/>
    <cellStyle name="Normal 5" xfId="56" xr:uid="{00000000-0005-0000-0000-00003F000000}"/>
    <cellStyle name="Normal 6" xfId="68" xr:uid="{00000000-0005-0000-0000-000040000000}"/>
    <cellStyle name="Normal 7" xfId="70" xr:uid="{00000000-0005-0000-0000-000041000000}"/>
    <cellStyle name="Normal 8" xfId="73" xr:uid="{00000000-0005-0000-0000-000042000000}"/>
    <cellStyle name="Normal 9" xfId="76" xr:uid="{00000000-0005-0000-0000-000043000000}"/>
    <cellStyle name="Normal 94" xfId="80" xr:uid="{00000000-0005-0000-0000-000044000000}"/>
    <cellStyle name="Normal_15old" xfId="57" xr:uid="{00000000-0005-0000-0000-000045000000}"/>
    <cellStyle name="Normal_15old 2" xfId="58" xr:uid="{00000000-0005-0000-0000-000046000000}"/>
    <cellStyle name="Normal_6" xfId="59" xr:uid="{00000000-0005-0000-0000-000047000000}"/>
    <cellStyle name="Normal_8" xfId="60" xr:uid="{00000000-0005-0000-0000-000048000000}"/>
    <cellStyle name="Normal_B(1).SHEET2008-09.BRBD" xfId="61" xr:uid="{00000000-0005-0000-0000-000049000000}"/>
    <cellStyle name="Normal_Copy of 1-10" xfId="62" xr:uid="{00000000-0005-0000-0000-00004A000000}"/>
    <cellStyle name="Normal_ifrs t" xfId="63" xr:uid="{00000000-0005-0000-0000-00004B000000}"/>
    <cellStyle name="Normal_RUC05" xfId="64" xr:uid="{00000000-0005-0000-0000-00004C000000}"/>
    <cellStyle name="Percent" xfId="65" builtinId="5"/>
    <cellStyle name="Percent 2" xfId="66" xr:uid="{00000000-0005-0000-0000-00004E000000}"/>
    <cellStyle name="Percent 29" xfId="81" xr:uid="{00000000-0005-0000-0000-00004F000000}"/>
    <cellStyle name="Percent 3" xfId="71" xr:uid="{00000000-0005-0000-0000-000050000000}"/>
    <cellStyle name="Percent 4" xfId="79" xr:uid="{00000000-0005-0000-0000-000051000000}"/>
    <cellStyle name="Wages" xfId="67" xr:uid="{00000000-0005-0000-0000-000052000000}"/>
  </cellStyles>
  <dxfs count="39">
    <dxf>
      <fill>
        <patternFill>
          <bgColor rgb="FFFFFF00"/>
        </patternFill>
      </fill>
    </dxf>
    <dxf>
      <fill>
        <patternFill>
          <bgColor rgb="FFFFFF00"/>
        </patternFill>
      </fill>
    </dxf>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strike val="0"/>
        <outline val="0"/>
        <shadow val="0"/>
        <u val="none"/>
        <vertAlign val="baseline"/>
        <sz val="10"/>
        <color auto="1"/>
        <name val="Verdana"/>
        <scheme val="none"/>
      </font>
      <numFmt numFmtId="172" formatCode="_ * #,##0_ ;_ * \-#,##0_ ;_ * &quot;-&quot;??_ ;_ @_ "/>
    </dxf>
    <dxf>
      <font>
        <b val="0"/>
        <i val="0"/>
        <strike val="0"/>
        <condense val="0"/>
        <extend val="0"/>
        <outline val="0"/>
        <shadow val="0"/>
        <u val="none"/>
        <vertAlign val="baseline"/>
        <sz val="10"/>
        <color auto="1"/>
        <name val="Verdana"/>
        <scheme val="none"/>
      </font>
      <numFmt numFmtId="172" formatCode="_ * #,##0_ ;_ * \-#,##0_ ;_ * &quot;-&quot;??_ ;_ @_ "/>
    </dxf>
    <dxf>
      <font>
        <strike val="0"/>
        <outline val="0"/>
        <shadow val="0"/>
        <u val="none"/>
        <vertAlign val="baseline"/>
        <sz val="10"/>
        <color auto="1"/>
        <name val="Verdana"/>
        <scheme val="none"/>
      </font>
      <numFmt numFmtId="172" formatCode="_ * #,##0_ ;_ * \-#,##0_ ;_ * &quot;-&quot;??_ ;_ @_ "/>
    </dxf>
    <dxf>
      <font>
        <strike val="0"/>
        <outline val="0"/>
        <shadow val="0"/>
        <u val="none"/>
        <vertAlign val="baseline"/>
        <sz val="10"/>
        <color auto="1"/>
        <name val="Verdana"/>
        <scheme val="none"/>
      </font>
      <numFmt numFmtId="172" formatCode="_ * #,##0_ ;_ * \-#,##0_ ;_ * &quot;-&quot;??_ ;_ @_ "/>
    </dxf>
    <dxf>
      <font>
        <strike val="0"/>
        <outline val="0"/>
        <shadow val="0"/>
        <u val="none"/>
        <vertAlign val="baseline"/>
        <sz val="10"/>
        <color auto="1"/>
        <name val="Verdana"/>
        <scheme val="none"/>
      </font>
    </dxf>
    <dxf>
      <font>
        <strike val="0"/>
        <outline val="0"/>
        <shadow val="0"/>
        <u val="none"/>
        <vertAlign val="baseline"/>
        <sz val="10"/>
        <color theme="1"/>
        <name val="Verdana"/>
        <scheme val="minor"/>
      </font>
      <numFmt numFmtId="172" formatCode="_ * #,##0_ ;_ * \-#,##0_ ;_ * &quot;-&quot;??_ ;_ @_ "/>
    </dxf>
    <dxf>
      <font>
        <strike val="0"/>
        <outline val="0"/>
        <shadow val="0"/>
        <u val="none"/>
        <vertAlign val="baseline"/>
        <sz val="10"/>
        <color theme="1"/>
        <name val="Verdana"/>
        <scheme val="minor"/>
      </font>
      <numFmt numFmtId="172" formatCode="_ * #,##0_ ;_ * \-#,##0_ ;_ * &quot;-&quot;??_ ;_ @_ "/>
    </dxf>
    <dxf>
      <font>
        <strike val="0"/>
        <outline val="0"/>
        <shadow val="0"/>
        <u val="none"/>
        <vertAlign val="baseline"/>
        <sz val="10"/>
        <color theme="1"/>
        <name val="Verdana"/>
        <scheme val="minor"/>
      </font>
      <numFmt numFmtId="172" formatCode="_ * #,##0_ ;_ * \-#,##0_ ;_ * &quot;-&quot;??_ ;_ @_ "/>
    </dxf>
    <dxf>
      <font>
        <strike val="0"/>
        <outline val="0"/>
        <shadow val="0"/>
        <u val="none"/>
        <vertAlign val="baseline"/>
        <sz val="10"/>
        <color theme="1"/>
        <name val="Verdana"/>
        <scheme val="minor"/>
      </font>
    </dxf>
    <dxf>
      <font>
        <strike val="0"/>
        <outline val="0"/>
        <shadow val="0"/>
        <u val="none"/>
        <vertAlign val="baseline"/>
        <sz val="10"/>
        <color auto="1"/>
        <name val="Verdana"/>
        <scheme val="none"/>
      </font>
    </dxf>
    <dxf>
      <font>
        <strike val="0"/>
        <outline val="0"/>
        <shadow val="0"/>
        <u val="none"/>
        <vertAlign val="baseline"/>
        <sz val="10"/>
        <color auto="1"/>
        <name val="Verdana"/>
        <scheme val="none"/>
      </font>
    </dxf>
    <dxf>
      <font>
        <strike val="0"/>
        <outline val="0"/>
        <shadow val="0"/>
        <u val="none"/>
        <vertAlign val="baseline"/>
        <sz val="10"/>
        <color auto="1"/>
        <name val="Verdana"/>
        <scheme val="none"/>
      </font>
    </dxf>
    <dxf>
      <font>
        <strike val="0"/>
        <outline val="0"/>
        <shadow val="0"/>
        <u val="none"/>
        <vertAlign val="baseline"/>
        <sz val="10"/>
        <color auto="1"/>
        <name val="Verdana"/>
        <scheme val="none"/>
      </font>
    </dxf>
    <dxf>
      <font>
        <strike val="0"/>
        <outline val="0"/>
        <shadow val="0"/>
        <u val="none"/>
        <vertAlign val="baseline"/>
        <sz val="10"/>
        <color auto="1"/>
        <name val="Verdana"/>
        <scheme val="none"/>
      </font>
    </dxf>
    <dxf>
      <font>
        <strike val="0"/>
        <outline val="0"/>
        <shadow val="0"/>
        <u val="none"/>
        <vertAlign val="baseline"/>
        <sz val="10"/>
        <color auto="1"/>
        <name val="Verdana"/>
        <scheme val="none"/>
      </font>
    </dxf>
    <dxf>
      <font>
        <strike val="0"/>
        <outline val="0"/>
        <shadow val="0"/>
        <u val="none"/>
        <vertAlign val="baseline"/>
        <sz val="10"/>
        <color auto="1"/>
        <name val="Verdana"/>
        <family val="2"/>
        <scheme val="none"/>
      </font>
      <numFmt numFmtId="172" formatCode="_ * #,##0_ ;_ * \-#,##0_ ;_ * &quot;-&quot;??_ ;_ @_ "/>
    </dxf>
    <dxf>
      <font>
        <b val="0"/>
        <i val="0"/>
        <strike val="0"/>
        <condense val="0"/>
        <extend val="0"/>
        <outline val="0"/>
        <shadow val="0"/>
        <u val="none"/>
        <vertAlign val="baseline"/>
        <sz val="10"/>
        <color auto="1"/>
        <name val="Verdana"/>
        <family val="2"/>
        <scheme val="none"/>
      </font>
      <numFmt numFmtId="172" formatCode="_ * #,##0_ ;_ * \-#,##0_ ;_ * &quot;-&quot;??_ ;_ @_ "/>
    </dxf>
    <dxf>
      <font>
        <strike val="0"/>
        <outline val="0"/>
        <shadow val="0"/>
        <u val="none"/>
        <vertAlign val="baseline"/>
        <sz val="10"/>
        <color auto="1"/>
        <name val="Verdana"/>
        <family val="2"/>
        <scheme val="none"/>
      </font>
      <numFmt numFmtId="172" formatCode="_ * #,##0_ ;_ * \-#,##0_ ;_ * &quot;-&quot;??_ ;_ @_ "/>
    </dxf>
    <dxf>
      <font>
        <strike val="0"/>
        <outline val="0"/>
        <shadow val="0"/>
        <u val="none"/>
        <vertAlign val="baseline"/>
        <sz val="10"/>
        <color auto="1"/>
        <name val="Verdana"/>
        <family val="2"/>
        <scheme val="none"/>
      </font>
      <numFmt numFmtId="172" formatCode="_ * #,##0_ ;_ * \-#,##0_ ;_ * &quot;-&quot;??_ ;_ @_ "/>
    </dxf>
    <dxf>
      <font>
        <strike val="0"/>
        <outline val="0"/>
        <shadow val="0"/>
        <u val="none"/>
        <vertAlign val="baseline"/>
        <sz val="10"/>
        <color auto="1"/>
        <name val="Verdana"/>
        <family val="2"/>
        <scheme val="none"/>
      </font>
      <numFmt numFmtId="164" formatCode="_(* #,##0.00_);_(* \(#,##0.00\);_(* &quot;-&quot;??_);_(@_)"/>
    </dxf>
    <dxf>
      <font>
        <strike val="0"/>
        <outline val="0"/>
        <shadow val="0"/>
        <u val="none"/>
        <vertAlign val="baseline"/>
        <sz val="10"/>
        <color theme="1"/>
        <name val="Verdana"/>
        <family val="2"/>
        <scheme val="none"/>
      </font>
      <numFmt numFmtId="172" formatCode="_ * #,##0_ ;_ * \-#,##0_ ;_ * &quot;-&quot;??_ ;_ @_ "/>
    </dxf>
    <dxf>
      <font>
        <strike val="0"/>
        <outline val="0"/>
        <shadow val="0"/>
        <u val="none"/>
        <vertAlign val="baseline"/>
        <sz val="10"/>
        <color theme="1"/>
        <name val="Verdana"/>
        <family val="2"/>
        <scheme val="none"/>
      </font>
      <numFmt numFmtId="172" formatCode="_ * #,##0_ ;_ * \-#,##0_ ;_ * &quot;-&quot;??_ ;_ @_ "/>
    </dxf>
    <dxf>
      <font>
        <strike val="0"/>
        <outline val="0"/>
        <shadow val="0"/>
        <u val="none"/>
        <vertAlign val="baseline"/>
        <sz val="10"/>
        <color theme="1"/>
        <name val="Verdana"/>
        <family val="2"/>
        <scheme val="none"/>
      </font>
      <numFmt numFmtId="172" formatCode="_ * #,##0_ ;_ * \-#,##0_ ;_ * &quot;-&quot;??_ ;_ @_ "/>
    </dxf>
    <dxf>
      <font>
        <strike val="0"/>
        <outline val="0"/>
        <shadow val="0"/>
        <u val="none"/>
        <vertAlign val="baseline"/>
        <sz val="10"/>
        <color theme="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90.xml"/><Relationship Id="rId21" Type="http://schemas.openxmlformats.org/officeDocument/2006/relationships/worksheet" Target="worksheets/sheet21.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63" Type="http://schemas.openxmlformats.org/officeDocument/2006/relationships/externalLink" Target="externalLinks/externalLink36.xml"/><Relationship Id="rId68" Type="http://schemas.openxmlformats.org/officeDocument/2006/relationships/externalLink" Target="externalLinks/externalLink41.xml"/><Relationship Id="rId84" Type="http://schemas.openxmlformats.org/officeDocument/2006/relationships/externalLink" Target="externalLinks/externalLink57.xml"/><Relationship Id="rId89" Type="http://schemas.openxmlformats.org/officeDocument/2006/relationships/externalLink" Target="externalLinks/externalLink62.xml"/><Relationship Id="rId112" Type="http://schemas.openxmlformats.org/officeDocument/2006/relationships/externalLink" Target="externalLinks/externalLink85.xml"/><Relationship Id="rId133" Type="http://schemas.openxmlformats.org/officeDocument/2006/relationships/externalLink" Target="externalLinks/externalLink106.xml"/><Relationship Id="rId138" Type="http://schemas.openxmlformats.org/officeDocument/2006/relationships/externalLink" Target="externalLinks/externalLink111.xml"/><Relationship Id="rId16" Type="http://schemas.openxmlformats.org/officeDocument/2006/relationships/worksheet" Target="worksheets/sheet16.xml"/><Relationship Id="rId107" Type="http://schemas.openxmlformats.org/officeDocument/2006/relationships/externalLink" Target="externalLinks/externalLink80.xml"/><Relationship Id="rId11" Type="http://schemas.openxmlformats.org/officeDocument/2006/relationships/worksheet" Target="worksheets/sheet11.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74" Type="http://schemas.openxmlformats.org/officeDocument/2006/relationships/externalLink" Target="externalLinks/externalLink47.xml"/><Relationship Id="rId79" Type="http://schemas.openxmlformats.org/officeDocument/2006/relationships/externalLink" Target="externalLinks/externalLink52.xml"/><Relationship Id="rId102" Type="http://schemas.openxmlformats.org/officeDocument/2006/relationships/externalLink" Target="externalLinks/externalLink75.xml"/><Relationship Id="rId123" Type="http://schemas.openxmlformats.org/officeDocument/2006/relationships/externalLink" Target="externalLinks/externalLink96.xml"/><Relationship Id="rId128" Type="http://schemas.openxmlformats.org/officeDocument/2006/relationships/externalLink" Target="externalLinks/externalLink101.xml"/><Relationship Id="rId5" Type="http://schemas.openxmlformats.org/officeDocument/2006/relationships/worksheet" Target="worksheets/sheet5.xml"/><Relationship Id="rId90" Type="http://schemas.openxmlformats.org/officeDocument/2006/relationships/externalLink" Target="externalLinks/externalLink63.xml"/><Relationship Id="rId95" Type="http://schemas.openxmlformats.org/officeDocument/2006/relationships/externalLink" Target="externalLinks/externalLink6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64" Type="http://schemas.openxmlformats.org/officeDocument/2006/relationships/externalLink" Target="externalLinks/externalLink37.xml"/><Relationship Id="rId69" Type="http://schemas.openxmlformats.org/officeDocument/2006/relationships/externalLink" Target="externalLinks/externalLink42.xml"/><Relationship Id="rId113" Type="http://schemas.openxmlformats.org/officeDocument/2006/relationships/externalLink" Target="externalLinks/externalLink86.xml"/><Relationship Id="rId118" Type="http://schemas.openxmlformats.org/officeDocument/2006/relationships/externalLink" Target="externalLinks/externalLink91.xml"/><Relationship Id="rId134" Type="http://schemas.openxmlformats.org/officeDocument/2006/relationships/externalLink" Target="externalLinks/externalLink107.xml"/><Relationship Id="rId13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4.xml"/><Relationship Id="rId72" Type="http://schemas.openxmlformats.org/officeDocument/2006/relationships/externalLink" Target="externalLinks/externalLink45.xml"/><Relationship Id="rId80" Type="http://schemas.openxmlformats.org/officeDocument/2006/relationships/externalLink" Target="externalLinks/externalLink53.xml"/><Relationship Id="rId85" Type="http://schemas.openxmlformats.org/officeDocument/2006/relationships/externalLink" Target="externalLinks/externalLink58.xml"/><Relationship Id="rId93" Type="http://schemas.openxmlformats.org/officeDocument/2006/relationships/externalLink" Target="externalLinks/externalLink66.xml"/><Relationship Id="rId98" Type="http://schemas.openxmlformats.org/officeDocument/2006/relationships/externalLink" Target="externalLinks/externalLink71.xml"/><Relationship Id="rId121" Type="http://schemas.openxmlformats.org/officeDocument/2006/relationships/externalLink" Target="externalLinks/externalLink94.xml"/><Relationship Id="rId14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externalLink" Target="externalLinks/externalLink40.xml"/><Relationship Id="rId103" Type="http://schemas.openxmlformats.org/officeDocument/2006/relationships/externalLink" Target="externalLinks/externalLink76.xml"/><Relationship Id="rId108" Type="http://schemas.openxmlformats.org/officeDocument/2006/relationships/externalLink" Target="externalLinks/externalLink81.xml"/><Relationship Id="rId116" Type="http://schemas.openxmlformats.org/officeDocument/2006/relationships/externalLink" Target="externalLinks/externalLink89.xml"/><Relationship Id="rId124" Type="http://schemas.openxmlformats.org/officeDocument/2006/relationships/externalLink" Target="externalLinks/externalLink97.xml"/><Relationship Id="rId129" Type="http://schemas.openxmlformats.org/officeDocument/2006/relationships/externalLink" Target="externalLinks/externalLink102.xml"/><Relationship Id="rId137" Type="http://schemas.openxmlformats.org/officeDocument/2006/relationships/externalLink" Target="externalLinks/externalLink110.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externalLink" Target="externalLinks/externalLink43.xml"/><Relationship Id="rId75" Type="http://schemas.openxmlformats.org/officeDocument/2006/relationships/externalLink" Target="externalLinks/externalLink48.xml"/><Relationship Id="rId83" Type="http://schemas.openxmlformats.org/officeDocument/2006/relationships/externalLink" Target="externalLinks/externalLink56.xml"/><Relationship Id="rId88" Type="http://schemas.openxmlformats.org/officeDocument/2006/relationships/externalLink" Target="externalLinks/externalLink61.xml"/><Relationship Id="rId91" Type="http://schemas.openxmlformats.org/officeDocument/2006/relationships/externalLink" Target="externalLinks/externalLink64.xml"/><Relationship Id="rId96" Type="http://schemas.openxmlformats.org/officeDocument/2006/relationships/externalLink" Target="externalLinks/externalLink69.xml"/><Relationship Id="rId111" Type="http://schemas.openxmlformats.org/officeDocument/2006/relationships/externalLink" Target="externalLinks/externalLink84.xml"/><Relationship Id="rId132" Type="http://schemas.openxmlformats.org/officeDocument/2006/relationships/externalLink" Target="externalLinks/externalLink105.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6" Type="http://schemas.openxmlformats.org/officeDocument/2006/relationships/externalLink" Target="externalLinks/externalLink79.xml"/><Relationship Id="rId114" Type="http://schemas.openxmlformats.org/officeDocument/2006/relationships/externalLink" Target="externalLinks/externalLink87.xml"/><Relationship Id="rId119" Type="http://schemas.openxmlformats.org/officeDocument/2006/relationships/externalLink" Target="externalLinks/externalLink92.xml"/><Relationship Id="rId127" Type="http://schemas.openxmlformats.org/officeDocument/2006/relationships/externalLink" Target="externalLinks/externalLink10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73" Type="http://schemas.openxmlformats.org/officeDocument/2006/relationships/externalLink" Target="externalLinks/externalLink46.xml"/><Relationship Id="rId78" Type="http://schemas.openxmlformats.org/officeDocument/2006/relationships/externalLink" Target="externalLinks/externalLink51.xml"/><Relationship Id="rId81" Type="http://schemas.openxmlformats.org/officeDocument/2006/relationships/externalLink" Target="externalLinks/externalLink54.xml"/><Relationship Id="rId86" Type="http://schemas.openxmlformats.org/officeDocument/2006/relationships/externalLink" Target="externalLinks/externalLink59.xml"/><Relationship Id="rId94" Type="http://schemas.openxmlformats.org/officeDocument/2006/relationships/externalLink" Target="externalLinks/externalLink67.xml"/><Relationship Id="rId99" Type="http://schemas.openxmlformats.org/officeDocument/2006/relationships/externalLink" Target="externalLinks/externalLink72.xml"/><Relationship Id="rId101" Type="http://schemas.openxmlformats.org/officeDocument/2006/relationships/externalLink" Target="externalLinks/externalLink74.xml"/><Relationship Id="rId122" Type="http://schemas.openxmlformats.org/officeDocument/2006/relationships/externalLink" Target="externalLinks/externalLink95.xml"/><Relationship Id="rId130" Type="http://schemas.openxmlformats.org/officeDocument/2006/relationships/externalLink" Target="externalLinks/externalLink103.xml"/><Relationship Id="rId135" Type="http://schemas.openxmlformats.org/officeDocument/2006/relationships/externalLink" Target="externalLinks/externalLink10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2.xml"/><Relationship Id="rId109" Type="http://schemas.openxmlformats.org/officeDocument/2006/relationships/externalLink" Target="externalLinks/externalLink82.xml"/><Relationship Id="rId34" Type="http://schemas.openxmlformats.org/officeDocument/2006/relationships/externalLink" Target="externalLinks/externalLink7.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6" Type="http://schemas.openxmlformats.org/officeDocument/2006/relationships/externalLink" Target="externalLinks/externalLink49.xml"/><Relationship Id="rId97" Type="http://schemas.openxmlformats.org/officeDocument/2006/relationships/externalLink" Target="externalLinks/externalLink70.xml"/><Relationship Id="rId104" Type="http://schemas.openxmlformats.org/officeDocument/2006/relationships/externalLink" Target="externalLinks/externalLink77.xml"/><Relationship Id="rId120" Type="http://schemas.openxmlformats.org/officeDocument/2006/relationships/externalLink" Target="externalLinks/externalLink93.xml"/><Relationship Id="rId125" Type="http://schemas.openxmlformats.org/officeDocument/2006/relationships/externalLink" Target="externalLinks/externalLink98.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4.xml"/><Relationship Id="rId92" Type="http://schemas.openxmlformats.org/officeDocument/2006/relationships/externalLink" Target="externalLinks/externalLink65.xml"/><Relationship Id="rId2" Type="http://schemas.openxmlformats.org/officeDocument/2006/relationships/worksheet" Target="worksheets/sheet2.xml"/><Relationship Id="rId29" Type="http://schemas.openxmlformats.org/officeDocument/2006/relationships/externalLink" Target="externalLinks/externalLink2.xml"/><Relationship Id="rId24" Type="http://schemas.openxmlformats.org/officeDocument/2006/relationships/worksheet" Target="worksheets/sheet24.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66" Type="http://schemas.openxmlformats.org/officeDocument/2006/relationships/externalLink" Target="externalLinks/externalLink39.xml"/><Relationship Id="rId87" Type="http://schemas.openxmlformats.org/officeDocument/2006/relationships/externalLink" Target="externalLinks/externalLink60.xml"/><Relationship Id="rId110" Type="http://schemas.openxmlformats.org/officeDocument/2006/relationships/externalLink" Target="externalLinks/externalLink83.xml"/><Relationship Id="rId115" Type="http://schemas.openxmlformats.org/officeDocument/2006/relationships/externalLink" Target="externalLinks/externalLink88.xml"/><Relationship Id="rId131" Type="http://schemas.openxmlformats.org/officeDocument/2006/relationships/externalLink" Target="externalLinks/externalLink104.xml"/><Relationship Id="rId136" Type="http://schemas.openxmlformats.org/officeDocument/2006/relationships/externalLink" Target="externalLinks/externalLink109.xml"/><Relationship Id="rId61" Type="http://schemas.openxmlformats.org/officeDocument/2006/relationships/externalLink" Target="externalLinks/externalLink34.xml"/><Relationship Id="rId82" Type="http://schemas.openxmlformats.org/officeDocument/2006/relationships/externalLink" Target="externalLinks/externalLink5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56" Type="http://schemas.openxmlformats.org/officeDocument/2006/relationships/externalLink" Target="externalLinks/externalLink29.xml"/><Relationship Id="rId77" Type="http://schemas.openxmlformats.org/officeDocument/2006/relationships/externalLink" Target="externalLinks/externalLink50.xml"/><Relationship Id="rId100" Type="http://schemas.openxmlformats.org/officeDocument/2006/relationships/externalLink" Target="externalLinks/externalLink73.xml"/><Relationship Id="rId105" Type="http://schemas.openxmlformats.org/officeDocument/2006/relationships/externalLink" Target="externalLinks/externalLink78.xml"/><Relationship Id="rId126" Type="http://schemas.openxmlformats.org/officeDocument/2006/relationships/externalLink" Target="externalLinks/externalLink9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514350</xdr:colOff>
      <xdr:row>22</xdr:row>
      <xdr:rowOff>133350</xdr:rowOff>
    </xdr:from>
    <xdr:to>
      <xdr:col>6</xdr:col>
      <xdr:colOff>1114424</xdr:colOff>
      <xdr:row>25</xdr:row>
      <xdr:rowOff>161924</xdr:rowOff>
    </xdr:to>
    <xdr:pic>
      <xdr:nvPicPr>
        <xdr:cNvPr id="3" name="Picture 2">
          <a:extLst>
            <a:ext uri="{FF2B5EF4-FFF2-40B4-BE49-F238E27FC236}">
              <a16:creationId xmlns:a16="http://schemas.microsoft.com/office/drawing/2014/main" id="{B184358B-EA4D-4ACD-8432-FC3D09BA61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1600" y="6229350"/>
          <a:ext cx="600074"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95249</xdr:colOff>
      <xdr:row>24</xdr:row>
      <xdr:rowOff>72390</xdr:rowOff>
    </xdr:from>
    <xdr:to>
      <xdr:col>12</xdr:col>
      <xdr:colOff>533399</xdr:colOff>
      <xdr:row>29</xdr:row>
      <xdr:rowOff>53340</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104899" y="4444365"/>
          <a:ext cx="7924800" cy="885825"/>
          <a:chOff x="409575" y="6515100"/>
          <a:chExt cx="5467350" cy="495300"/>
        </a:xfrm>
      </xdr:grpSpPr>
      <xdr:cxnSp macro="">
        <xdr:nvCxnSpPr>
          <xdr:cNvPr id="3" name="Straight Connector 2">
            <a:extLst>
              <a:ext uri="{FF2B5EF4-FFF2-40B4-BE49-F238E27FC236}">
                <a16:creationId xmlns:a16="http://schemas.microsoft.com/office/drawing/2014/main" id="{00000000-0008-0000-1400-000003000000}"/>
              </a:ext>
            </a:extLst>
          </xdr:cNvPr>
          <xdr:cNvCxnSpPr/>
        </xdr:nvCxnSpPr>
        <xdr:spPr>
          <a:xfrm flipV="1">
            <a:off x="409575" y="6515100"/>
            <a:ext cx="5467350" cy="49530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4" name="TextBox 3">
            <a:extLst>
              <a:ext uri="{FF2B5EF4-FFF2-40B4-BE49-F238E27FC236}">
                <a16:creationId xmlns:a16="http://schemas.microsoft.com/office/drawing/2014/main" id="{00000000-0008-0000-1400-000004000000}"/>
              </a:ext>
            </a:extLst>
          </xdr:cNvPr>
          <xdr:cNvSpPr txBox="1"/>
        </xdr:nvSpPr>
        <xdr:spPr>
          <a:xfrm rot="20922348">
            <a:off x="2948850" y="6694685"/>
            <a:ext cx="348884" cy="118567"/>
          </a:xfrm>
          <a:prstGeom prst="rect">
            <a:avLst/>
          </a:prstGeom>
          <a:solidFill>
            <a:sysClr val="window" lastClr="FFFFFF"/>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NA</a:t>
            </a:r>
          </a:p>
        </xdr:txBody>
      </xdr:sp>
    </xdr:grpSp>
    <xdr:clientData/>
  </xdr:twoCellAnchor>
  <xdr:twoCellAnchor>
    <xdr:from>
      <xdr:col>2</xdr:col>
      <xdr:colOff>95248</xdr:colOff>
      <xdr:row>210</xdr:row>
      <xdr:rowOff>104775</xdr:rowOff>
    </xdr:from>
    <xdr:to>
      <xdr:col>12</xdr:col>
      <xdr:colOff>581024</xdr:colOff>
      <xdr:row>225</xdr:row>
      <xdr:rowOff>38100</xdr:rowOff>
    </xdr:to>
    <xdr:grpSp>
      <xdr:nvGrpSpPr>
        <xdr:cNvPr id="5" name="Group 4">
          <a:extLst>
            <a:ext uri="{FF2B5EF4-FFF2-40B4-BE49-F238E27FC236}">
              <a16:creationId xmlns:a16="http://schemas.microsoft.com/office/drawing/2014/main" id="{00000000-0008-0000-1400-000005000000}"/>
            </a:ext>
          </a:extLst>
        </xdr:cNvPr>
        <xdr:cNvGrpSpPr/>
      </xdr:nvGrpSpPr>
      <xdr:grpSpPr>
        <a:xfrm>
          <a:off x="790573" y="43738800"/>
          <a:ext cx="8286751" cy="2647950"/>
          <a:chOff x="409575" y="6515100"/>
          <a:chExt cx="5467350" cy="495300"/>
        </a:xfrm>
      </xdr:grpSpPr>
      <xdr:cxnSp macro="">
        <xdr:nvCxnSpPr>
          <xdr:cNvPr id="6" name="Straight Connector 5">
            <a:extLst>
              <a:ext uri="{FF2B5EF4-FFF2-40B4-BE49-F238E27FC236}">
                <a16:creationId xmlns:a16="http://schemas.microsoft.com/office/drawing/2014/main" id="{00000000-0008-0000-1400-000006000000}"/>
              </a:ext>
            </a:extLst>
          </xdr:cNvPr>
          <xdr:cNvCxnSpPr/>
        </xdr:nvCxnSpPr>
        <xdr:spPr>
          <a:xfrm flipV="1">
            <a:off x="409575" y="6515100"/>
            <a:ext cx="5467350" cy="49530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7" name="TextBox 6">
            <a:extLst>
              <a:ext uri="{FF2B5EF4-FFF2-40B4-BE49-F238E27FC236}">
                <a16:creationId xmlns:a16="http://schemas.microsoft.com/office/drawing/2014/main" id="{00000000-0008-0000-1400-000007000000}"/>
              </a:ext>
            </a:extLst>
          </xdr:cNvPr>
          <xdr:cNvSpPr txBox="1"/>
        </xdr:nvSpPr>
        <xdr:spPr>
          <a:xfrm rot="19758021">
            <a:off x="3023608" y="6735928"/>
            <a:ext cx="344964" cy="45199"/>
          </a:xfrm>
          <a:prstGeom prst="rect">
            <a:avLst/>
          </a:prstGeom>
          <a:solidFill>
            <a:sysClr val="window" lastClr="FFFFFF"/>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NA</a:t>
            </a:r>
          </a:p>
        </xdr:txBody>
      </xdr:sp>
    </xdr:grpSp>
    <xdr:clientData/>
  </xdr:twoCellAnchor>
  <xdr:twoCellAnchor>
    <xdr:from>
      <xdr:col>2</xdr:col>
      <xdr:colOff>171449</xdr:colOff>
      <xdr:row>115</xdr:row>
      <xdr:rowOff>95250</xdr:rowOff>
    </xdr:from>
    <xdr:to>
      <xdr:col>12</xdr:col>
      <xdr:colOff>523874</xdr:colOff>
      <xdr:row>123</xdr:row>
      <xdr:rowOff>152400</xdr:rowOff>
    </xdr:to>
    <xdr:grpSp>
      <xdr:nvGrpSpPr>
        <xdr:cNvPr id="8" name="Group 7">
          <a:extLst>
            <a:ext uri="{FF2B5EF4-FFF2-40B4-BE49-F238E27FC236}">
              <a16:creationId xmlns:a16="http://schemas.microsoft.com/office/drawing/2014/main" id="{00000000-0008-0000-1400-000008000000}"/>
            </a:ext>
          </a:extLst>
        </xdr:cNvPr>
        <xdr:cNvGrpSpPr/>
      </xdr:nvGrpSpPr>
      <xdr:grpSpPr>
        <a:xfrm>
          <a:off x="866774" y="24060150"/>
          <a:ext cx="8153400" cy="1533525"/>
          <a:chOff x="409575" y="6515100"/>
          <a:chExt cx="5467350" cy="495300"/>
        </a:xfrm>
      </xdr:grpSpPr>
      <xdr:cxnSp macro="">
        <xdr:nvCxnSpPr>
          <xdr:cNvPr id="9" name="Straight Connector 8">
            <a:extLst>
              <a:ext uri="{FF2B5EF4-FFF2-40B4-BE49-F238E27FC236}">
                <a16:creationId xmlns:a16="http://schemas.microsoft.com/office/drawing/2014/main" id="{00000000-0008-0000-1400-000009000000}"/>
              </a:ext>
            </a:extLst>
          </xdr:cNvPr>
          <xdr:cNvCxnSpPr/>
        </xdr:nvCxnSpPr>
        <xdr:spPr>
          <a:xfrm flipV="1">
            <a:off x="409575" y="6515100"/>
            <a:ext cx="5467350" cy="49530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0" name="TextBox 9">
            <a:extLst>
              <a:ext uri="{FF2B5EF4-FFF2-40B4-BE49-F238E27FC236}">
                <a16:creationId xmlns:a16="http://schemas.microsoft.com/office/drawing/2014/main" id="{00000000-0008-0000-1400-00000A000000}"/>
              </a:ext>
            </a:extLst>
          </xdr:cNvPr>
          <xdr:cNvSpPr txBox="1"/>
        </xdr:nvSpPr>
        <xdr:spPr>
          <a:xfrm rot="20380632">
            <a:off x="3065421" y="6708885"/>
            <a:ext cx="389462" cy="80713"/>
          </a:xfrm>
          <a:prstGeom prst="rect">
            <a:avLst/>
          </a:prstGeom>
          <a:solidFill>
            <a:sysClr val="window" lastClr="FFFFFF"/>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NA</a:t>
            </a:r>
          </a:p>
        </xdr:txBody>
      </xdr:sp>
    </xdr:grpSp>
    <xdr:clientData/>
  </xdr:twoCellAnchor>
  <xdr:twoCellAnchor>
    <xdr:from>
      <xdr:col>2</xdr:col>
      <xdr:colOff>276225</xdr:colOff>
      <xdr:row>195</xdr:row>
      <xdr:rowOff>104775</xdr:rowOff>
    </xdr:from>
    <xdr:to>
      <xdr:col>12</xdr:col>
      <xdr:colOff>514350</xdr:colOff>
      <xdr:row>207</xdr:row>
      <xdr:rowOff>28575</xdr:rowOff>
    </xdr:to>
    <xdr:grpSp>
      <xdr:nvGrpSpPr>
        <xdr:cNvPr id="11" name="Group 10">
          <a:extLst>
            <a:ext uri="{FF2B5EF4-FFF2-40B4-BE49-F238E27FC236}">
              <a16:creationId xmlns:a16="http://schemas.microsoft.com/office/drawing/2014/main" id="{00000000-0008-0000-1400-00000B000000}"/>
            </a:ext>
          </a:extLst>
        </xdr:cNvPr>
        <xdr:cNvGrpSpPr/>
      </xdr:nvGrpSpPr>
      <xdr:grpSpPr>
        <a:xfrm>
          <a:off x="971550" y="40881300"/>
          <a:ext cx="8039100" cy="2238375"/>
          <a:chOff x="409575" y="6515100"/>
          <a:chExt cx="5467350" cy="495300"/>
        </a:xfrm>
      </xdr:grpSpPr>
      <xdr:cxnSp macro="">
        <xdr:nvCxnSpPr>
          <xdr:cNvPr id="12" name="Straight Connector 11">
            <a:extLst>
              <a:ext uri="{FF2B5EF4-FFF2-40B4-BE49-F238E27FC236}">
                <a16:creationId xmlns:a16="http://schemas.microsoft.com/office/drawing/2014/main" id="{00000000-0008-0000-1400-00000C000000}"/>
              </a:ext>
            </a:extLst>
          </xdr:cNvPr>
          <xdr:cNvCxnSpPr/>
        </xdr:nvCxnSpPr>
        <xdr:spPr>
          <a:xfrm flipV="1">
            <a:off x="409575" y="6515100"/>
            <a:ext cx="5467350" cy="49530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TextBox 12">
            <a:extLst>
              <a:ext uri="{FF2B5EF4-FFF2-40B4-BE49-F238E27FC236}">
                <a16:creationId xmlns:a16="http://schemas.microsoft.com/office/drawing/2014/main" id="{00000000-0008-0000-1400-00000D000000}"/>
              </a:ext>
            </a:extLst>
          </xdr:cNvPr>
          <xdr:cNvSpPr txBox="1"/>
        </xdr:nvSpPr>
        <xdr:spPr>
          <a:xfrm rot="19857734">
            <a:off x="3090150" y="6728907"/>
            <a:ext cx="352702" cy="49582"/>
          </a:xfrm>
          <a:prstGeom prst="rect">
            <a:avLst/>
          </a:prstGeom>
          <a:solidFill>
            <a:sysClr val="window" lastClr="FFFFFF"/>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NA</a:t>
            </a:r>
          </a:p>
        </xdr:txBody>
      </xdr:sp>
    </xdr:grpSp>
    <xdr:clientData/>
  </xdr:twoCellAnchor>
  <xdr:twoCellAnchor>
    <xdr:from>
      <xdr:col>2</xdr:col>
      <xdr:colOff>171450</xdr:colOff>
      <xdr:row>178</xdr:row>
      <xdr:rowOff>85725</xdr:rowOff>
    </xdr:from>
    <xdr:to>
      <xdr:col>12</xdr:col>
      <xdr:colOff>409575</xdr:colOff>
      <xdr:row>191</xdr:row>
      <xdr:rowOff>47625</xdr:rowOff>
    </xdr:to>
    <xdr:grpSp>
      <xdr:nvGrpSpPr>
        <xdr:cNvPr id="14" name="Group 13">
          <a:extLst>
            <a:ext uri="{FF2B5EF4-FFF2-40B4-BE49-F238E27FC236}">
              <a16:creationId xmlns:a16="http://schemas.microsoft.com/office/drawing/2014/main" id="{00000000-0008-0000-1400-00000E000000}"/>
            </a:ext>
          </a:extLst>
        </xdr:cNvPr>
        <xdr:cNvGrpSpPr/>
      </xdr:nvGrpSpPr>
      <xdr:grpSpPr>
        <a:xfrm>
          <a:off x="866775" y="37261800"/>
          <a:ext cx="8039100" cy="2628900"/>
          <a:chOff x="409575" y="6515100"/>
          <a:chExt cx="5467350" cy="495300"/>
        </a:xfrm>
      </xdr:grpSpPr>
      <xdr:cxnSp macro="">
        <xdr:nvCxnSpPr>
          <xdr:cNvPr id="15" name="Straight Connector 14">
            <a:extLst>
              <a:ext uri="{FF2B5EF4-FFF2-40B4-BE49-F238E27FC236}">
                <a16:creationId xmlns:a16="http://schemas.microsoft.com/office/drawing/2014/main" id="{00000000-0008-0000-1400-00000F000000}"/>
              </a:ext>
            </a:extLst>
          </xdr:cNvPr>
          <xdr:cNvCxnSpPr/>
        </xdr:nvCxnSpPr>
        <xdr:spPr>
          <a:xfrm flipV="1">
            <a:off x="409575" y="6515100"/>
            <a:ext cx="5467350" cy="49530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6" name="TextBox 15">
            <a:extLst>
              <a:ext uri="{FF2B5EF4-FFF2-40B4-BE49-F238E27FC236}">
                <a16:creationId xmlns:a16="http://schemas.microsoft.com/office/drawing/2014/main" id="{00000000-0008-0000-1400-000010000000}"/>
              </a:ext>
            </a:extLst>
          </xdr:cNvPr>
          <xdr:cNvSpPr txBox="1"/>
        </xdr:nvSpPr>
        <xdr:spPr>
          <a:xfrm rot="19857734">
            <a:off x="3091233" y="6729341"/>
            <a:ext cx="335460" cy="49582"/>
          </a:xfrm>
          <a:prstGeom prst="rect">
            <a:avLst/>
          </a:prstGeom>
          <a:solidFill>
            <a:sysClr val="window" lastClr="FFFFFF"/>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NA</a:t>
            </a:r>
          </a:p>
        </xdr:txBody>
      </xdr:sp>
    </xdr:grpSp>
    <xdr:clientData/>
  </xdr:twoCellAnchor>
  <xdr:twoCellAnchor>
    <xdr:from>
      <xdr:col>2</xdr:col>
      <xdr:colOff>133350</xdr:colOff>
      <xdr:row>145</xdr:row>
      <xdr:rowOff>133350</xdr:rowOff>
    </xdr:from>
    <xdr:to>
      <xdr:col>12</xdr:col>
      <xdr:colOff>523875</xdr:colOff>
      <xdr:row>157</xdr:row>
      <xdr:rowOff>114300</xdr:rowOff>
    </xdr:to>
    <xdr:grpSp>
      <xdr:nvGrpSpPr>
        <xdr:cNvPr id="17" name="Group 16">
          <a:extLst>
            <a:ext uri="{FF2B5EF4-FFF2-40B4-BE49-F238E27FC236}">
              <a16:creationId xmlns:a16="http://schemas.microsoft.com/office/drawing/2014/main" id="{00000000-0008-0000-1400-000011000000}"/>
            </a:ext>
          </a:extLst>
        </xdr:cNvPr>
        <xdr:cNvGrpSpPr/>
      </xdr:nvGrpSpPr>
      <xdr:grpSpPr>
        <a:xfrm>
          <a:off x="828675" y="30765750"/>
          <a:ext cx="8191500" cy="2419350"/>
          <a:chOff x="409575" y="6515100"/>
          <a:chExt cx="5467350" cy="495300"/>
        </a:xfrm>
      </xdr:grpSpPr>
      <xdr:cxnSp macro="">
        <xdr:nvCxnSpPr>
          <xdr:cNvPr id="18" name="Straight Connector 17">
            <a:extLst>
              <a:ext uri="{FF2B5EF4-FFF2-40B4-BE49-F238E27FC236}">
                <a16:creationId xmlns:a16="http://schemas.microsoft.com/office/drawing/2014/main" id="{00000000-0008-0000-1400-000012000000}"/>
              </a:ext>
            </a:extLst>
          </xdr:cNvPr>
          <xdr:cNvCxnSpPr/>
        </xdr:nvCxnSpPr>
        <xdr:spPr>
          <a:xfrm flipV="1">
            <a:off x="409575" y="6515100"/>
            <a:ext cx="5467350" cy="49530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9" name="TextBox 18">
            <a:extLst>
              <a:ext uri="{FF2B5EF4-FFF2-40B4-BE49-F238E27FC236}">
                <a16:creationId xmlns:a16="http://schemas.microsoft.com/office/drawing/2014/main" id="{00000000-0008-0000-1400-000013000000}"/>
              </a:ext>
            </a:extLst>
          </xdr:cNvPr>
          <xdr:cNvSpPr txBox="1"/>
        </xdr:nvSpPr>
        <xdr:spPr>
          <a:xfrm rot="19857734">
            <a:off x="3128207" y="6729422"/>
            <a:ext cx="335410" cy="52185"/>
          </a:xfrm>
          <a:prstGeom prst="rect">
            <a:avLst/>
          </a:prstGeom>
          <a:solidFill>
            <a:sysClr val="window" lastClr="FFFFFF"/>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95250</xdr:colOff>
      <xdr:row>12</xdr:row>
      <xdr:rowOff>677333</xdr:rowOff>
    </xdr:from>
    <xdr:to>
      <xdr:col>10</xdr:col>
      <xdr:colOff>1058333</xdr:colOff>
      <xdr:row>18</xdr:row>
      <xdr:rowOff>1058</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121833" y="3323166"/>
          <a:ext cx="9080500" cy="2996142"/>
          <a:chOff x="409575" y="6515100"/>
          <a:chExt cx="5467350" cy="495300"/>
        </a:xfrm>
      </xdr:grpSpPr>
      <xdr:cxnSp macro="">
        <xdr:nvCxnSpPr>
          <xdr:cNvPr id="3" name="Straight Connector 2">
            <a:extLst>
              <a:ext uri="{FF2B5EF4-FFF2-40B4-BE49-F238E27FC236}">
                <a16:creationId xmlns:a16="http://schemas.microsoft.com/office/drawing/2014/main" id="{00000000-0008-0000-1500-000003000000}"/>
              </a:ext>
            </a:extLst>
          </xdr:cNvPr>
          <xdr:cNvCxnSpPr/>
        </xdr:nvCxnSpPr>
        <xdr:spPr>
          <a:xfrm flipV="1">
            <a:off x="409575" y="6515100"/>
            <a:ext cx="5467350" cy="49530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4" name="TextBox 3">
            <a:extLst>
              <a:ext uri="{FF2B5EF4-FFF2-40B4-BE49-F238E27FC236}">
                <a16:creationId xmlns:a16="http://schemas.microsoft.com/office/drawing/2014/main" id="{00000000-0008-0000-1500-000004000000}"/>
              </a:ext>
            </a:extLst>
          </xdr:cNvPr>
          <xdr:cNvSpPr txBox="1"/>
        </xdr:nvSpPr>
        <xdr:spPr>
          <a:xfrm rot="20278806">
            <a:off x="3084198" y="6730917"/>
            <a:ext cx="229555" cy="54217"/>
          </a:xfrm>
          <a:prstGeom prst="rect">
            <a:avLst/>
          </a:prstGeom>
          <a:solidFill>
            <a:sysClr val="window" lastClr="FFFFFF"/>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NA</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ydvfp01\homedir\Documents%20and%20Settings\emusselman\Desktop\submit-a-site%20August%202001%20final%20report%20detai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sydvfp01\homedir\My%20Documents\Temp\Forecast%202001%20Revenue%20v4.01.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ExcelEVA%20Model-Samte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UR01PWINDGE\COMMON$$\Operations\AUDIT\Mar%2001\INDIANRECOMAR2001(1).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Modsam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ncheint01\itd\Impulse%20Reports\Jul-Aug\August%20Stock%20Valuation\Stockstatus-31%20Aug%20Market.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RIF-PC\Users\chandrab\Downloads\depreciation-cos-act-2013-calculator_New_Residual@Cost.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ravi\Personal\WINDOWS\TEMP\Shwami\mahesh%20singh.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avi\Personal\WINDOWS\TEMP\Vivek\Vivek_Cdrive\33.pr's%20MIs\Vivek_Cdrive\04.variance\04_05\Jan.'04\Presentation\01.FE.Analysis.Jan'05.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E:\Google%20Drive\Sonipat%20Office\Companies\1.%20Pawan%20chagti\Spectrum\FY%202021-22\Audit%20Workings\Financials\Financials.xlsx" TargetMode="External"/><Relationship Id="rId1" Type="http://schemas.openxmlformats.org/officeDocument/2006/relationships/externalLinkPath" Target="/Google%20Drive/Sonipat%20Office/Companies/1.%20Pawan%20chagti/Spectrum/FY%202021-22/Audit%20Workings/Financials/Financials.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er\e\ws%20index\Company%20Audit\Co.%20audit%2014\AVTAR%20IRON%20TUBES%20PVT%20LTD\Avtar%20Iron%20&amp;%20Tubes%20P%20Lt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nanceserver\data\Documents%20and%20Settings\Administrator\Desktop\Check_Report.xlt"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hortcut-targets-by-id/1085i1i0EHPaQvCYoYg-aVO5B6-fx3HFu/Finance/2.%20Priya/BKD/Financials%202021-2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nancials_With%20other%20Doc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OCUME~1\ROHIT~2.BHA\LOCALS~1\Temp\Operations\Summary%20Reports\WGE-PRINCI%20RUNOFF%20(COF%20&amp;%20RATE%20OF%20INTT%20)31-12-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TEMP\WGE-%20Cost%20Allocation%20Bases%20on%20PO%20ason%2031-12-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6048F62A\ConsolSkol31122002-ECBD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gurc00\Bottling\DOCUME~1\N93151\LOCALS~1\Temp\notesC9812B\~833443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KESH-PC\D\Pvt%20Ltd%20Co\CRAY\2013-14\Report%2013-14\H2%201314\Mar%2014\69-2014-03%20Asset%20Register.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cc-o1ofqsrkvqu\Sumit%20Sir%20DATA\D\Firm\GSM2\2008-09\Accounts\balance%20sheet\balance%20sheet\Balance%20sheet%20Mode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llserver\New%20folder\First%20Cut%20FInancials%20_UCC\First%20Cut%20FInancials%20_UCC\VF%20Connect_FY%201213.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COMMON\AUDIT\MCW\REPOR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gnserver\Documents%20and%20Settings\administrator\Local%20Settings\Temporary%20Internet%20Files\Content.IE5\7C88GHDK\march2002-tax%20accou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llserver\1.Deliverable%20_Final_March'10\SKOL%20%20Financials%20March%2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CC\Customer%20Care%20-input.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Copy%20of%20AAsamt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FP&amp;A\olddata\d\OP%20PLAN%202003\Templates\CountrywideOP03%20-%20Restated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ngurc00\Bottling\Ashutosh%20Goyal\Common\IGAAP%20Audit\2003\IGAAP%20Audit%202003\Final%20Audited%20IGAAP%20Template%20HCCB\Inventory\FG%20Tally%202002-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srg\My%20Documents\singapore\Ac%20reconciliation\1Q04\ASIAPACIFIC_INQUIRY_V7.13%20oracle%20enquir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EMP\2001%20KPI%20Report.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RecoveredExternalLink19"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finsrv\guest%20share\LADDERUP\PROJECTS\KISSAN\MOULDING\YR2004\cma%201%20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xfinsrv\guest%20share\LADDERUP\PROJECTS\KISSAN\MOULDING\YR2004\CMA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1.235\mapa$\DOCUME~1\nsingh\LOCALS~1\Temp\WINDOWS\Temporary%20Internet%20Files\OLK1203\22%20Dec\infosy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Finance\FM\Group\2002\0702\Fx\FX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77.100.158\Documents%20and%20Settings\Amit%20Mohan\Local%20Settings\Temporary%20Internet%20Files\OLK1D4\Copy%20of%20GL_SL-ACCOUNT%20CODE%20MATRIX%20(9-JAN-2008)%20-%20TE%20BE%20S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0.53\important%20files\Documents%20and%20Settings\sivaguru\Local%20Settings\Temporary%20Internet%20Files\Content.IE5\OFXNYAJL\PP_Master%20Templat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RVER\Office%20Data\Company2\Vulcan%20Moulds%20&amp;%20Dies%20Pvt%20Ltd\2005-06\Vulcan%20Moulds%20&amp;%20Dies%20Pvt%20Ltd\Final%20Annual%20Audit%20Report%202005-06\2-%20Financial%20Statement-2005-06%20-%20Az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Documents%20and%20Settings\y\Desktop\2006%20Q3\Opco%20PRIME%20Retrieve%20Template%20Q3%20Updat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lkaurgu\jacobs\2000-01\Thomas_00_01_FINAL_18jul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ndel009win\GROUPS\SGgroup\BlackRock-FII\AY2001-02\ROI_AY_2001-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10.11.249\mca\Users\cpdaudit\Desktop\Sec.%2043B%20workings%20(Sch.10%20to%203CD)%20-%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962F2067\ConsolSkol31122002-ECBD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ea-india\d1\d1\Audit%2007-08%20-%20MCA\BGR\Statutory%20dues\FBT\Audit\Fbt%20SANDEEP.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FP&amp;A\olddata\d\SI%202004\S1_2004_FP&amp;A_Template_-%20Workings.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RecoveredExternalLink26"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srg\Documents%20and%20Settings\Manoj.jain\Local%20Settings\Temporary%20Internet%20Files\OLK77\MIB_D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9BC1F979\ConsolSkol31122002-ECBD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del009win\GROUPS\fii-dk-2000\VAN%20ECK%20GROUP\VAN-WEMF\AY%202001-02\ROI_AY_2001-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c01\rad\RMJGA\HP\REV\Rev-Apr03%20H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ldanismi\smita\My%20Documents\SMITA\CIGNA\E_98-99.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TYRE1"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ellserver\pvt%20ltd%20co\VF%20Group%20Audit\stat%20audit\Indyarock\2011-12\Indyarocks\Tax%20audit\3CD%20&amp;%20Annexure%20to%20Form%203CD%20Indy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SBU-DOM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9B1A9162\ConsolSkol31122002-ECBD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ANBK0082\aws\Engagements\HCCB%201165%20-%20Karnatka\Dec%202003%20USGAAP%20review\Documents\E-3%20Inventory%20Summa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nwhar\PenguinHW\Finance\FM\1999%20Accounts\October\New%20overheads%20layout%20-%20October%201999%20amend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BHARDWAJ\Users\HO-ACC-PK\AppData\Local\Microsoft\Windows\Temporary%20Internet%20Files\Content.Outlook\2CXUUQP7\RecoveredExternalLink32"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eport%2005-06\Hard%20Close%20-%20Jan%2006\Documents%20and%20Settings\N.Srinivasu\Desktop\backup\Flash%202003-04\Balance%20Sheet(Original)\31.12.2002\ConsolSkol31122002-ECBDL.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vimoni%20bs2001-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rver\srg\DOCUME~1\ADMINI~1\LOCALS~1\Temp\Rar$DI60.562\Prashant%20Company\smart%20analyst\FINANCIAL%20STATEMENT_FY0910_Fina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3CD_2006(ann.%20Fin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00mohit\FAR%20March%202008\SKOL\CBL%20FAR\FAR%20IGAAP%20IFRS%202007-08-CB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26.77.100.158\Google%20Drive\Active%20Client%20Data\Companies\Voereir%20India%20Pvt.%20Ltd\2016-17\BALANCE%20SHEET2016-17.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srg\olddata\d\S1%202002\S1%202002_Ver1.2\S12002\Templates\gcf_S1%202002\CountrywideSI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pindauditor\c\DHS-MAR'02\Trial%20Mar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lpatankarsh\shilpa\My%20Documents\VIKRAM\Cargill-%20PR-98-99\Cargill-%20monthly%20payroll-98-99.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Assumption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OKESH-PC\a\Desktop\Cray\2012\Accounts\61%20Japan\SOX%20Documents\4-Reconciliations\61-201205%20CJ%20Asset%20Register.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WINDOWS\TEMP\2000%20KPI%20Repor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CRAY\2012\Global20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c\abc\f\FinSup\Plan01%20DJ\Supply%20Plan%20Review.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LOKESH-PC\d\D%20DATA\Pvt%20Ltd%20Co\CRAY\2014-15\Audit\Statutory%20Audit\Deliverable\2012-13\Report%2012-13\Mar%2013\69-2013-03%20BS%20Reconciliation%20by%20georg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2.4.9\old_data\shared\Financial%20Stmts%20-%202000\TEAM1_BS%2008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CC-O1OFQSRKVQU\Pvt.%20Ltd.%20Co\culomb%20technoligies%20pvt%20ltd%2030.11\TA%202010-11\ETDS\Non-Salary\Coulomb%20E%20TDS%202010-11\Qtr%201\TRANSACTIONSHEET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srg\Finance\Audit-PWC\Audit-Sep03\Schedules-Sep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ahman\INWARD_OUTWA\INWARD_OUTWARD_REGISTER_20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er\srg\Excel%20Enquiry%20Too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uditors2\c\My%20Documents\DRAFT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Accounts\RECS.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RecoveredExternalLink4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c\abc\f\DATA\60462cor\LOCALS~1\Temp\P1%20KPIS%20BY%20SI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ccount\e\Users\Amit\AppData\Local\Microsoft\Windows\Temporary%20Internet%20Files\Content.IE5\2PYLGZR1\alcatel\accounts\bharti\nldo\final-%20post%20310301\Bill%20Of%20Materials%20for%20Bharti%20-generated%20on%204th%20April%2020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er\srg\TEMP\WGE%20OPS%20MASTER\OPS20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Documents%20and%20Settings\mhnh\My%20Documents\2001\Asia%20Pacific\Plan\5Y_v2.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OKESH-PC\2014\Accounts\62%20Australia\SOX%20Documents\4-Reconciliations\62-201407%20BS%20Reconciliation.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OKESH-PC\D\69-2012-3%20BS%20Reconciliation%20by%20George%20-%20Corrected.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lduaar\Allot_Hasneeta\DOCUME~1\DLSONISO\LOCALS~1\Temp\PN_01-02_21May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26.77.100.158\Documents%20and%20Settings\DLF\My%20Documents\MY%20FOLDER\DAL\New%20rent%20roll\Updated%20changes%20after%2020%20nov%20final\Amit_Data\DOT\Business%20&amp;%20Properties\Business%20and%20Properties-Ver-7-11.5m-19.09.2007.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RecoveredExternalLink45"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For%20presentatio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er\srg\AUDIT\ARRTT-OCT\CW\NEA-CW-AUG-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LLSERVER\Pvt%20Ltd%20Co\F'06\Feb%2006\Creditors%20Details_De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VJAHDD\Data%20(D)\Documents%20and%20Settings\sumahajan\Local%20Settings\Temporary%20Internet%20Files\OLK2E\form%201%20Quarkcity.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erver\srg\DOCUME~1\ntyagi\LOCALS~1\Temp\notesC4A9C8\ITR6%20NEW%20DETAIL%20TDS(GECS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ANBK0082\aws\Engagements\HCCB%201165%20-%20Karnatka\Dec%202003%20USGAAP%20review\Documents\E-7%20Stores%20&amp;%20Spar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ELLSERVER\Pvt%20Ltd%20Co\Documents%20and%20Settings\ntoshniwal\Local%20Settings\Temp\Documents%20and%20Settings\N.Srinivasu\Desktop\backup\Flash%202003-04\Balance%20Sheet(Original)\31.12.2002\ConsolSkol31122002-ECBD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sydvfp01\homedir\Data\Year%20End%202001\BTLS%20Management%20Pack%20-%20December%202001%20(Final%20Working%20Version)%20Dec%2011.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UTV%20Balance%20Sheet%20Post%20Consolidat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erver\office%20data\Documents%20and%20Settings\Administrator\Desktop\Amrish\Balanee_sheet_2004_05_KDS(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sydvfp01\homedir\My%20Documents\Temp\Reforecast%20Q3%20v2.1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rver\srg\NEA\2002-2003\MAR\OTHERS\NEA\NEA-CW-MAR-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dc\rm\Documents%20and%20Settings\gupta_r\Local%20Settings\Temp\Mobility%20Business%20Plan%202003-04%20-%20Ver%204.5%20-%20Final%20-%20KPI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GPCOM"/>
      <sheetName val="CALCOM"/>
      <sheetName val="NDCOM"/>
      <sheetName val="concast-castable salary"/>
      <sheetName val="miscellaneous parameters"/>
      <sheetName val="qry exps"/>
      <sheetName val="Sheet2"/>
      <sheetName val="Sheet3"/>
      <sheetName val="vrs-03-04"/>
      <sheetName val="summary"/>
      <sheetName val="Working 2"/>
      <sheetName val="Working 1 (Pr)"/>
      <sheetName val="Working 1"/>
      <sheetName val="Page 4"/>
      <sheetName val="Page 3 (Pr)"/>
      <sheetName val="Page 3"/>
      <sheetName val="Page 2"/>
      <sheetName val="Page 1"/>
      <sheetName val="Page 1 (Pr)"/>
      <sheetName val="rev contrib"/>
      <sheetName val="bep_conc_castb"/>
      <sheetName val="Sheet1"/>
      <sheetName val="cfdatabase"/>
      <sheetName val="1"/>
      <sheetName val="#BEZUG"/>
      <sheetName val="MC"/>
      <sheetName val="Balance-Austria Total"/>
      <sheetName val="Template"/>
      <sheetName val="Definitions"/>
      <sheetName val="Commentary"/>
      <sheetName val="Instructions"/>
      <sheetName val="Template (2)"/>
      <sheetName val="FOS-2004"/>
      <sheetName val="PPV Report"/>
      <sheetName val="OEE"/>
      <sheetName val="Q.Ind.Payable report"/>
      <sheetName val="Info"/>
      <sheetName val="AllLegalEntities"/>
      <sheetName val="SitesLocations"/>
      <sheetName val="AllReportingEntities"/>
      <sheetName val="LookUpTables"/>
      <sheetName val="SteveOnly"/>
      <sheetName val="GI"/>
      <sheetName val="Food"/>
      <sheetName val="GermP"/>
      <sheetName val="Analg"/>
      <sheetName val="ATS"/>
      <sheetName val="CC"/>
      <sheetName val="CO"/>
      <sheetName val="ColdFlu"/>
      <sheetName val="DEC"/>
      <sheetName val="DermaSC"/>
      <sheetName val="YoungSC"/>
      <sheetName val="DH"/>
      <sheetName val="DIS"/>
      <sheetName val="PO"/>
      <sheetName val="Sore"/>
      <sheetName val="TSS"/>
      <sheetName val="FHR"/>
      <sheetName val="TOI"/>
      <sheetName val="SPC"/>
      <sheetName val="Project Cost"/>
      <sheetName val="TAX"/>
      <sheetName val="TAX.I"/>
      <sheetName val="TAX3"/>
      <sheetName val="TAX2"/>
      <sheetName val="IV-B.2"/>
      <sheetName val="0000"/>
      <sheetName val="일보"/>
      <sheetName val="입점율양식"/>
      <sheetName val="직거래 (2)"/>
      <sheetName val="팀별인원"/>
      <sheetName val="유통"/>
      <sheetName val="유통주간회의"/>
      <sheetName val="실적G (2)"/>
      <sheetName val="실적G"/>
      <sheetName val="실적G (3)"/>
      <sheetName val="실적G유"/>
      <sheetName val="실적G유 (2)"/>
      <sheetName val="유통별목표12"/>
      <sheetName val="실적G유세"/>
      <sheetName val="신업태98"/>
      <sheetName val="신업태99"/>
      <sheetName val="품목최종"/>
      <sheetName val="주요품목구성"/>
      <sheetName val="전주"/>
      <sheetName val="지점분석00"/>
      <sheetName val="점현황"/>
      <sheetName val="점현황20"/>
      <sheetName val="직거래"/>
      <sheetName val="직거래00"/>
      <sheetName val="직거래01"/>
      <sheetName val="기획분장"/>
      <sheetName val="기획과제"/>
      <sheetName val="영관분장"/>
      <sheetName val="영관중점"/>
      <sheetName val="SP분장"/>
      <sheetName val="SP업무과제"/>
      <sheetName val="인원운영"/>
      <sheetName val="교육계획"/>
      <sheetName val="특판분장"/>
      <sheetName val="특판업무과제"/>
      <sheetName val="특판업무과제2"/>
      <sheetName val="99지점별"/>
      <sheetName val="20지점별"/>
      <sheetName val="누계"/>
      <sheetName val="품목기획자료"/>
      <sheetName val="경쟁"/>
      <sheetName val="Chart"/>
      <sheetName val="Input"/>
      <sheetName val="Share"/>
      <sheetName val="Constant"/>
      <sheetName val="ADW"/>
      <sheetName val="FT"/>
      <sheetName val="WS"/>
      <sheetName val="DP"/>
      <sheetName val="FRB"/>
      <sheetName val="AC"/>
      <sheetName val="PC"/>
      <sheetName val="FF"/>
      <sheetName val="MPC"/>
      <sheetName val="APC"/>
      <sheetName val="BKIT"/>
      <sheetName val="GL"/>
      <sheetName val="TC"/>
      <sheetName val="ALQ"/>
      <sheetName val="DET"/>
      <sheetName val="FC"/>
      <sheetName val="HDW"/>
      <sheetName val="SC"/>
      <sheetName val="HS"/>
      <sheetName val="MS"/>
      <sheetName val="ON"/>
      <sheetName val="BBQ"/>
      <sheetName val="MY"/>
      <sheetName val="DRC"/>
      <sheetName val="VC"/>
      <sheetName val="OC"/>
      <sheetName val="LR"/>
      <sheetName val="APC DIS"/>
      <sheetName val="BATHKDIS"/>
      <sheetName val="DFP"/>
      <sheetName val="Sanitisers"/>
      <sheetName val="TCDIS"/>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REF"/>
      <sheetName val="월보.확정"/>
      <sheetName val="일보.확정"/>
      <sheetName val="key data"/>
      <sheetName val="DETAILED BUDGET PLAN"/>
      <sheetName val="HELP"/>
      <sheetName val="T1-Credit Lines"/>
      <sheetName val="T2-Investments"/>
      <sheetName val="T3-FX Deals"/>
      <sheetName val="T4-Off Balance Sheet"/>
      <sheetName val="T5-Bank Charges"/>
      <sheetName val="T6-3rd Party Interest"/>
      <sheetName val="T7-Static Data Changes"/>
      <sheetName val="T7-Static Data Changes_old"/>
      <sheetName val="data"/>
      <sheetName val="New PPV 2002"/>
      <sheetName val="New format"/>
      <sheetName val="Price Var"/>
      <sheetName val="PV (2)"/>
      <sheetName val="PV"/>
      <sheetName val="PV PD1"/>
      <sheetName val="PV PD12"/>
      <sheetName val="Units"/>
      <sheetName val="PC$ACM"/>
      <sheetName val="COSTES REALES DE COPACKERS"/>
      <sheetName val="FREIGHT DE COPACKERS"/>
      <sheetName val="ART CON MANIPULACION"/>
      <sheetName val="DESV.COPACKERS"/>
      <sheetName val="COPACKERS ORIGINAL"/>
      <sheetName val="RAPPELS DEL MES"/>
      <sheetName val="DESV.MATERIALES"/>
      <sheetName val="TABLA 2002 CON ZEOLITAS"/>
      <sheetName val="TABLA "/>
      <sheetName val="TABLA ABC- DIC-00"/>
      <sheetName val="ABC12MERCADERIASMES"/>
      <sheetName val="ABC12SEMIELABORADOMES"/>
      <sheetName val="ABC12MATERIALESMES"/>
      <sheetName val="ORIGINAL"/>
      <sheetName val="KPI sheet"/>
      <sheetName val="KPI comment"/>
      <sheetName val="gm"/>
      <sheetName val="Factory KPI"/>
      <sheetName val="FOS"/>
      <sheetName val="NPD november 2001"/>
      <sheetName val="project November 2001"/>
      <sheetName val="Sheet4"/>
      <sheetName val="SA Fin Perf 2007_17"/>
      <sheetName val="SA Fin Perf 2007_18"/>
      <sheetName val="SOA YTD Oct07_19"/>
      <sheetName val="India YTD Oct07MLC_20"/>
      <sheetName val="India YTD Oct07TGBP_21"/>
      <sheetName val="BD YTD Oct07MLC_22"/>
      <sheetName val="BD YTD Oct07TGBP_23"/>
      <sheetName val="SL YTD Oct07MLC_24"/>
      <sheetName val="SL YTD Oct07TGBP_25"/>
      <sheetName val="Ind YTD Sept MLC 26"/>
      <sheetName val="Ind YTD Sept07 TGBP 27"/>
      <sheetName val="SOA FY2007TGBP_28"/>
      <sheetName val="India FY2007MLC_29"/>
      <sheetName val="India FY2007TGBP_30"/>
      <sheetName val="BD FY2007MLC_31"/>
      <sheetName val="BD FY2007TGBP_32"/>
      <sheetName val="SL FY2007MLC_33"/>
      <sheetName val="SL FY2007TGBP_34"/>
      <sheetName val="ID FY2007MLC_35"/>
      <sheetName val="ID FY2007TGBP_36"/>
      <sheetName val="SOA NWC2007_37"/>
      <sheetName val="INDIA NWC2007_38"/>
      <sheetName val="BD NWC2007_39"/>
      <sheetName val="SL NWC2007_40"/>
      <sheetName val="ID NWC2007_41"/>
      <sheetName val="SOA-ExchangeRates_54"/>
      <sheetName val="SOACharts_56 to 60"/>
      <sheetName val="SOA PL2008TGBP_61"/>
      <sheetName val="SOA PL2008TGBP Phasing_62"/>
      <sheetName val="India PL2008MLC_66"/>
      <sheetName val="India PL2008TGBP_67"/>
      <sheetName val="BD PL2008MLC_68"/>
      <sheetName val="BD PL2008TGBP_69"/>
      <sheetName val="SL PL2008MLC_70"/>
      <sheetName val="SL PL2008TGBP_71"/>
      <sheetName val="ID PL2008MLC_72"/>
      <sheetName val="ID PL2008TGBP_73"/>
      <sheetName val="SOA NWC_2008_71"/>
      <sheetName val="INDIA NWC_2008_72"/>
      <sheetName val="BNGLD NWC_2008_73"/>
      <sheetName val="SRLNK NWC_2008_74"/>
      <sheetName val="INDNS NWC_2008_74A"/>
      <sheetName val="SOA Risk&amp;Opp2008_76"/>
      <sheetName val="SOA BTG2007TGBP_107"/>
      <sheetName val="India BTG2007MLC_108"/>
      <sheetName val="India BTG2007TGBP_109"/>
      <sheetName val="SL BTG2007MLC_110"/>
      <sheetName val="SL BTG2007TGBP_111"/>
      <sheetName val="BD BTG2007MLC_112"/>
      <sheetName val="BD BTG2007TGBP_113"/>
      <sheetName val="ID BTG2007MLC_113A"/>
      <sheetName val="ID BTG2007TGBP_113B"/>
      <sheetName val="SOA GMVA 2008_115"/>
      <sheetName val="INDIA GMVA _116"/>
      <sheetName val="SOA COC2008_117"/>
      <sheetName val="India COC2008_118"/>
      <sheetName val="SOA COP BldgBlk_119"/>
      <sheetName val="SAF-DeltaAnalysis"/>
      <sheetName val="KeyRatios_Pl2008"/>
      <sheetName val="SOA-NR Analysis"/>
      <sheetName val="Capex"/>
      <sheetName val="Factory Op Statement"/>
      <sheetName val="Reconciliation"/>
      <sheetName val="OtherKPI"/>
      <sheetName val="LC"/>
      <sheetName val="GBP"/>
      <sheetName val="Total South Africa"/>
      <sheetName val="Elandsfontein"/>
      <sheetName val="Durban"/>
      <sheetName val="CAPE TOWN"/>
      <sheetName val="Basis P&amp;L"/>
      <sheetName val="BS "/>
      <sheetName val="CEA"/>
      <sheetName val="Pivot"/>
      <sheetName val="Umsatz IG 2000"/>
      <sheetName val="Intra group"/>
      <sheetName val="de03_sales"/>
      <sheetName val="de03_sales_09"/>
      <sheetName val="conv"/>
      <sheetName val="Verteilung"/>
      <sheetName val="Phasing Productlevel"/>
      <sheetName val="cap01"/>
      <sheetName val="Stocks"/>
      <sheetName val="BS Sum"/>
      <sheetName val="Financials"/>
      <sheetName val="Gross Vol."/>
      <sheetName val="TM Rate"/>
      <sheetName val="Return Vol."/>
      <sheetName val="DB Incv."/>
      <sheetName val="DM rate"/>
      <sheetName val="NR"/>
      <sheetName val="COGS Rate"/>
      <sheetName val="STC Rate "/>
      <sheetName val="COGS Value"/>
      <sheetName val="MT"/>
      <sheetName val="MRP"/>
      <sheetName val="Trade Margin"/>
      <sheetName val="STC Net"/>
      <sheetName val="DM value"/>
      <sheetName val="TS"/>
      <sheetName val="TM"/>
      <sheetName val="TmDmDbins"/>
      <sheetName val="TM+DB Incv."/>
      <sheetName val="Return Value"/>
      <sheetName val="Mkt. Bud"/>
      <sheetName val="Mkt."/>
      <sheetName val="Stat case"/>
      <sheetName val="Provi+adj"/>
      <sheetName val="NR Per Case"/>
      <sheetName val="VAT prov"/>
      <sheetName val="COGS rate Adj"/>
      <sheetName val="TM adj"/>
      <sheetName val="Plan 2007"/>
      <sheetName val="Jan-00"/>
      <sheetName val="Jan"/>
      <sheetName val="Feb-00"/>
      <sheetName val="Feb"/>
      <sheetName val="Mar-00"/>
      <sheetName val="Mar"/>
      <sheetName val="Apr-00"/>
      <sheetName val="Apr"/>
      <sheetName val="May-00"/>
      <sheetName val="May"/>
      <sheetName val="Jun-00"/>
      <sheetName val="Jun"/>
      <sheetName val="Jul-00"/>
      <sheetName val="Jul"/>
      <sheetName val="Cust-July"/>
      <sheetName val="Aug-00"/>
      <sheetName val="Aug"/>
      <sheetName val="Cust-Aug"/>
      <sheetName val="Sep-00"/>
      <sheetName val="Sep"/>
      <sheetName val="Cust-Sep"/>
      <sheetName val="Oct-00"/>
      <sheetName val="Oct"/>
      <sheetName val="Nov-00"/>
      <sheetName val="Nov"/>
      <sheetName val="Dec-00 "/>
      <sheetName val="VOL1"/>
      <sheetName val="VOL2"/>
      <sheetName val="KPI-PAY"/>
      <sheetName val="KPI-Oee"/>
      <sheetName val="KPI-ppv"/>
      <sheetName val="MNFVAR"/>
      <sheetName val="OTH-ppv"/>
      <sheetName val="XPD"/>
      <sheetName val="XPI"/>
      <sheetName val="XPT"/>
      <sheetName val="SIMULACION"/>
      <sheetName val="KPI-P&amp;L"/>
      <sheetName val="P&amp;L"/>
      <sheetName val="GMV"/>
      <sheetName val="RECONC"/>
      <sheetName val="RATE"/>
      <sheetName val="GR1"/>
      <sheetName val="GR2"/>
      <sheetName val="GRANOLLERS"/>
      <sheetName val="RATE GBP HYP"/>
      <sheetName val="Fact Statement FC"/>
      <sheetName val="realis with ladle"/>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Summary_contr."/>
      <sheetName val="var"/>
      <sheetName val="RM "/>
      <sheetName val="rej_overs_exprt"/>
      <sheetName val="no.of days holding"/>
      <sheetName val="Plantwise"/>
      <sheetName val="SLB_PROD"/>
      <sheetName val="Sales Qty"/>
      <sheetName val="Pkg matr"/>
      <sheetName val="Payment_oa"/>
      <sheetName val="4yrs fixed exps"/>
      <sheetName val="Manpower_impact"/>
      <sheetName val="FC_Gain"/>
      <sheetName val="summary "/>
      <sheetName val="Working 2 "/>
      <sheetName val="Working"/>
      <sheetName val="Page 4 "/>
      <sheetName val="Page 3 "/>
      <sheetName val="de_dec._trgt"/>
      <sheetName val="de_wrkg_trgt"/>
      <sheetName val="Q.E Dec Summary"/>
      <sheetName val="power units"/>
      <sheetName val="EV"/>
      <sheetName val="AA ROUT "/>
      <sheetName val="HH ROUT"/>
      <sheetName val="WP"/>
      <sheetName val="OEE Jan"/>
      <sheetName val="price center"/>
      <sheetName val="Remark"/>
      <sheetName val="Price Trend"/>
      <sheetName val="Sum"/>
      <sheetName val="Price Var.report-337"/>
      <sheetName val="CON_RW_PK"/>
      <sheetName val="CON_IM_LO"/>
      <sheetName val="DETAILS"/>
      <sheetName val="Global format(Tk)"/>
      <sheetName val="Global format (GBP)"/>
      <sheetName val="54"/>
      <sheetName val="Top 20 RM"/>
      <sheetName val="Top 20 PM"/>
      <sheetName val="Copack"/>
      <sheetName val="prod Plan"/>
      <sheetName val="Control"/>
      <sheetName val="TR-regCls"/>
      <sheetName val="0.25%PF-without S2"/>
      <sheetName val="Senario 1"/>
      <sheetName val="Senario 2"/>
      <sheetName val="Senario3"/>
      <sheetName val="Senario 4"/>
      <sheetName val="Senario 5"/>
      <sheetName val="Senario6"/>
      <sheetName val="Senario7"/>
      <sheetName val="Senario8"/>
      <sheetName val="Senario9"/>
      <sheetName val="MaterialCost"/>
      <sheetName val="ARGENTINA"/>
      <sheetName val="AUSTRALIA"/>
      <sheetName val="BANGLA"/>
      <sheetName val="BRAZIL"/>
      <sheetName val="MALAYSIA"/>
      <sheetName val="NIGERIA"/>
      <sheetName val="PAKISTAN"/>
      <sheetName val="PHILIPPINES"/>
      <sheetName val="S. AFRICA"/>
      <sheetName val="SINGAPORE"/>
      <sheetName val="SPAIN"/>
      <sheetName val="SRI LANKA"/>
      <sheetName val="THAILAND"/>
      <sheetName val="UK-PLC"/>
      <sheetName val="UK-HULL"/>
      <sheetName val="USA"/>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 val="Title"/>
      <sheetName val="PPV by Material Type NZ"/>
      <sheetName val="PPV by Material Type Australia"/>
      <sheetName val="PPV Warehouse"/>
      <sheetName val="PPV Aerosols"/>
      <sheetName val="PPV W'Park"/>
      <sheetName val="PPV Household"/>
      <sheetName val="PPV"/>
      <sheetName val="Catreport"/>
      <sheetName val="A"/>
      <sheetName val="Freight &amp; Proc"/>
      <sheetName val="Mfg"/>
      <sheetName val="Q.C"/>
      <sheetName val="MfgVariance"/>
      <sheetName val="Marketing"/>
      <sheetName val="category"/>
      <sheetName val="F"/>
      <sheetName val="stdd costBPCS"/>
      <sheetName val="stdcostsku"/>
      <sheetName val="ti_sales"/>
      <sheetName val="Vol_var"/>
      <sheetName val="Vol_VarDec"/>
      <sheetName val="OHs"/>
      <sheetName val="NWC Check"/>
      <sheetName val="Bal Sheet Check"/>
      <sheetName val="Movement of TB"/>
      <sheetName val="P&amp;L export"/>
      <sheetName val="BS Export"/>
      <sheetName val="CoA (2)"/>
      <sheetName val="NWC1 PKR"/>
      <sheetName val="Cash Flow - Retrieve check 341"/>
      <sheetName val="Operating profit 341"/>
      <sheetName val="Non Cash Items 341"/>
      <sheetName val="P&amp;L per SKU"/>
      <sheetName val="Preise-neu"/>
      <sheetName val="COGS PL 98"/>
      <sheetName val="Alt-Neu Cogs Check"/>
      <sheetName val="YTD-KER"/>
      <sheetName val="Warth Pl 98"/>
      <sheetName val="Warth PL98 Neu 2"/>
      <sheetName val="Hallein Vol. PL 98"/>
      <sheetName val="Cogs pl98"/>
      <sheetName val="ARA"/>
      <sheetName val="Tons sold Export Sheet"/>
      <sheetName val="Intraentity per Businessunit"/>
      <sheetName val="Calc-Sheet"/>
      <sheetName val="Sales 1st sem"/>
      <sheetName val="Adjustments"/>
      <sheetName val="Item Master"/>
      <sheetName val="Item Branch"/>
      <sheetName val="Hyperion short-long"/>
      <sheetName val="Qties sold"/>
      <sheetName val="Intra+07"/>
      <sheetName val="conversions"/>
      <sheetName val="download booked IE"/>
      <sheetName val="Item Master premonth"/>
      <sheetName val="DN"/>
      <sheetName val="PMO ALL"/>
      <sheetName val="370 entries"/>
      <sheetName val="Consolidated TB"/>
      <sheetName val="BS before PMO"/>
      <sheetName val="BS afterPMO"/>
      <sheetName val="STOCK-ORDER-BILLING"/>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Pre_XML"/>
      <sheetName val="summ"/>
      <sheetName val="Assumption(2)"/>
      <sheetName val="contri &amp; profit"/>
      <sheetName val="PL "/>
      <sheetName val="cmt contr"/>
      <sheetName val="QW Cmt contr"/>
      <sheetName val="clk contr"/>
      <sheetName val="Amort"/>
      <sheetName val="notional_intrst"/>
      <sheetName val="Factor1"/>
      <sheetName val="x"/>
      <sheetName val="Cal_Br"/>
      <sheetName val="Cal_Br (ob)"/>
      <sheetName val="TRIALBAL_dec_03_cal_br"/>
      <sheetName val="Cmt. Wkg (3)"/>
      <sheetName val="Cmt. Wkg (2)"/>
      <sheetName val="Cmt. Wkg"/>
      <sheetName val="Sheet1 (2)"/>
      <sheetName val="Sheet1 (3)"/>
      <sheetName val="INVENTORY SKU"/>
      <sheetName val="INVENTORY STD"/>
      <sheetName val="MAIN MENU"/>
      <sheetName val="Labour By Branch"/>
      <sheetName val="HHold Labour Rate"/>
      <sheetName val="Aerosol Labour Rate"/>
      <sheetName val="WP Labour Rate"/>
      <sheetName val="Households"/>
      <sheetName val="Aerosol Cost Per Case"/>
      <sheetName val="HHOLD Cost Per Case"/>
      <sheetName val="WP Cost Per Case"/>
      <sheetName val="HH Chart - Volume"/>
      <sheetName val="HH  Chart - Labour"/>
      <sheetName val="Aerosol"/>
      <sheetName val="AA Chart - Labour"/>
      <sheetName val="AA Chart - Volume"/>
      <sheetName val="WETHERILL PARK"/>
      <sheetName val="WP Chart - Labour "/>
      <sheetName val="WP Chart - Volume"/>
      <sheetName val="Total Business"/>
      <sheetName val="Total Bus - Labour"/>
      <sheetName val="Total Bus - Volume"/>
      <sheetName val="Total Bus - Case"/>
      <sheetName val="SUPPLY REPORTING LABOUR- JANUAR"/>
      <sheetName val="Monat"/>
      <sheetName val="FOS2003"/>
      <sheetName val="FOS Actual"/>
      <sheetName val="FOS Plan"/>
      <sheetName val="FOS Format"/>
      <sheetName val="bgt.vs9mthupotdec.'04"/>
      <sheetName val="vc_comparision"/>
      <sheetName val="03-04_Org.bgt."/>
      <sheetName val="Org.bud._VS_rev.bgt"/>
      <sheetName val="Q1"/>
      <sheetName val="Q2"/>
      <sheetName val="Q3"/>
      <sheetName val="Q4"/>
      <sheetName val="total"/>
      <sheetName val="qtrwise_summary"/>
      <sheetName val="rbgt0405_vs_05-06"/>
      <sheetName val="Bgt.Target"/>
      <sheetName val="9mth.dec'04vs.bgt05-06vsTrgt"/>
      <sheetName val="recon"/>
      <sheetName val="Masters"/>
      <sheetName val="보고6월"/>
      <sheetName val="7월"/>
      <sheetName val="10월"/>
      <sheetName val="9월"/>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Part A General"/>
      <sheetName val="Subsidiary Co Details"/>
      <sheetName val="MD, Dir, Co. secy"/>
      <sheetName val="Beneficial_owners"/>
      <sheetName val="Balance Sheet"/>
      <sheetName val="Profit and Loss"/>
      <sheetName val="Other Info"/>
      <sheetName val="Stock details"/>
      <sheetName val="Part B"/>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cash flow"/>
      <sheetName val="Comp_of_Income "/>
      <sheetName val="Est._PL"/>
      <sheetName val="Depreciation"/>
      <sheetName val="Bank Interest"/>
      <sheetName val="2004-05"/>
      <sheetName val="Ac.subAc combination"/>
      <sheetName val="COGS"/>
      <sheetName val="FGcst"/>
      <sheetName val="FGcst (2)"/>
      <sheetName val="인천지점"/>
      <sheetName val="수원지점"/>
      <sheetName val="원주지점"/>
      <sheetName val="강릉지점"/>
      <sheetName val="합계"/>
      <sheetName val="95년실적"/>
      <sheetName val="Production &amp; Dispatc"/>
      <sheetName val="Day wise Cash flow"/>
      <sheetName val="Antrag"/>
      <sheetName val="Prämissen1"/>
      <sheetName val="Prämissen2"/>
      <sheetName val="Prämissen3"/>
      <sheetName val="Ausgabenplan"/>
      <sheetName val="kalkAbschreib"/>
      <sheetName val="Seite 1"/>
      <sheetName val="Seite 2"/>
      <sheetName val="Seite 3"/>
      <sheetName val="Modul1"/>
      <sheetName val="CL.WT.-HMSI"/>
      <sheetName val="FW-F8D-26-230101"/>
      <sheetName val="C. CHART-blank"/>
      <sheetName val="O.C.-CD100"/>
      <sheetName val="CD-LP-28"/>
      <sheetName val="SPC-BLANK"/>
      <sheetName val="SPC-BLANK (2)"/>
      <sheetName val="SPC-OC"/>
      <sheetName val="C. CHART-F.W.-P3R"/>
      <sheetName val="C. CHART-L.P.-P40"/>
      <sheetName val="C. CHART-O.C.-CD100"/>
      <sheetName val="C. CHART-L.P.-CD100"/>
      <sheetName val="L.P.-CD100"/>
      <sheetName val="O.C.-GBG"/>
      <sheetName val="CC-80"/>
      <sheetName val="CC-50"/>
      <sheetName val="CC-30"/>
      <sheetName val="CD-OC-21"/>
      <sheetName val="FW-HSCI(RICO-XX)"/>
      <sheetName val="FW-HSCI (RICO-YY)"/>
      <sheetName val="FW-HSCI (FRL-XX)"/>
      <sheetName val="FW-HSCI (FRL-YY)"/>
      <sheetName val="SPC_OC"/>
      <sheetName val="MIS"/>
      <sheetName val="Stock Monitoring "/>
      <sheetName val="PROD.&amp;DISP.STATUS"/>
      <sheetName val="Machining-Value in Nos."/>
      <sheetName val="Daily Report"/>
      <sheetName val="prod. report"/>
      <sheetName val="Stock Monitoring"/>
      <sheetName val="MIS (2)"/>
      <sheetName val="MIS (4)"/>
      <sheetName val="MIS (3)"/>
      <sheetName val="Sheet5"/>
      <sheetName val="Data Sheet"/>
      <sheetName val="Master part list"/>
      <sheetName val="Admin_Spreadsheet_Headcounts"/>
      <sheetName val="Headcount Details"/>
      <sheetName val="鋳造価格"/>
      <sheetName val="Qty"/>
      <sheetName val="Defectwise Rej."/>
      <sheetName val="Defectwise Rework"/>
      <sheetName val="ATTANDENCE"/>
      <sheetName val="VENDER"/>
      <sheetName val="Cost Wise Rejection  Trend"/>
      <sheetName val="Tool Cost"/>
      <sheetName val="Month Wise Trend"/>
      <sheetName val="TRAIL details (3)"/>
      <sheetName val="TRAIL details"/>
      <sheetName val="Action plan"/>
      <sheetName val="TRAIL details (2)"/>
      <sheetName val="KPI_TRACKER"/>
      <sheetName val="Graphical Representation "/>
      <sheetName val="PROJECT CHARTER"/>
      <sheetName val="Targets"/>
      <sheetName val="Baseline_Consummables"/>
      <sheetName val="Basline_Prodn"/>
      <sheetName val="Flash report"/>
      <sheetName val="SUMMERY"/>
      <sheetName val="TOTAL_CUTTING_REPORT"/>
      <sheetName val="CUTTING_PLAN"/>
      <sheetName val="R.M. RECEIVED"/>
      <sheetName val="Sheet                         4"/>
      <sheetName val="Production"/>
      <sheetName val="Stock Reg."/>
      <sheetName val="PPAP Info"/>
      <sheetName val="F.S. - Prod &amp; Rej."/>
      <sheetName val="Production upto 13.07.10"/>
      <sheetName val="RecoveredExternalLink1"/>
      <sheetName val="March-G-2011"/>
      <sheetName val="1000 T"/>
      <sheetName val="2500 T"/>
      <sheetName val="3500 T "/>
      <sheetName val="8000 T "/>
      <sheetName val="cumulative trend"/>
      <sheetName val="cumulative trend (SFD)"/>
      <sheetName val="CYCLETIME LINE-1"/>
      <sheetName val="CYCLETIME MASTER"/>
      <sheetName val="WEIGHT MASTER "/>
      <sheetName val="01.09.2017"/>
      <sheetName val="02.09.2017"/>
      <sheetName val="04.09.2017"/>
      <sheetName val="06.09.2017"/>
      <sheetName val="07.09.2017"/>
      <sheetName val="08.09.2017"/>
      <sheetName val="09.09.2017"/>
      <sheetName val="11.09.2017"/>
      <sheetName val="12.09.2017"/>
      <sheetName val="13.09.2017"/>
      <sheetName val="14.09.2017"/>
      <sheetName val="03.01.2016"/>
      <sheetName val="AFD PLAN VS OUTPUT"/>
      <sheetName val="PROCESSING PLAN VS OUTPUT"/>
      <sheetName val="MPI CURRENT CHART"/>
      <sheetName val="Sheet 1 (3)"/>
      <sheetName val="Sheet 2 (3)"/>
      <sheetName val="Sheet 3 (3)"/>
      <sheetName val="REVISION STATUS SHEET"/>
      <sheetName val="CHKLST"/>
      <sheetName val="ISAR"/>
      <sheetName val="APQP TIMING PLAN"/>
      <sheetName val="MANUFACTURING FEASIBILITY STUDY"/>
      <sheetName val="PSW"/>
      <sheetName val="APPROVAL REQUEST"/>
      <sheetName val="Layout"/>
      <sheetName val="INTERNAL LAB SCOPE"/>
      <sheetName val="QLIB"/>
      <sheetName val="GRR"/>
      <sheetName val="List of Supp."/>
      <sheetName val="Packaging"/>
      <sheetName val="CA"/>
      <sheetName val="GWK P&amp;L"/>
      <sheetName val="Journal"/>
      <sheetName val="Stats P&amp;L"/>
      <sheetName val="Jan to Dec Consol P&amp;L"/>
      <sheetName val="July to June P&amp;L"/>
      <sheetName val="GWK BS"/>
      <sheetName val="Sept BS for "/>
      <sheetName val="Consol BS"/>
      <sheetName val="Stats BS"/>
      <sheetName val="Man ac BS"/>
      <sheetName val="Amtek P&amp;L"/>
      <sheetName val="Amtek BS Consol"/>
      <sheetName val="Cashflow"/>
      <sheetName val="Amounts Paid"/>
      <sheetName val="Fixed Asset Workings"/>
      <sheetName val="FA Report"/>
      <sheetName val="Covenant Report"/>
      <sheetName val="Misc. Workings"/>
      <sheetName val="Control Report"/>
      <sheetName val="97 &amp; 98 YOY"/>
      <sheetName val="FSG"/>
      <sheetName val="1995"/>
      <sheetName val="1995 Vs. March"/>
      <sheetName val="1996"/>
      <sheetName val="1996 Vs. #589"/>
      <sheetName val="1997"/>
      <sheetName val="1998"/>
      <sheetName val="1995 Vs. ¬arc´"/>
      <sheetName val="JLF Budget"/>
      <sheetName val="MasterList"/>
      <sheetName val="5.1_SALES_ADDITIONAL INFO"/>
      <sheetName val="Inputs"/>
      <sheetName val="May w4 (5)"/>
      <sheetName val="April w1"/>
      <sheetName val="April w2"/>
      <sheetName val="April w3"/>
      <sheetName val="April w4"/>
      <sheetName val="May w1"/>
      <sheetName val="May w2"/>
      <sheetName val="May w3"/>
      <sheetName val="May w4"/>
      <sheetName val="Chakan"/>
      <sheetName val="Jun w1"/>
      <sheetName val="Jun w2"/>
      <sheetName val="Jun w3"/>
      <sheetName val="Jun w4"/>
      <sheetName val="July w1"/>
      <sheetName val="July w2"/>
      <sheetName val="July w3"/>
      <sheetName val="July w4"/>
      <sheetName val="Aug w1"/>
      <sheetName val="Aug w2 "/>
      <sheetName val="Aug w3"/>
      <sheetName val="Aug w4"/>
      <sheetName val="Sep w1 "/>
      <sheetName val="Sep w2"/>
      <sheetName val="Sep w3"/>
      <sheetName val="Sep w4"/>
      <sheetName val="Oct w1"/>
      <sheetName val="Oct w2"/>
      <sheetName val="Oct w3"/>
      <sheetName val="Oct w4"/>
      <sheetName val="Nov w1)"/>
      <sheetName val="Nov w2"/>
      <sheetName val="Nov w3"/>
      <sheetName val="Nov w4"/>
      <sheetName val="cap-util"/>
      <sheetName val="industry-perf-fin-123"/>
      <sheetName val="I Set-1"/>
      <sheetName val="I Set-2"/>
      <sheetName val="II Set-1"/>
      <sheetName val="II Set-2"/>
      <sheetName val="III Set-1"/>
      <sheetName val="IV Set-1"/>
      <sheetName val="V Set-1"/>
      <sheetName val="VI Set-1"/>
      <sheetName val="vehicles-stock"/>
      <sheetName val="manufacturer-wise"/>
      <sheetName val="export-destinations"/>
      <sheetName val="industry-perf-fin-67"/>
      <sheetName val="new JVs"/>
      <sheetName val="growth"/>
      <sheetName val="excise duty"/>
      <sheetName val="cap-prodn-1999-2000"/>
      <sheetName val="competitiveness"/>
      <sheetName val="cap-prodn 2000-01"/>
      <sheetName val="new projects"/>
      <sheetName val="exports"/>
      <sheetName val="imports"/>
      <sheetName val="Org-unorg"/>
      <sheetName val="abv"/>
      <sheetName val="10"/>
      <sheetName val="all"/>
      <sheetName val="Rev status sheet-01 (2)"/>
      <sheetName val="Sheet7"/>
      <sheetName val="2500TP (2)"/>
      <sheetName val="4000TP (3)"/>
      <sheetName val="8000TP (4)"/>
      <sheetName val="Rev status sheet-01"/>
      <sheetName val="Jan-15 Prodn Plan (R2)"/>
      <sheetName val="24.1.15"/>
      <sheetName val="23.1.15"/>
      <sheetName val="22.1.15"/>
      <sheetName val="21.1.15"/>
      <sheetName val="20.01.15"/>
      <sheetName val="19.01.15"/>
      <sheetName val="17.01.15"/>
      <sheetName val="16.01.15"/>
      <sheetName val="15.01.15"/>
      <sheetName val="14.01.15"/>
      <sheetName val="13.01.15"/>
      <sheetName val="12.01.15"/>
      <sheetName val="10.01.15"/>
      <sheetName val="09.01.15"/>
      <sheetName val="08.1.15"/>
      <sheetName val="06.1.15"/>
      <sheetName val="05.1.15"/>
      <sheetName val="03.15r"/>
      <sheetName val="02.15"/>
      <sheetName val="01.15"/>
      <sheetName val="Home Page"/>
      <sheetName val="A1-PPC-Part wise"/>
      <sheetName val="A2-PPC-Grade Wise"/>
      <sheetName val="Critical part Information"/>
      <sheetName val="Press Wise Criticality"/>
      <sheetName val="Prod Disp Entry"/>
      <sheetName val="Daily Prod. Reports"/>
      <sheetName val="WIP Report"/>
      <sheetName val="GWK Group Consol BS"/>
      <sheetName val="Total Machine Cost"/>
      <sheetName val="Tool Room "/>
      <sheetName val="Monthly P&amp;L TB"/>
      <sheetName val="master list"/>
      <sheetName val="Press Wise"/>
      <sheetName val="Oct09"/>
      <sheetName val="ope"/>
      <sheetName val="Tooling"/>
      <sheetName val=" Data"/>
      <sheetName val="picData"/>
      <sheetName val="PerformanceRpt"/>
      <sheetName val="Status Report"/>
      <sheetName val="1002"/>
      <sheetName val="1003"/>
      <sheetName val="1600"/>
      <sheetName val="2500"/>
      <sheetName val="Summary (2)"/>
      <sheetName val="Raw Material"/>
      <sheetName val="Cut pcs &amp; PF"/>
      <sheetName val="wip"/>
      <sheetName val="Graphs"/>
      <sheetName val="Basis"/>
      <sheetName val="debt"/>
      <sheetName val="Präsentation 2009"/>
      <sheetName val="Präsentation 2010"/>
      <sheetName val="Präsentation 2011"/>
      <sheetName val="Präsentation 2012"/>
      <sheetName val="Präsentation 2013"/>
      <sheetName val="INTERN"/>
      <sheetName val="EXTERN"/>
      <sheetName val="Q2010"/>
      <sheetName val="Q2011"/>
      <sheetName val="Q2012"/>
      <sheetName val="Q2013"/>
      <sheetName val="OV"/>
      <sheetName val="CF09"/>
      <sheetName val="VP"/>
      <sheetName val="LRP08"/>
      <sheetName val="LRP07"/>
      <sheetName val="8A09"/>
      <sheetName val="8F12"/>
      <sheetName val="9B01"/>
      <sheetName val="9B02"/>
      <sheetName val="9B03"/>
      <sheetName val="9B04"/>
      <sheetName val="9B05"/>
      <sheetName val="9B06"/>
      <sheetName val="9B07"/>
      <sheetName val="9B08"/>
      <sheetName val="9B09"/>
      <sheetName val="9B10"/>
      <sheetName val="9B11"/>
      <sheetName val="9B12"/>
      <sheetName val="10BQ1"/>
      <sheetName val="10BQ2"/>
      <sheetName val="10BQ3"/>
      <sheetName val="10BQ4"/>
      <sheetName val="11BQ1"/>
      <sheetName val="11BQ2"/>
      <sheetName val="11BQ3"/>
      <sheetName val="11BQ4"/>
      <sheetName val="12BQ1"/>
      <sheetName val="12BQ2"/>
      <sheetName val="12BQ3"/>
      <sheetName val="12BQ4"/>
      <sheetName val="13BQ1"/>
      <sheetName val="13BQ2"/>
      <sheetName val="13BQ3"/>
      <sheetName val="13BQ4"/>
      <sheetName val="NH09"/>
      <sheetName val="NHLRP"/>
      <sheetName val="HA09"/>
      <sheetName val="HALRP"/>
      <sheetName val="SM09"/>
      <sheetName val="SMLRP"/>
      <sheetName val="RO09"/>
      <sheetName val="ROLRP"/>
      <sheetName val="BR09"/>
      <sheetName val="BRLRP"/>
      <sheetName val="IT09"/>
      <sheetName val="ITLRP"/>
      <sheetName val="US09"/>
      <sheetName val="USLRP"/>
      <sheetName val="CO09"/>
      <sheetName val="COLRP"/>
      <sheetName val="TS09"/>
      <sheetName val="TSLRP"/>
      <sheetName val="NF09"/>
      <sheetName val="NFLRP"/>
      <sheetName val="GV09"/>
      <sheetName val="GVLRP"/>
      <sheetName val="RH09"/>
      <sheetName val="RHLRP"/>
      <sheetName val="VP09"/>
      <sheetName val="VPLRP"/>
      <sheetName val="AT09"/>
      <sheetName val="ATLRP"/>
      <sheetName val="AJ09"/>
      <sheetName val="AJLRP"/>
      <sheetName val="Infos"/>
      <sheetName val="NG09"/>
      <sheetName val="NGLRP"/>
      <sheetName val="Key Data Graph"/>
      <sheetName val="Graph Database"/>
      <sheetName val="Plan Input (Cap. Exp. Overv.) "/>
      <sheetName val="Plan Input (Cap Exp. Detail)"/>
      <sheetName val="PrdGrp"/>
      <sheetName val="P Input Staff"/>
      <sheetName val="P Input Assumptions"/>
      <sheetName val="HO Model--&gt;&gt;"/>
      <sheetName val="CTL HO Model"/>
      <sheetName val="Diamond HO Model"/>
      <sheetName val="Sapphire HO Model"/>
      <sheetName val="Gurgaon HO Model"/>
      <sheetName val="Baddi HO Model"/>
      <sheetName val="Palwal HO Model"/>
      <sheetName val="VA Plan --&gt;&gt;"/>
      <sheetName val="Summary VA"/>
      <sheetName val="Sales Analysis"/>
      <sheetName val="Sales Assumptions"/>
      <sheetName val="Diamond Sales Plan"/>
      <sheetName val="Diamond RM"/>
      <sheetName val="Karam Sales Plan (O)"/>
      <sheetName val="Sapphire Sales Plan"/>
      <sheetName val="Sapphire RM"/>
      <sheetName val="Ggn Sales Plan"/>
      <sheetName val="Ggn RM"/>
      <sheetName val="Karam Sales Plan"/>
      <sheetName val="Karam RM"/>
      <sheetName val="Baddi Sales Plan"/>
      <sheetName val="Scrap Income"/>
      <sheetName val="Costs --&gt;&gt;"/>
      <sheetName val="Employee Cost"/>
      <sheetName val="Manufacturing Cost"/>
      <sheetName val="SG&amp;A"/>
      <sheetName val="Plant Model --&gt;&gt;"/>
      <sheetName val="CTL Ajay Model (Backup)"/>
      <sheetName val="Diamond Ajay Model (Backup)"/>
      <sheetName val="Sapphire Ajay Model (Backup)"/>
      <sheetName val="Gurgaon Ajay Model (Backup)"/>
      <sheetName val="Baddi Ajay Model (Backup)"/>
      <sheetName val="Adjustment --&gt;&gt;"/>
      <sheetName val="Man Adj - Power (O)"/>
      <sheetName val="Man Adj - Power"/>
      <sheetName val="Man Adj - New Development"/>
      <sheetName val="Man Adj - Wastage-Rejection"/>
      <sheetName val="Capex--&gt;&gt;"/>
      <sheetName val="Diamond Capex Plan"/>
      <sheetName val="Sapphire Capex Plan"/>
      <sheetName val="Karam Capex Plan"/>
      <sheetName val="Historical Manufacturing --&gt;&gt;"/>
      <sheetName val="FY16 FS"/>
      <sheetName val="FY17 FS"/>
      <sheetName val="FY18 FS"/>
      <sheetName val="Guidelines"/>
      <sheetName val="Form"/>
      <sheetName val="Challan"/>
      <sheetName val="Annexure-I"/>
      <sheetName val="Annexure-II"/>
      <sheetName val="Annexure-III"/>
      <sheetName val="outPut"/>
      <sheetName val="ImportSheet"/>
      <sheetName val="Param"/>
      <sheetName val="Rejection "/>
      <sheetName val="Profit &amp; Sale"/>
      <sheetName val="Value Addition"/>
      <sheetName val="OP Vs Sale"/>
      <sheetName val="CTC Vs Sale"/>
      <sheetName val="CTC"/>
      <sheetName val="Casual Vs Sale"/>
      <sheetName val="Casual"/>
      <sheetName val="Maint Vs Sale"/>
      <sheetName val="Maint"/>
      <sheetName val="Oil &amp; Lub Vs Sale"/>
      <sheetName val="Oil &amp; Lubricant"/>
      <sheetName val="Diesel Vs Sale"/>
      <sheetName val="Diesel"/>
      <sheetName val="Power &amp; Fuel Vs Sale"/>
      <sheetName val="Power &amp; Fuel"/>
      <sheetName val="Con'able wrt Sa"/>
      <sheetName val="Con'able"/>
      <sheetName val="PROFIT "/>
      <sheetName val="Volumes "/>
      <sheetName val="Sale Value "/>
      <sheetName val="Casual Cost"/>
      <sheetName val="Consumable"/>
      <sheetName val="OSP "/>
      <sheetName val="Packing"/>
      <sheetName val="Forging+Bush Cost N.Line"/>
      <sheetName val="Fixed"/>
      <sheetName val="workings"/>
      <sheetName val="PRINCIPALE"/>
      <sheetName val="Machining Utilization"/>
      <sheetName val="US1"/>
      <sheetName val="US2"/>
      <sheetName val="CS HMC"/>
      <sheetName val="KN DMG"/>
      <sheetName val="Plant month"/>
      <sheetName val="Sheet17"/>
      <sheetName val="Sheet8"/>
      <sheetName val="ONE PAGER"/>
      <sheetName val="PROD."/>
      <sheetName val="REJEC."/>
      <sheetName val="EXP.HEAD"/>
      <sheetName val="Plan vs Actual"/>
      <sheetName val="M.R"/>
      <sheetName val="C.R"/>
      <sheetName val="Dispatch"/>
      <sheetName val="Expenditure"/>
      <sheetName val="Scrap"/>
      <sheetName val="PROD. (2)"/>
      <sheetName val="Avg. ref. with Actual"/>
      <sheetName val="CR%"/>
      <sheetName val="RM-Input"/>
      <sheetName val="PL STATEMENT-OCT'14 TO SEP'15"/>
      <sheetName val="Instruction Sheet"/>
      <sheetName val="PL Statement"/>
      <sheetName val="Budget Vs Actuals"/>
      <sheetName val="Ratios"/>
      <sheetName val="Customer Matrix"/>
      <sheetName val="APR_03"/>
      <sheetName val="MAY_03"/>
      <sheetName val="June_03"/>
      <sheetName val="Blank"/>
      <sheetName val="forging schedule March.-2018"/>
      <sheetName val="Payment req. wee#1"/>
      <sheetName val="Payment req. week#2"/>
      <sheetName val="Convayance@67K"/>
      <sheetName val="Payment req. week#3"/>
      <sheetName val="Payment req. week#4"/>
      <sheetName val="CMA"/>
      <sheetName val="Senstivity"/>
      <sheetName val="Assumptions"/>
      <sheetName val="P &amp; L"/>
      <sheetName val="B Sheet"/>
      <sheetName val="Break Even"/>
      <sheetName val="WC"/>
      <sheetName val="Power"/>
      <sheetName val="Dep&amp; IT"/>
      <sheetName val="S2groupcode"/>
      <sheetName val="Discarded links"/>
      <sheetName val="BHANDUP"/>
      <sheetName val="PLAN_FEB97"/>
      <sheetName val="Form D1"/>
      <sheetName val="Form D12"/>
      <sheetName val="Form D13"/>
      <sheetName val="MATERIAL TOTAL"/>
      <sheetName val="Form 5"/>
      <sheetName val="S3workplan"/>
      <sheetName val="bg-charges"/>
      <sheetName val="cl14"/>
      <sheetName val="FORM-W3"/>
      <sheetName val="RCC"/>
      <sheetName val="Summary of 13th RA"/>
      <sheetName val="AoR"/>
      <sheetName val="Officer Budget Form"/>
      <sheetName val="BASIC-Roads"/>
      <sheetName val="S.4.1_Auditors Remuneration"/>
      <sheetName val="S.4.2_Billing details"/>
      <sheetName val="S.4.3_SAP Dump"/>
      <sheetName val="S.3.1_Managerial Remuneration"/>
      <sheetName val="S.3.2_Ravi Uppal Compensation"/>
      <sheetName val="S.3.3_SRU Working"/>
      <sheetName val="S.3.4_Directors Fees"/>
      <sheetName val="S.3.5_Commission - Non Exec Dir"/>
      <sheetName val="S.3.6_GL Dump"/>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Reasons"/>
      <sheetName val="Flash "/>
      <sheetName val="high"/>
      <sheetName val="BS"/>
      <sheetName val="FP"/>
      <sheetName val="CF"/>
      <sheetName val="VARIANCE ANALYSIS"/>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emp"/>
      <sheetName val="int"/>
      <sheetName val="drs"/>
      <sheetName val="grist comp"/>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SALES"/>
      <sheetName val="Depreication"/>
      <sheetName val="OTHER INCOME"/>
      <sheetName val="Creditors"/>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profitability"/>
      <sheetName val="DEC WAGES "/>
      <sheetName val="DEC  EXP "/>
      <sheetName val="Creditors "/>
      <sheetName val="Stock Statement"/>
      <sheetName val="ytd adj"/>
      <sheetName val="Reco YTD SEPT 02"/>
      <sheetName val="Exp-YTD SEPT  02"/>
      <sheetName val="Int,Salary YTD SEPT  02"/>
      <sheetName val="TRIAL BALANCE"/>
      <sheetName val="BS-ARP"/>
      <sheetName val=" -P&amp;L -ARP"/>
      <sheetName val="P&amp;L-ARP"/>
      <sheetName val="Deprn -reasonability"/>
      <sheetName val="BS Schedules"/>
      <sheetName val="FA Schedule"/>
      <sheetName val="P&amp;L Schedules"/>
      <sheetName val="Sub-Schedules"/>
      <sheetName val="TB Dec 2003"/>
      <sheetName val="Audit Entries"/>
      <sheetName val="TB Dec 2002"/>
      <sheetName val="Basic Details"/>
      <sheetName val="PL Groupings"/>
      <sheetName val="PL variance"/>
      <sheetName val="BS Groupings"/>
      <sheetName val="BS variance"/>
      <sheetName val="FA Additions"/>
      <sheetName val="FA Deletions"/>
      <sheetName val="Interunit transfers"/>
      <sheetName val="FA Dep logic"/>
      <sheetName val="CWIP"/>
      <sheetName val="Capital advance"/>
      <sheetName val="Bank"/>
      <sheetName val="Prepayments"/>
      <sheetName val="Loans and advances"/>
      <sheetName val="ED on closing stock"/>
      <sheetName val="Qty recon"/>
      <sheetName val="Overhead Rate"/>
      <sheetName val="Overhead loading "/>
      <sheetName val="OSL"/>
      <sheetName val="PF"/>
      <sheetName val="ESI"/>
      <sheetName val="TDS"/>
      <sheetName val="Excise duty recon"/>
      <sheetName val="Cost of sales"/>
      <sheetName val="COGS Analysis"/>
      <sheetName val="Payroll variance"/>
      <sheetName val="Casual Labour Variance"/>
      <sheetName val="Freight Logic Test"/>
      <sheetName val="Excise duty balance"/>
      <sheetName val="Sales tax return"/>
      <sheetName val="VAT"/>
      <sheetName val="Tieup unit"/>
      <sheetName val="SPPR"/>
      <sheetName val="Accrual for schemes"/>
      <sheetName val="RECO (2)"/>
      <sheetName val="RECO (3)"/>
      <sheetName val="comparsion"/>
      <sheetName val="EXP TRIAL FACT"/>
      <sheetName val="final fact trial"/>
      <sheetName val="B.S.-Groupings"/>
      <sheetName val="P.L.-Groupings"/>
      <sheetName val="BS Schdl- 1 &amp; 2"/>
      <sheetName val="Reserve &amp; Surplus"/>
      <sheetName val="Secured Loans"/>
      <sheetName val="Unsecured Loans"/>
      <sheetName val="BS Schdl-3-Fixed Assets"/>
      <sheetName val="Other current assets"/>
      <sheetName val="Misc. Expenditure"/>
      <sheetName val="BS Schdl-4 to 10"/>
      <sheetName val="PL Schdl- 11 to 15"/>
      <sheetName val="EPS"/>
      <sheetName val="PENDING JV's"/>
      <sheetName val="trial (2)"/>
      <sheetName val="Assumptions (08-09)"/>
      <sheetName val="Plant Operating Plan"/>
      <sheetName val="Expenditure Summary"/>
      <sheetName val="Index Reference"/>
      <sheetName val="Manpower Cost"/>
      <sheetName val="Communication"/>
      <sheetName val="Internet &amp; Services"/>
      <sheetName val="R &amp; M Furniture"/>
      <sheetName val="H.Keeping"/>
      <sheetName val="Mag &amp; Subs"/>
      <sheetName val="Postage &amp; Shipping"/>
      <sheetName val="Print &amp; Stationery"/>
      <sheetName val="Financial Services"/>
      <sheetName val="Travel"/>
      <sheetName val="Training"/>
      <sheetName val="Recruitment"/>
      <sheetName val="Pantry Exp"/>
      <sheetName val="Staff Welfare"/>
      <sheetName val="Audit"/>
      <sheetName val="Permits &amp; Licences"/>
      <sheetName val="Pooja Exp"/>
      <sheetName val="Cash Purchase"/>
      <sheetName val="Taxi Hire Charges"/>
      <sheetName val="EHS"/>
      <sheetName val="LAB"/>
      <sheetName val="Consumables"/>
      <sheetName val="Tools"/>
      <sheetName val="Stores &amp; Spares"/>
      <sheetName val="Equipment Hire"/>
      <sheetName val="R &amp; M Equipment"/>
      <sheetName val="Fuel&amp; Maint for qup &amp; Vehicles"/>
      <sheetName val="Testing"/>
      <sheetName val="Waste Removal"/>
      <sheetName val="R &amp; M Buildg"/>
      <sheetName val="R &amp; M Roads"/>
      <sheetName val="R &amp; M Plant"/>
      <sheetName val="Services Eng"/>
      <sheetName val="Services Skilled"/>
      <sheetName val="Entertainment"/>
      <sheetName val="O&amp;M Contract(07-08)"/>
      <sheetName val="S I Exp"/>
      <sheetName val="Capital Budget."/>
      <sheetName val="Contingency"/>
      <sheetName val="Guest House"/>
      <sheetName val="Security"/>
      <sheetName val="57"/>
      <sheetName val="Assumption"/>
      <sheetName val="Schedules"/>
      <sheetName val="Debt Profile"/>
      <sheetName val="B&amp;S"/>
      <sheetName val="GE charges"/>
      <sheetName val="Income from Subsidiaries-Group "/>
      <sheetName val="Cover"/>
      <sheetName val="Directors"/>
      <sheetName val="Sch A"/>
      <sheetName val="Sch B"/>
      <sheetName val="Sch C-G"/>
      <sheetName val="BSA"/>
      <sheetName val="TB"/>
      <sheetName val="Sch H - Notes"/>
      <sheetName val="Dep"/>
      <sheetName val="Trial Bal 280203"/>
      <sheetName val="Balance Sheet "/>
      <sheetName val="Monthly exp"/>
      <sheetName val="Billing Data"/>
      <sheetName val="WIP 280203"/>
      <sheetName val="PL"/>
      <sheetName val="Schedules BS"/>
      <sheetName val="Sch-7"/>
      <sheetName val="Schedules PL"/>
      <sheetName val="grouping"/>
      <sheetName val="PartIV"/>
      <sheetName val="TB07"/>
      <sheetName val="TB06"/>
      <sheetName val="TB05"/>
      <sheetName val="TB04"/>
      <sheetName val="TB03"/>
      <sheetName val="Sec 212"/>
      <sheetName val="Tax Computation"/>
      <sheetName val="IT Depn "/>
      <sheetName val="depre logic"/>
      <sheetName val="far pivot"/>
      <sheetName val="Fareg"/>
      <sheetName val="cap commitment"/>
      <sheetName val="DF"/>
      <sheetName val="AR"/>
      <sheetName val="DT"/>
      <sheetName val="AP"/>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
      <sheetName val="AppA1-1"/>
      <sheetName val="AppA1-2"/>
      <sheetName val="AppA2-1"/>
      <sheetName val="AppA2-2"/>
      <sheetName val="AppA3"/>
      <sheetName val="AppA4"/>
      <sheetName val="July"/>
      <sheetName val="Contents"/>
      <sheetName val="ES1"/>
      <sheetName val="ES2"/>
      <sheetName val="ES3"/>
      <sheetName val="ES4"/>
      <sheetName val="Contents (2)"/>
      <sheetName val="ES1 (2)"/>
      <sheetName val="ES3 (2)"/>
      <sheetName val="ES5"/>
      <sheetName val="ES6"/>
      <sheetName val="ES7"/>
      <sheetName val="F-1"/>
      <sheetName val="L"/>
      <sheetName val="C"/>
      <sheetName val="M"/>
      <sheetName val="PB"/>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FF-1"/>
      <sheetName val="FF-2"/>
      <sheetName val="FF-4"/>
      <sheetName val="FF-4a"/>
      <sheetName val="FF-5"/>
      <sheetName val="FF-6"/>
      <sheetName val="FF-7"/>
      <sheetName val="FF-8"/>
      <sheetName val="11"/>
      <sheetName val="20"/>
      <sheetName val="21"/>
      <sheetName val="30"/>
      <sheetName val="40"/>
      <sheetName val="50"/>
      <sheetName val="DD-10"/>
      <sheetName val="FF-21(a)"/>
      <sheetName val="BPR"/>
      <sheetName val="Materiality"/>
      <sheetName val="F-6"/>
      <sheetName val="F-7"/>
      <sheetName val="F7wkg"/>
      <sheetName val="F-9"/>
      <sheetName val="BPR balance sheet"/>
      <sheetName val="BPR profit &amp; loss"/>
      <sheetName val="BPR BS analysis"/>
      <sheetName val="BPR PL analysis"/>
      <sheetName val="A-22"/>
      <sheetName val="B"/>
      <sheetName val="B-1"/>
      <sheetName val="C-1"/>
      <sheetName val="N"/>
      <sheetName val="U"/>
      <sheetName val="U-100"/>
      <sheetName val="FF-10"/>
      <sheetName val="FF-20"/>
      <sheetName val="FF-22(hp)"/>
      <sheetName val="FF-23(d)"/>
      <sheetName val="FF-30"/>
      <sheetName val="FF-31"/>
      <sheetName val="FF-40"/>
      <sheetName val="PP"/>
      <sheetName val="PP(spare)"/>
      <sheetName val="PP-20"/>
      <sheetName val="31"/>
      <sheetName val="AA"/>
      <sheetName val="BB"/>
      <sheetName val="BB-1"/>
      <sheetName val="MM"/>
      <sheetName val="13"/>
      <sheetName val="14"/>
      <sheetName val="NN-12"/>
      <sheetName val="PP-30"/>
      <sheetName val="PP-31"/>
      <sheetName val="PP-40"/>
      <sheetName val="BPR-1"/>
      <sheetName val="Note"/>
      <sheetName val="B-10"/>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Module1"/>
      <sheetName val="Module2"/>
      <sheetName val="Module3"/>
      <sheetName val="Future"/>
      <sheetName val="Attachment"/>
      <sheetName val="30 "/>
      <sheetName val="Recovered_Sheet1"/>
      <sheetName val="Consol adjustments"/>
      <sheetName val="Goodwill"/>
      <sheetName val="Financial stats"/>
      <sheetName val="Segment - 2002 (new)"/>
      <sheetName val="Segment - 2002"/>
      <sheetName val="Changes in equity"/>
      <sheetName val="Inter-co"/>
      <sheetName val="Inter-co(subsidiary)"/>
      <sheetName val="MI"/>
      <sheetName val="FA-detailed"/>
      <sheetName val="P&amp;L-disclosure(2002)"/>
      <sheetName val="P&amp;L disclosure(2001)"/>
      <sheetName val="Cash flow -2001"/>
      <sheetName val="Consol cashflow"/>
      <sheetName val="URP"/>
      <sheetName val="Dev Expenditure"/>
      <sheetName val="CF-1 2-unused"/>
      <sheetName val="Disposal"/>
      <sheetName val="Associate"/>
      <sheetName val="FA movement "/>
      <sheetName val="FA-summary"/>
      <sheetName val="CF-13"/>
      <sheetName val="CF-10-unused"/>
      <sheetName val="CF-11- unused"/>
      <sheetName val="FACON- unused"/>
      <sheetName val="CF-3 1999 - unused"/>
      <sheetName val="CF-22- unused"/>
      <sheetName val="Sheet1- unused"/>
      <sheetName val="000000"/>
      <sheetName val="bhb0603"/>
      <sheetName val="OS"/>
      <sheetName val="BPR-PL "/>
      <sheetName val="BPR-BS"/>
      <sheetName val="F-1,2"/>
      <sheetName val="F-99"/>
      <sheetName val="A-1"/>
      <sheetName val="A-10"/>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25"/>
      <sheetName val="dr"/>
      <sheetName val="Statement"/>
      <sheetName val="auditor"/>
      <sheetName val="acs"/>
      <sheetName val="xxx"/>
      <sheetName val="accumdeprn"/>
      <sheetName val="addl cost"/>
      <sheetName val="dev_exp (2)"/>
      <sheetName val="dev_exp"/>
      <sheetName val="Addl Dev Exp"/>
      <sheetName val="F-2 (2)"/>
      <sheetName val="CF-IS"/>
      <sheetName val="CF-SCE"/>
      <sheetName val="DIVIDENDS"/>
      <sheetName val="Cash Flows"/>
      <sheetName val="Profit anal"/>
      <sheetName val="F-1l F-2"/>
      <sheetName val="Income Statement"/>
      <sheetName val="Statement of Equity"/>
      <sheetName val="5 Analysis"/>
      <sheetName val="   Contents"/>
      <sheetName val="1 LeadSchedule"/>
      <sheetName val="2 Sec108"/>
      <sheetName val="3 P&amp;L - 4 Op.Exp"/>
      <sheetName val="3A Turnover 3B COS"/>
      <sheetName val="   Directors"/>
      <sheetName val="Shareholders"/>
      <sheetName val="Dividend"/>
      <sheetName val="ITA-RA"/>
      <sheetName val="Int-rest"/>
      <sheetName val="OTHER (2)"/>
      <sheetName val="Company Info"/>
      <sheetName val="Summary of Fixed Assets"/>
      <sheetName val="Additions"/>
      <sheetName val="Disposals"/>
      <sheetName val="Hire Purchase"/>
      <sheetName val="Le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OSM"/>
      <sheetName val="AWPs Template"/>
      <sheetName val="A2-1 CLA"/>
      <sheetName val="A2-2 RJE"/>
      <sheetName val="A2-3 SAD"/>
      <sheetName val="A3"/>
      <sheetName val="A8"/>
      <sheetName val="Review Recon"/>
      <sheetName val="Review Cash book"/>
      <sheetName val="E"/>
      <sheetName val="E1"/>
      <sheetName val="E3 Recoverability"/>
      <sheetName val="E-1_Recoverability"/>
      <sheetName val="E-2"/>
      <sheetName val="G"/>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
      <sheetName val="K-1"/>
      <sheetName val="Unrecorded"/>
      <sheetName val="O"/>
      <sheetName val="O-1_Prov.Tax-2004"/>
      <sheetName val="Capital allowance"/>
      <sheetName val="DEFERRED TAX"/>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D"/>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Notes 2"/>
      <sheetName val="cashflowcomp"/>
      <sheetName val="cashflowcomp (2)"/>
      <sheetName val="A2l2"/>
      <sheetName val="Q"/>
      <sheetName val="H"/>
      <sheetName val="OS list"/>
      <sheetName val="A3l1"/>
      <sheetName val="A3l1-1"/>
      <sheetName val="A2l1-RJE"/>
      <sheetName val="A2l2-CLA"/>
      <sheetName val="A2l3-SAD"/>
      <sheetName val="C8"/>
      <sheetName val="EA"/>
      <sheetName val="EC"/>
      <sheetName val="E1l1"/>
      <sheetName val="E7"/>
      <sheetName val="F1"/>
      <sheetName val="F2"/>
      <sheetName val="F3"/>
      <sheetName val="F4"/>
      <sheetName val="F5"/>
      <sheetName val="F6"/>
      <sheetName val="GA"/>
      <sheetName val="G1"/>
      <sheetName val="G2"/>
      <sheetName val="G4"/>
      <sheetName val="H1"/>
      <sheetName val="IA"/>
      <sheetName val="K1"/>
      <sheetName val="K2"/>
      <sheetName val="K3"/>
      <sheetName val="K3l1"/>
      <sheetName val="K4"/>
      <sheetName val="K5"/>
      <sheetName val="K6"/>
      <sheetName val="K7"/>
      <sheetName val="N1"/>
      <sheetName val="N2"/>
      <sheetName val="N8"/>
      <sheetName val="N9"/>
      <sheetName val="OA"/>
      <sheetName val="O1"/>
      <sheetName val="O2-CA"/>
      <sheetName val="O3-Disposal"/>
      <sheetName val="O4"/>
      <sheetName val="Pl1"/>
      <sheetName val="P1l2"/>
      <sheetName val="R"/>
      <sheetName val="R1-Sch I"/>
      <sheetName val="R2-Sch IIa"/>
      <sheetName val="R3-Sch IIb"/>
      <sheetName val="R4-Sch III"/>
      <sheetName val="R5-NQA04"/>
      <sheetName val="R6-NQA03"/>
      <sheetName val="R1"/>
      <sheetName val="R1l1"/>
      <sheetName val="R1l2"/>
      <sheetName val="S"/>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1"/>
      <sheetName val="C2 FD"/>
      <sheetName val="G2-1 "/>
      <sheetName val="K1-2 Policy"/>
      <sheetName val="N7Accrual"/>
      <sheetName val="Q1-1"/>
      <sheetName val="U1income statm"/>
      <sheetName val="u1ar"/>
      <sheetName val="U2direct cost"/>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Other"/>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UA"/>
      <sheetName val="accounts"/>
      <sheetName val="stmt of equity"/>
      <sheetName val="FA"/>
      <sheetName val="auditors' report"/>
      <sheetName val="Attach"/>
      <sheetName val="Hypo"/>
      <sheetName val="AP110 sup"/>
      <sheetName val="AP110sup"/>
      <sheetName val="FF "/>
      <sheetName val="FF-2 (1)"/>
      <sheetName val="FF-2 (2)"/>
      <sheetName val="FF-2 (3)"/>
      <sheetName val="KK-1"/>
      <sheetName val="MM-1"/>
      <sheetName val="MM-10"/>
      <sheetName val="NN-1"/>
      <sheetName val="Payroll"/>
      <sheetName val="U dis (3)"/>
      <sheetName val="U dis (2)"/>
      <sheetName val="F-1,2 (2)"/>
      <sheetName val="F-3 (2)"/>
      <sheetName val="F-22 (2)"/>
      <sheetName val="F-1,2 (3)"/>
      <sheetName val="F-3 (3)"/>
      <sheetName val="F-22 (3)"/>
      <sheetName val="CF-4 "/>
      <sheetName val="CF-1,2"/>
      <sheetName val="CF-3"/>
      <sheetName val="CF-4"/>
      <sheetName val="notes"/>
      <sheetName val="ccf"/>
      <sheetName val="Sheet6"/>
      <sheetName val="A5"/>
      <sheetName val="A5l1"/>
      <sheetName val="PPE"/>
      <sheetName val="(U3-2) Realised forex loss"/>
      <sheetName val="(U3) Unrealised forex gain-loss"/>
      <sheetName val="(U3-1) Realised forex gain"/>
      <sheetName val="**_x0000__x0000_"/>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CF workings"/>
      <sheetName val="Pg7"/>
      <sheetName val="Turnover"/>
      <sheetName val="SumV2"/>
      <sheetName val="WRAP"/>
      <sheetName val="Pg8"/>
      <sheetName val="Actvs Bud"/>
      <sheetName val="Pg15"/>
      <sheetName val="Current Year"/>
      <sheetName val="Pg11"/>
      <sheetName val="OHDcom"/>
      <sheetName val="SRM"/>
      <sheetName val="A6-1l1"/>
      <sheetName val="A6-1l2"/>
      <sheetName val="A3-1"/>
      <sheetName val="A3-3"/>
      <sheetName val="A4"/>
      <sheetName val="A3-7"/>
      <sheetName val="E "/>
      <sheetName val="F "/>
      <sheetName val="G "/>
      <sheetName val="K-1 "/>
      <sheetName val="K-2"/>
      <sheetName val="N-1"/>
      <sheetName val="O-1"/>
      <sheetName val="U1"/>
      <sheetName val="U1-1"/>
      <sheetName val="U2"/>
      <sheetName val="Data_Large"/>
      <sheetName val="Macros"/>
      <sheetName val="WIP Notes"/>
      <sheetName val="KPI Reporting"/>
      <sheetName val="Rec"/>
      <sheetName val="Master Alert"/>
      <sheetName val="Analysis"/>
      <sheetName val="Large"/>
      <sheetName val="Small"/>
      <sheetName val="Bots"/>
      <sheetName val="WIP CF"/>
      <sheetName val="Data_Small"/>
      <sheetName val="WIP CF Small"/>
      <sheetName val="i-c accruals"/>
      <sheetName val="PSD"/>
      <sheetName val="PSD INVOICES"/>
      <sheetName val="PSD CREDIT NOTES"/>
      <sheetName val="mkd 10"/>
      <sheetName val="mkd 11"/>
      <sheetName val="JNL Pivot"/>
      <sheetName val="JNL TEMLATE"/>
      <sheetName val="JNL TEMLATE BOTS"/>
      <sheetName val="WIP Calc"/>
      <sheetName val="Large HC"/>
      <sheetName val="Small HC"/>
      <sheetName val="Dec09 v Feb10"/>
      <sheetName val="list to artc"/>
      <sheetName val="Validation Tables"/>
      <sheetName val="Market Regions - 2010 Snapshot"/>
      <sheetName val="Market Regions - Summary"/>
      <sheetName val="Market Regions - Jul Month End"/>
      <sheetName val="Market Regions - Details"/>
      <sheetName val="DATABASE MU4"/>
      <sheetName val="RawData"/>
      <sheetName val="New Tables"/>
      <sheetName val="Old Tables"/>
      <sheetName val="Julie's Request Form"/>
      <sheetName val="SCR L_E 2002"/>
      <sheetName val="BIMP 13th August"/>
      <sheetName val="cash workings final (2)"/>
      <sheetName val="cash workings final"/>
      <sheetName val="depcal2006-07"/>
      <sheetName val="3CD"/>
      <sheetName val="Ann to Form 3CD"/>
      <sheetName val="ANN-I-list of books"/>
      <sheetName val="ANN-II-145A "/>
      <sheetName val="ANN-II-Depn under IT"/>
      <sheetName val="ANN-II-Depn under IT(final)"/>
      <sheetName val="ANN-IIA-additions to assets"/>
      <sheetName val="ANN-IV Section 35 D"/>
      <sheetName val="ANN-III-ESI"/>
      <sheetName val="ANN-IV-40 A 2 b"/>
      <sheetName val="ANN-V-43 B"/>
      <sheetName val="ANN-VII-43 B PF,ESI"/>
      <sheetName val="Ann VI Modvat"/>
      <sheetName val="ANN-VII-bf loss"/>
      <sheetName val="ANN-XI-TDS delay (full)"/>
      <sheetName val="Appendix VIII"/>
      <sheetName val="ANN-X-Ac ratios"/>
      <sheetName val="Leave Encashment"/>
      <sheetName val="FBT details"/>
      <sheetName val="ADV TDS details"/>
      <sheetName val="Database"/>
      <sheetName val="Lead Sheet"/>
      <sheetName val="Target Test"/>
      <sheetName val="RANSP - Service"/>
      <sheetName val="RANSP - Gift Articles"/>
      <sheetName val="LANSP - Schemes"/>
      <sheetName val="DIS Corporate"/>
      <sheetName val="10006"/>
      <sheetName val="10005"/>
      <sheetName val="15470"/>
      <sheetName val="15410"/>
      <sheetName val="15400"/>
      <sheetName val="15420"/>
      <sheetName val="15490"/>
      <sheetName val="15725"/>
      <sheetName val="15500"/>
      <sheetName val="15501"/>
      <sheetName val="15730"/>
      <sheetName val="19100"/>
      <sheetName val="22000 &amp; 22003"/>
      <sheetName val="22030"/>
      <sheetName val="23000"/>
      <sheetName val="23404"/>
      <sheetName val="23054"/>
      <sheetName val="23510"/>
      <sheetName val="23512"/>
      <sheetName val="23511"/>
      <sheetName val="23860"/>
      <sheetName val="24308"/>
      <sheetName val="24267"/>
      <sheetName val="24800"/>
      <sheetName val="24810"/>
      <sheetName val="24820"/>
      <sheetName val="24990"/>
      <sheetName val="Lead"/>
      <sheetName val="Links"/>
      <sheetName val="CRITERIA1"/>
      <sheetName val="CODE"/>
      <sheetName val="Journal 1"/>
      <sheetName val="15723 Oct "/>
      <sheetName val="Ad ageing tempOct05"/>
      <sheetName val="remittance"/>
      <sheetName val="15723 Sep"/>
      <sheetName val="Sept excess accrual"/>
      <sheetName val="Calculation"/>
      <sheetName val="Ann.II"/>
      <sheetName val="vendor listing (2)"/>
      <sheetName val="Controls"/>
      <sheetName val="Clause-21"/>
      <sheetName val="IDF (APCC)"/>
      <sheetName val="IDF Internal Orders (APCC)"/>
      <sheetName val="APCC"/>
      <sheetName val="GIT (APCC)"/>
      <sheetName val="SBI (APCC)"/>
      <sheetName val="GIT SBI (APCC)"/>
      <sheetName val="IDF Anomalies (APCC)"/>
      <sheetName val="Recon Data (APCC)"/>
      <sheetName val="Reference"/>
      <sheetName val="ASR Details"/>
      <sheetName val="JV"/>
      <sheetName val="CN"/>
      <sheetName val="Bad debt summary"/>
      <sheetName val="Summary (Actual)"/>
      <sheetName val="Aging Analysis"/>
      <sheetName val="Calc USD"/>
      <sheetName val="Hyperion(1)"/>
      <sheetName val="Calc LC$"/>
      <sheetName val="Hyperion"/>
      <sheetName val="India Adjustment"/>
      <sheetName val="bs-sch"/>
      <sheetName val="pl-sch"/>
      <sheetName val="income"/>
      <sheetName val="INV"/>
      <sheetName val="stock"/>
      <sheetName val="stock-sub"/>
      <sheetName val="fa-own"/>
      <sheetName val="bs-sub"/>
      <sheetName val="exp"/>
      <sheetName val="IT Depre - HAL"/>
      <sheetName val="Sheet2 (2)"/>
      <sheetName val="Depre"/>
      <sheetName val="Eval Historical Trend"/>
      <sheetName val="FYR"/>
      <sheetName val="Eval Ageing"/>
      <sheetName val="Evals Units"/>
      <sheetName val="Units REL"/>
      <sheetName val="All-REL"/>
      <sheetName val="All-HSMB"/>
      <sheetName val="Units HSMB"/>
      <sheetName val="SG"/>
      <sheetName val="MY "/>
      <sheetName val="TH"/>
      <sheetName val="TW"/>
      <sheetName val="IND"/>
      <sheetName val="SADMG"/>
      <sheetName val="TWPAD"/>
      <sheetName val="TH PAD"/>
      <sheetName val="MY &amp; SG PAD"/>
      <sheetName val="MY &amp; SG BSDR"/>
      <sheetName val="MY &amp; SG GCP"/>
      <sheetName val="EBC &amp; Others"/>
      <sheetName val="Stages"/>
      <sheetName val="Bs-grp (2)"/>
      <sheetName val="bs-sch2"/>
      <sheetName val="abstract"/>
      <sheetName val="212"/>
      <sheetName val="FAREGS"/>
      <sheetName val="own-assets-corp"/>
      <sheetName val="own-assets-dep"/>
      <sheetName val="LTA"/>
      <sheetName val="II"/>
      <sheetName val="II A"/>
      <sheetName val="III"/>
      <sheetName val="IV"/>
      <sheetName val="V"/>
      <sheetName val="VI"/>
      <sheetName val="VII"/>
      <sheetName val="VIII"/>
      <sheetName val="Invoice"/>
      <sheetName val="Lookups"/>
      <sheetName val="P&amp;L- Paste"/>
      <sheetName val="Net Income - Paste"/>
      <sheetName val="LTC-Blore"/>
      <sheetName val="Bonus-Blore"/>
      <sheetName val="Lunch Exps-Blore"/>
      <sheetName val="Staff Welfare -Blore"/>
      <sheetName val="Medical Exps-Blore"/>
      <sheetName val="Salary and Wages"/>
      <sheetName val="Variation"/>
      <sheetName val="Reasonability"/>
      <sheetName val="Gratuity and Leave Encashment"/>
      <sheetName val="Authentication"/>
      <sheetName val="CREXPORT1"/>
      <sheetName val="SAR"/>
      <sheetName val="Appointment"/>
      <sheetName val="SAL"/>
      <sheetName val="ESI-Blore"/>
      <sheetName val="BLR"/>
      <sheetName val="KOL"/>
      <sheetName val="Hyd bc"/>
      <sheetName val="EOU"/>
      <sheetName val="Baroda"/>
      <sheetName val="HO"/>
      <sheetName val="Savli"/>
      <sheetName val="Noida"/>
      <sheetName val="SAR-Retirement Benefits"/>
      <sheetName val="Retirement Benefits"/>
      <sheetName val="SAR-Payroll"/>
      <sheetName val="GRP"/>
      <sheetName val="Working-FA"/>
      <sheetName val="App II Mar 05"/>
      <sheetName val="Working App II Mar 05"/>
      <sheetName val="App II Mar 06"/>
      <sheetName val="Working FA-250"/>
      <sheetName val="Working -301"/>
      <sheetName val="CRITERIA2"/>
      <sheetName val="Aust"/>
      <sheetName val="ICBILL"/>
      <sheetName val="Aust_aging (2)"/>
      <sheetName val="Australia (SK)"/>
      <sheetName val="Aust-NZ"/>
      <sheetName val="SGP-Australia"/>
      <sheetName val="Aust-HK"/>
      <sheetName val="Aust-India"/>
      <sheetName val="SRN"/>
      <sheetName val="TNT"/>
      <sheetName val="Unisys"/>
      <sheetName val="P &amp; L (2)"/>
      <sheetName val="draft"/>
      <sheetName val="IT Cal"/>
      <sheetName val="Annex-7"/>
      <sheetName val="MAT"/>
      <sheetName val="B S"/>
      <sheetName val="P &amp; L (3)"/>
      <sheetName val="BS Abs"/>
      <sheetName val="SCH"/>
      <sheetName val="Cash Flow-final"/>
      <sheetName val="SCH 2"/>
      <sheetName val="SCH3"/>
      <sheetName val="SCH 5"/>
      <sheetName val="SCH 6(ii)"/>
      <sheetName val="SCH 7 (iii)"/>
      <sheetName val="SCH 7 (v)"/>
      <sheetName val="SCH 7 (vi)"/>
      <sheetName val="SCH 7 (vii)"/>
      <sheetName val="SCH 7 (iv)"/>
      <sheetName val="SCH 8 (A)(i)"/>
      <sheetName val="SCH 8 (A)(ii)"/>
      <sheetName val="SCH 8(A) (iii)"/>
      <sheetName val="SCH 8 (A)(iv)"/>
      <sheetName val="SCH 8 (A)(v)"/>
      <sheetName val="SCH 8 A(vi)"/>
      <sheetName val="SCH 12"/>
      <sheetName val="SCH 13"/>
      <sheetName val="FA DET"/>
      <sheetName val="Asset Sale"/>
      <sheetName val="Asset W Off"/>
      <sheetName val="Dep Cal"/>
      <sheetName val="Existing Asset"/>
      <sheetName val="Existing Asset-1"/>
      <sheetName val="Adv Tax"/>
      <sheetName val="Leave"/>
      <sheetName val="Gratuity"/>
      <sheetName val="Related Party"/>
      <sheetName val="Computation"/>
      <sheetName val="Comp Annex-1"/>
      <sheetName val="Comp Annex-2"/>
      <sheetName val="Capital Gains Workings"/>
      <sheetName val="Form 3CD"/>
      <sheetName val="TA Annex I"/>
      <sheetName val="TA Annex II"/>
      <sheetName val="TDS Receivable"/>
      <sheetName val="Annex-1"/>
      <sheetName val="Annex 1A"/>
      <sheetName val="Annex 2"/>
      <sheetName val="Annex 2A"/>
      <sheetName val="Annex-3"/>
      <sheetName val="Annex-3A"/>
      <sheetName val="Annex-4"/>
      <sheetName val="Annex-5"/>
      <sheetName val="Annex 4A"/>
      <sheetName val="Annex-5A"/>
      <sheetName val="Annex 4B"/>
      <sheetName val="Annex-6"/>
      <sheetName val="Annex-8A"/>
      <sheetName val="Annex-8B"/>
      <sheetName val="Annex-8C"/>
      <sheetName val="Annex-8D"/>
      <sheetName val="Annex-8E"/>
      <sheetName val="Annex-9"/>
      <sheetName val="Annex-10"/>
      <sheetName val="Carried Losses"/>
      <sheetName val="Forex"/>
      <sheetName val="FA IT"/>
      <sheetName val="IT additions"/>
      <sheetName val="Computation (2)"/>
      <sheetName val="MAT (2)"/>
      <sheetName val="Pay Details"/>
      <sheetName val="269 SS Annexure"/>
      <sheetName val="269T Annexure"/>
      <sheetName val="Entertainment tax"/>
      <sheetName val="DP &amp;MSO"/>
      <sheetName val="PSR"/>
      <sheetName val="Ad&amp; PT"/>
      <sheetName val="Valuation"/>
      <sheetName val="GE charges "/>
      <sheetName val="Annexure "/>
      <sheetName val="Anne 2"/>
      <sheetName val="Dep - IT"/>
      <sheetName val="Computation "/>
      <sheetName val="Annexure II"/>
      <sheetName val="SDEBTORS"/>
      <sheetName val="SCreditors"/>
      <sheetName val="Annexure to Form 3CD"/>
      <sheetName val="Profit Loss"/>
      <sheetName val="T D S Deducted"/>
      <sheetName val="ACCOUNT RATIOS"/>
      <sheetName val=" Schedules"/>
      <sheetName val="Clause 14"/>
      <sheetName val="SCH G"/>
      <sheetName val="Revised Computation"/>
      <sheetName val="Networth"/>
      <sheetName val="BS Analysis"/>
      <sheetName val="Cash Flow as on 31st Jan"/>
      <sheetName val="BS SCH"/>
      <sheetName val="fixed assets revised"/>
      <sheetName val="P&amp;L SCH"/>
      <sheetName val="current assets"/>
      <sheetName val="current liabilities"/>
      <sheetName val="dIRECT EXP"/>
      <sheetName val="INDIRECTEXP"/>
      <sheetName val="Cash Flow as on 31st March"/>
      <sheetName val="Cash Flow Workings (2)"/>
      <sheetName val="Trust BS"/>
      <sheetName val="Trust PL AC"/>
      <sheetName val="Rectification entry"/>
      <sheetName val="Cash Flow Workings"/>
      <sheetName val="P&amp;L Analysis"/>
      <sheetName val="CORP_FA"/>
      <sheetName val="BLR_FA"/>
      <sheetName val="bby_fa"/>
      <sheetName val="CALCUTTA_FA"/>
      <sheetName val="Bal Sh Analysis"/>
      <sheetName val="Project Ignite"/>
      <sheetName val="Recruiters"/>
      <sheetName val="Ali - Dec 8"/>
      <sheetName val="Kirit - Dec 8"/>
      <sheetName val="India - Startup"/>
      <sheetName val="India - Employees"/>
      <sheetName val="India - Jay Setup Costs"/>
      <sheetName val="Jay Post SJ Headcount"/>
      <sheetName val="Jay Headcount Detail"/>
      <sheetName val="Overhead Expenses"/>
      <sheetName val="Jay Twyford"/>
      <sheetName val="SP Sales Staff Budget"/>
      <sheetName val="SP Overview"/>
      <sheetName val="SP Costs"/>
      <sheetName val="SP All India Budget"/>
      <sheetName val="SP Kar"/>
      <sheetName val="SP West"/>
      <sheetName val="SP East"/>
      <sheetName val="SP Tamil Nadu"/>
      <sheetName val="SP North India"/>
      <sheetName val="SP Kerala"/>
      <sheetName val="SP AP"/>
      <sheetName val="Index1"/>
      <sheetName val="BS and PL"/>
      <sheetName val="BS Schedule IGAAP"/>
      <sheetName val="PL Schedule IGAAP"/>
      <sheetName val="BS Grouping IGAAP"/>
      <sheetName val="PL Grouping IGAAP"/>
      <sheetName val="Share Capital and EPS"/>
      <sheetName val="Sales variance"/>
      <sheetName val="Tie up units"/>
      <sheetName val="Qty recon (RM &amp; PM)"/>
      <sheetName val="Qty recon (FG)"/>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R1 IZ_Zuari"/>
      <sheetName val="Intra Group C_C"/>
      <sheetName val="interest"/>
      <sheetName val="Input schedule"/>
      <sheetName val="Consol"/>
      <sheetName val="Setup"/>
      <sheetName val="Hub Inputs"/>
      <sheetName val="Inida"/>
      <sheetName val="EPS "/>
      <sheetName val="FAR"/>
      <sheetName val="adjustments 09"/>
      <sheetName val="Adjustment 10"/>
      <sheetName val="BS grp"/>
      <sheetName val="PL grp"/>
      <sheetName val="CF workings 1"/>
      <sheetName val="Consumption workings"/>
      <sheetName val="CARO disclosure workings"/>
      <sheetName val="Reclassification"/>
      <sheetName val="Employment of capital"/>
      <sheetName val="EVA"/>
      <sheetName val="Country"/>
      <sheetName val="Long Term Borrowings"/>
      <sheetName val="Minorities"/>
      <sheetName val="FA LB"/>
      <sheetName val="Taxation"/>
      <sheetName val="Working capital"/>
      <sheetName val="US Engg"/>
      <sheetName val="US"/>
      <sheetName val="CT"/>
      <sheetName val="Merlin"/>
      <sheetName val="nMR"/>
      <sheetName val="Horizon"/>
      <sheetName val="C&amp;B"/>
      <sheetName val="T&amp;L"/>
      <sheetName val="Exchange"/>
      <sheetName val="DefaultSettings"/>
      <sheetName val="MOR JAN  03"/>
      <sheetName val="0"/>
      <sheetName val="BS_Notes"/>
      <sheetName val="Sh app"/>
      <sheetName val="Non Current_FA"/>
      <sheetName val="PL_Notes"/>
      <sheetName val="IT Computation"/>
      <sheetName val="IT DEP SCH"/>
      <sheetName val="DEP SCH"/>
      <sheetName val="BS GROUPING"/>
      <sheetName val="PL GROUPING"/>
      <sheetName val="Trial Balance "/>
      <sheetName val="TB_V1"/>
      <sheetName val="TB_31122011"/>
      <sheetName val="non current Inv"/>
      <sheetName val="Current Inv1"/>
      <sheetName val="Other BS Notes"/>
      <sheetName val="Stammdaten"/>
      <sheetName val="Bilanz"/>
      <sheetName val="GuV"/>
      <sheetName val="Bewegungsbilanz"/>
      <sheetName val="Kennzahlen"/>
      <sheetName val="BeweBil2"/>
      <sheetName val="Bilanz-IDL"/>
      <sheetName val="GuV-IDL"/>
      <sheetName val="KennZ-Daten"/>
      <sheetName val="your region"/>
      <sheetName val="BASE COST"/>
      <sheetName val="P&amp;E Cost"/>
      <sheetName val="WGE P&amp;E"/>
      <sheetName val="GCO 2002 P &amp; E"/>
      <sheetName val="WGE Base Cost "/>
      <sheetName val="GSC 2002  Base Cost"/>
      <sheetName val="GCO 2002  Base Cost"/>
      <sheetName val="GSC 2002 P &amp; E"/>
      <sheetName val="Example of SII Plan by Regions"/>
      <sheetName val="Regions Actual SII"/>
      <sheetName val="QFD Key"/>
      <sheetName val="SEBI BS"/>
      <sheetName val="Op_Non Link"/>
      <sheetName val="Op_Non SEBI"/>
      <sheetName val="SEBI MM"/>
      <sheetName val="Op_Non Break"/>
      <sheetName val="SEBI Crores YTD"/>
      <sheetName val="SEBI Crores Stan-alone+TimNwRom"/>
      <sheetName val="SEBI Crores Stan-alone %"/>
      <sheetName val="SEBI Crores Stan-alone"/>
      <sheetName val="SEBI 08-09 Lakh"/>
      <sheetName val=" Cashflow"/>
      <sheetName val="Sch E"/>
      <sheetName val="Sch A to C"/>
      <sheetName val="Sch D FA"/>
      <sheetName val="Sch F to M"/>
      <sheetName val="Sch N to S"/>
      <sheetName val="Entries"/>
      <sheetName val="TB Grouping"/>
      <sheetName val="Pivot FAssets"/>
      <sheetName val="Pivot Investments"/>
      <sheetName val="Pivot Cash and bank pivot"/>
      <sheetName val="Pivot Vendor"/>
      <sheetName val="BS-Schedule3"/>
      <sheetName val="Diluted_EPS"/>
      <sheetName val="Notes-BS"/>
      <sheetName val="Pivot-Other expenses"/>
      <sheetName val="BASE REAL"/>
      <sheetName val="KenZ-Daten"/>
      <sheetName val="EF-Daten"/>
      <sheetName val="Exchange rate"/>
      <sheetName val="Sales &amp; Marketing Dashboard"/>
      <sheetName val="Sales Exec by Stage"/>
      <sheetName val="Key Deals"/>
      <sheetName val="Closed Deals"/>
      <sheetName val="History Summary"/>
      <sheetName val="Oppty Data"/>
      <sheetName val="Oppty History Data"/>
      <sheetName val="Quota Forecast"/>
      <sheetName val="Forecast Sales Model"/>
      <sheetName val="Severity"/>
      <sheetName val="Region Input Position"/>
      <sheetName val="PCDW Position"/>
      <sheetName val="Position 3Q02"/>
      <sheetName val="Position2Q02"/>
      <sheetName val="Position3Q01"/>
      <sheetName val="Jul SRO"/>
      <sheetName val="I "/>
      <sheetName val="Salden"/>
      <sheetName val="Struktur"/>
      <sheetName val="IC-Salden"/>
      <sheetName val="Anlagenbew"/>
      <sheetName val="Ruckstbew"/>
      <sheetName val="Kapitalbew"/>
      <sheetName val="P 1"/>
      <sheetName val="F 1"/>
      <sheetName val="L 1"/>
      <sheetName val="A 1"/>
      <sheetName val="A 2"/>
      <sheetName val="A 1 Local"/>
      <sheetName val="A 2 Local"/>
      <sheetName val="R 1"/>
      <sheetName val="R 2"/>
      <sheetName val="PL Y"/>
      <sheetName val="BS Y"/>
      <sheetName val="CF Y"/>
      <sheetName val="Dateneingabe MIS"/>
      <sheetName val="Start"/>
      <sheetName val="BSY PLY"/>
      <sheetName val="EXPLOT AGUA PVC"/>
      <sheetName val="Master"/>
      <sheetName val="Temp"/>
      <sheetName val="SysMargin"/>
      <sheetName val="Len"/>
      <sheetName val="Parameter"/>
      <sheetName val="RevV1"/>
      <sheetName val="RevV2"/>
      <sheetName val="RevV3"/>
      <sheetName val="MarV1"/>
      <sheetName val="MarV2"/>
      <sheetName val="MarV3"/>
      <sheetName val="V1"/>
      <sheetName val="V2"/>
      <sheetName val="V3"/>
      <sheetName val="Margin1"/>
      <sheetName val="Margin2"/>
      <sheetName val="Margin3"/>
      <sheetName val="Cost"/>
      <sheetName val="00Act"/>
      <sheetName val="01Act"/>
      <sheetName val="02ACT"/>
      <sheetName val="03Plan"/>
      <sheetName val="FebSRO-V5"/>
      <sheetName val="OctSRO@"/>
      <sheetName val="OctSRO2@"/>
      <sheetName val="OctSRO3@"/>
      <sheetName val="OctSRO4@"/>
      <sheetName val="AugSRO@"/>
      <sheetName val="02Act@"/>
      <sheetName val="03Act@"/>
      <sheetName val="03ACT"/>
      <sheetName val="NovSRO"/>
      <sheetName val="S2 w Pitts HQ"/>
      <sheetName val="SII3@"/>
      <sheetName val="SII3 no HQ no Pitts"/>
      <sheetName val="SII4@"/>
      <sheetName val="SII5@"/>
      <sheetName val="ADS 04 Target"/>
      <sheetName val="INQVAR PY"/>
      <sheetName val="Mapping"/>
      <sheetName val="Mapping table"/>
      <sheetName val="Pacific"/>
      <sheetName val="north south baroda"/>
      <sheetName val="12-19-00"/>
      <sheetName val="Comparisions"/>
      <sheetName val="July SRO "/>
      <sheetName val="Year 2003 Actuals"/>
      <sheetName val="Year 2002 Actuals"/>
      <sheetName val="Feb SRO"/>
      <sheetName val="DM 2003"/>
      <sheetName val="DM 2002"/>
      <sheetName val="DM Feb SRO"/>
      <sheetName val="India"/>
      <sheetName val="Noryl"/>
      <sheetName val="Sys Sum"/>
      <sheetName val="GM Credit"/>
      <sheetName val="GM Credit (2)"/>
      <sheetName val="OP Sum"/>
      <sheetName val="VCP"/>
      <sheetName val="Act v Est"/>
      <sheetName val="Contractors"/>
      <sheetName val="Indirect"/>
      <sheetName val="Action"/>
      <sheetName val="R&amp;O "/>
      <sheetName val="AvgTxpx"/>
      <sheetName val="SRO v OP"/>
      <sheetName val="SRO v 02"/>
      <sheetName val="R&amp;O"/>
      <sheetName val="AvgCostVerify"/>
      <sheetName val="WC (2)"/>
      <sheetName val="Cur"/>
      <sheetName val="Est"/>
      <sheetName val="Pri"/>
      <sheetName val="MonthCur"/>
      <sheetName val="MonthPri"/>
      <sheetName val="RevCur"/>
      <sheetName val="RevEst"/>
      <sheetName val="RevPri"/>
      <sheetName val="CostCur"/>
      <sheetName val="CostEst"/>
      <sheetName val="CostPri"/>
      <sheetName val="Manu"/>
      <sheetName val="C&amp;B Template"/>
      <sheetName val="FX"/>
      <sheetName val="SOP"/>
      <sheetName val="Lists"/>
      <sheetName val="Part A"/>
      <sheetName val="Beneficial Owners"/>
      <sheetName val="Subsidiary Companies"/>
      <sheetName val="Other Information"/>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Ack"/>
      <sheetName val="f.oil dec"/>
      <sheetName val="hsd"/>
      <sheetName val="Ut 03-04"/>
      <sheetName val="powerdec"/>
      <sheetName val="water"/>
      <sheetName val="ravi"/>
      <sheetName val="downtime"/>
      <sheetName val="sakthi dec"/>
      <sheetName val="R&amp;M consolidated"/>
      <sheetName val="spares"/>
      <sheetName val="work orders"/>
      <sheetName val="PC'S"/>
      <sheetName val="nh3 comp"/>
      <sheetName val="Profit-%"/>
      <sheetName val="FP-M"/>
      <sheetName val="CF-M"/>
      <sheetName val="DIRECT LABOUR"/>
      <sheetName val="Raw Matl"/>
      <sheetName val="NPV &amp; IRR"/>
      <sheetName val="COSTSHEET"/>
      <sheetName val="pack.matl"/>
      <sheetName val="utilities"/>
      <sheetName val="consumption sheet"/>
      <sheetName val="Production &amp; Sales"/>
      <sheetName val="Monthly Budget"/>
      <sheetName val="Monthly Cons"/>
      <sheetName val="TFR PRICE"/>
      <sheetName val="OVERHEADS"/>
      <sheetName val="INT &amp; LEASE"/>
      <sheetName val="INTEREST CAL"/>
      <sheetName val="Salary Comp"/>
      <sheetName val="Wage Comp"/>
      <sheetName val="Est. Profits"/>
      <sheetName val="OVERHEAD WORKINGS"/>
      <sheetName val="Excise Est"/>
      <sheetName val="Repairs &amp; Maint"/>
      <sheetName val="Travelling Details"/>
      <sheetName val="Evc&amp;Cforms"/>
      <sheetName val="Cap Proj."/>
      <sheetName val="Slow Mov."/>
      <sheetName val="Sal. tax &amp; inc. tax"/>
      <sheetName val="Non-perf. assets"/>
      <sheetName val="wast &amp; eff"/>
      <sheetName val="Mat. prices"/>
      <sheetName val="EXPL.AGUA"/>
      <sheetName val="Cash flow "/>
      <sheetName val="Cash flows breakup"/>
      <sheetName val="General "/>
      <sheetName val="Account balances"/>
      <sheetName val="IC-account balances"/>
      <sheetName val="Fixed assets transactions"/>
      <sheetName val="Capital transactions"/>
      <sheetName val="Provision transactions"/>
      <sheetName val="Inventories IC-stocks"/>
      <sheetName val="Financial Transaction"/>
      <sheetName val="Setup &amp; Nav"/>
      <sheetName val="SCP Conceptual Map"/>
      <sheetName val="SCP checklist"/>
      <sheetName val="SCP output Cover"/>
      <sheetName val="Market Overview"/>
      <sheetName val="EoD Macro &amp; Demographic"/>
      <sheetName val="EoD Bev Sector"/>
      <sheetName val="EoS Ind Chain Economics"/>
      <sheetName val="PVM00e"/>
      <sheetName val="IdvExp"/>
      <sheetName val="PVM_ACT"/>
      <sheetName val="PVM_EST"/>
      <sheetName val="Ext_ACT"/>
      <sheetName val="Ext_PY"/>
      <sheetName val="Int_ACT"/>
      <sheetName val="Int_EST"/>
      <sheetName val="Int_PY"/>
      <sheetName val="31.08.10 uniworld"/>
      <sheetName val="interest on secured loan"/>
      <sheetName val="Consol feed"/>
      <sheetName val="gldi template-SEP02"/>
      <sheetName val="gldi template-JUN"/>
      <sheetName val="HypMGMT-NaturalAcct"/>
      <sheetName val="India Mapping"/>
      <sheetName val="Sheet9"/>
      <sheetName val="Consol feed (2)"/>
      <sheetName val="gldi template"/>
      <sheetName val="Sheet11"/>
      <sheetName val="Details of Clause 14 (Addition)"/>
      <sheetName val="Details of clause 28"/>
      <sheetName val="Kontensalden"/>
      <sheetName val="IC-Unterkontensalden"/>
      <sheetName val="Anlagenbewegungen"/>
      <sheetName val="Kapitalbewegungen"/>
      <sheetName val="Rückstellungsbewegungen"/>
      <sheetName val="Finanzschuldenspiegel"/>
      <sheetName val="md's discussion page1"/>
      <sheetName val="md's discussion page2"/>
      <sheetName val="md's discussion page3"/>
      <sheetName val="Performance vs plan"/>
      <sheetName val="Waterfall"/>
      <sheetName val="Tracker"/>
      <sheetName val="Sources&amp;Apps"/>
      <sheetName val="Holdco"/>
      <sheetName val="SPV"/>
      <sheetName val="EMIR"/>
      <sheetName val="Consol FY08"/>
      <sheetName val="Consol FY09"/>
      <sheetName val="Prop.Summ"/>
      <sheetName val="Val.Sum"/>
      <sheetName val="Prop.Schedule"/>
      <sheetName val="Depn"/>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Sensitivity"/>
      <sheetName val="Revenue by tenants"/>
      <sheetName val="M2a"/>
      <sheetName val="M2 Americas"/>
      <sheetName val="M2A-R"/>
      <sheetName val="Latin M2A-A$"/>
      <sheetName val="M2A USA"/>
      <sheetName val="M2A USA LC"/>
      <sheetName val="M4 USA"/>
      <sheetName val="M4-Latin Am"/>
      <sheetName val="M4 Canada"/>
      <sheetName val="M2 Canada"/>
      <sheetName val="M8-R"/>
      <sheetName val="M11-R"/>
      <sheetName val="M14-R"/>
      <sheetName val="SalesPeriodic"/>
      <sheetName val="SP NA"/>
      <sheetName val="SP LA"/>
      <sheetName val="SP Eur"/>
      <sheetName val="WC_to_Sales"/>
      <sheetName val="WC_AP"/>
      <sheetName val="WC_NA"/>
      <sheetName val="WC_LA"/>
      <sheetName val="WC_Eur"/>
      <sheetName val="DP_to_Sales"/>
      <sheetName val="DP_AP"/>
      <sheetName val="DP_NA"/>
      <sheetName val="DP_LA"/>
      <sheetName val="DP_Eur"/>
      <sheetName val="Sales Ref"/>
      <sheetName val="Region%"/>
      <sheetName val="Reg_Exp%"/>
      <sheetName val="Per%"/>
      <sheetName val="Pro%"/>
      <sheetName val="Occ%"/>
      <sheetName val="Cost 93-112 CLD "/>
      <sheetName val="Cost 93-212 CLD CE"/>
      <sheetName val="Fixed and Variable"/>
      <sheetName val="Rates"/>
      <sheetName val="Product Cost"/>
      <sheetName val="p.1 "/>
      <sheetName val="p.2 "/>
      <sheetName val="p.3 "/>
      <sheetName val="p.4 "/>
      <sheetName val="S5"/>
      <sheetName val="KPI"/>
      <sheetName val="KPI CHARTS"/>
      <sheetName val="F4-USD"/>
      <sheetName val="Q1-Q2"/>
      <sheetName val="Q3-Q4"/>
      <sheetName val="F4-forecast detail"/>
      <sheetName val="S3-USD"/>
      <sheetName val="S4-USD"/>
      <sheetName val="FY04-Fcst S4"/>
      <sheetName val="Variance Analysis -USD"/>
      <sheetName val="Production Units"/>
      <sheetName val="HEADCOUNT "/>
      <sheetName val="nbud6104"/>
      <sheetName val="Variance"/>
      <sheetName val="p. 1"/>
      <sheetName val="p. 2"/>
      <sheetName val="p. 3"/>
      <sheetName val="p. 4"/>
      <sheetName val="F4Condoms"/>
      <sheetName val="F4LocalCurrency"/>
      <sheetName val="F4NitraTouch"/>
      <sheetName val="F4LocalCurrencyNT"/>
      <sheetName val="F4Consolidated"/>
      <sheetName val="F4LocalCurrencyConsolidate"/>
      <sheetName val="S3 Update"/>
      <sheetName val="S3 Update (2)"/>
      <sheetName val="S3 Update (3)"/>
      <sheetName val="S3 KPI #1"/>
      <sheetName val="S3 KPI #2"/>
      <sheetName val="S3 KPI #3"/>
      <sheetName val="S3 KPI #4"/>
      <sheetName val="S3 KPI #5"/>
      <sheetName val="S3 KPI #6"/>
      <sheetName val="S3 KPI #7"/>
      <sheetName val="S3 KPI #8"/>
      <sheetName val="S3 KPI #9"/>
      <sheetName val="S4"/>
      <sheetName val="S4 (2)"/>
      <sheetName val="S4 (3)"/>
      <sheetName val="Consolidated"/>
      <sheetName val="Europe"/>
      <sheetName val="Latin America"/>
      <sheetName val="Canada"/>
      <sheetName val="Suretex"/>
      <sheetName val="Rest of Asia"/>
      <sheetName val="Japan"/>
      <sheetName val="Australasia"/>
      <sheetName val="Frontend"/>
      <sheetName val="M2aa"/>
      <sheetName val="M4"/>
      <sheetName val="M8"/>
      <sheetName val="M11"/>
      <sheetName val="M11a"/>
      <sheetName val="M14"/>
      <sheetName val="M14a"/>
      <sheetName val="M0"/>
      <sheetName val="M1a-1"/>
      <sheetName val="M1a-2"/>
      <sheetName val="M1a-3"/>
      <sheetName val="M2"/>
      <sheetName val="M2 USA"/>
      <sheetName val="M2 Can"/>
      <sheetName val="M4 Can"/>
      <sheetName val="M4a-1"/>
      <sheetName val="M4a-2"/>
      <sheetName val="M8A "/>
      <sheetName val="M10 USA"/>
      <sheetName val="M10-Can"/>
      <sheetName val="M14-1USA"/>
      <sheetName val="M14-1Can"/>
      <sheetName val="K1 USA"/>
      <sheetName val="EBIT"/>
      <sheetName val="K1 Can"/>
      <sheetName val="Rates Used"/>
      <sheetName val="M1"/>
      <sheetName val="M1a"/>
      <sheetName val="M1b"/>
      <sheetName val="M3 (3)"/>
      <sheetName val="M3a"/>
      <sheetName val="M3"/>
      <sheetName val="M4a-3"/>
      <sheetName val="M4a-4"/>
      <sheetName val="M4a-cost"/>
      <sheetName val="M4b-1"/>
      <sheetName val="M4b-2"/>
      <sheetName val="M4b-3"/>
      <sheetName val="M4b-4"/>
      <sheetName val="M4D-1C"/>
      <sheetName val="M4D-2C"/>
      <sheetName val="M8 A"/>
      <sheetName val="M8 B"/>
      <sheetName val="M13"/>
      <sheetName val="M2C$"/>
      <sheetName val="M4C$"/>
      <sheetName val="M4a-1C$"/>
      <sheetName val="M4a-2C$"/>
      <sheetName val="M4a-3C$"/>
      <sheetName val="M4a-4C$"/>
      <sheetName val="M4a-costC$"/>
      <sheetName val="M4b-1C$"/>
      <sheetName val="M4b-2C$"/>
      <sheetName val="M4b-3C$"/>
      <sheetName val="M4b-4C$"/>
      <sheetName val="M5"/>
      <sheetName val="M6"/>
      <sheetName val="M7"/>
      <sheetName val="M8b"/>
      <sheetName val="M9"/>
      <sheetName val="M10"/>
      <sheetName val="M10 Prof"/>
      <sheetName val="M12"/>
      <sheetName val="M4b-costC$"/>
      <sheetName val="M11C$"/>
      <sheetName val="M14C$"/>
      <sheetName val="M15"/>
      <sheetName val="Clause 13(a)"/>
      <sheetName val="tax clearance"/>
      <sheetName val="IT comp"/>
      <sheetName val="Deff Tax "/>
      <sheetName val="3Cd Report"/>
      <sheetName val="3cd Ann"/>
      <sheetName val="Annex -1"/>
      <sheetName val="Supp for Ann II"/>
      <sheetName val="Anne-2"/>
      <sheetName val="Annex - 3"/>
      <sheetName val="Annex - 3A"/>
      <sheetName val="Software"/>
      <sheetName val="Software EHTP"/>
      <sheetName val="Software STP"/>
      <sheetName val="Annex - 4"/>
      <sheetName val="Annex - 5"/>
      <sheetName val="Annex - 6"/>
      <sheetName val="Annex - 7"/>
      <sheetName val="Annexure VIII"/>
      <sheetName val="Annex - 8"/>
      <sheetName val="Annex - 9"/>
      <sheetName val="Annex - 10"/>
      <sheetName val="Ann-11"/>
      <sheetName val="Annex - 12"/>
      <sheetName val="LOCAL XRAY (2)"/>
      <sheetName val="CARM"/>
      <sheetName val="LOCAL XRAY"/>
      <sheetName val="G-1 Lead Sheet"/>
      <sheetName val="TB Summary"/>
      <sheetName val="Comp"/>
      <sheetName val="Ack (2)"/>
      <sheetName val="Page1"/>
      <sheetName val="Page2"/>
      <sheetName val="Page3"/>
      <sheetName val="Page4"/>
      <sheetName val="Page5"/>
      <sheetName val="Page6"/>
      <sheetName val="Page7"/>
      <sheetName val="Page8"/>
      <sheetName val="Page9"/>
      <sheetName val="Page10"/>
      <sheetName val="Ack "/>
      <sheetName val="Page8 "/>
      <sheetName val="Page10 "/>
      <sheetName val="FINAL"/>
      <sheetName val="TAX INCOME"/>
      <sheetName val="Discussion points "/>
      <sheetName val="TDS AR RECO"/>
      <sheetName val="TDS ACTUAL RECEIPTS"/>
      <sheetName val="TDS p years "/>
      <sheetName val="TDS RECEIVABLE 02 - 03 actuals"/>
      <sheetName val="TDS not accounted"/>
      <sheetName val="gen ledger data"/>
      <sheetName val="Tax balance breakup"/>
      <sheetName val="Deprecaition for Tax"/>
      <sheetName val="Defered Tax"/>
      <sheetName val="Profitandloss"/>
      <sheetName val="Currentassetsliabilities"/>
      <sheetName val="Revenue"/>
      <sheetName val="Apr 99 - Dec 1999"/>
      <sheetName val="Jan 00 - Dec 00"/>
      <sheetName val="80HHE Jan-Mar"/>
      <sheetName val="80HHE"/>
      <sheetName val="TAX INCOME LEASEHOLD"/>
      <sheetName val="Jan 00 - Dec 00 LEASEHOLD"/>
      <sheetName val="80HHE LEASEHOLD JAN-MAR"/>
      <sheetName val="80HHE LEASEHOLD Apr-Dec"/>
      <sheetName val="MAT LEASEHOLD"/>
      <sheetName val="INTEREST LEASEHOLD"/>
      <sheetName val="Apr 99- Mar 00"/>
      <sheetName val="Apr 00 - Mar 01"/>
      <sheetName val="BRS Final"/>
      <sheetName val="TL 31.03.07"/>
      <sheetName val="Table 5"/>
      <sheetName val="W block"/>
      <sheetName val="Table 41"/>
      <sheetName val="Table 9"/>
      <sheetName val="Table11"/>
      <sheetName val="K-3"/>
      <sheetName val="Table 1"/>
      <sheetName val="Table 2"/>
      <sheetName val="Table 3"/>
      <sheetName val="Table 4"/>
      <sheetName val="Table 6"/>
      <sheetName val="Pivot 2"/>
      <sheetName val="DOT-Customer-data"/>
      <sheetName val="Fund Utilisation"/>
      <sheetName val="Hyderabad_NLA"/>
      <sheetName val="Silokhera_NLA"/>
      <sheetName val="Cyber City_NLA"/>
      <sheetName val="Chennai_NLA"/>
      <sheetName val="Chennai "/>
      <sheetName val="Tenant-Chennai"/>
      <sheetName val="Hyderabad"/>
      <sheetName val="Tanent-W Block"/>
      <sheetName val="W block (2)"/>
      <sheetName val="Silokhera"/>
      <sheetName val="Table 7"/>
      <sheetName val="Project Data"/>
      <sheetName val="Unleased area"/>
      <sheetName val="Pivot (2)"/>
      <sheetName val="Building Matrix"/>
      <sheetName val="Related - Construction"/>
      <sheetName val="TB31.12.2008"/>
      <sheetName val="BS &amp; PL"/>
      <sheetName val="BS Schedule"/>
      <sheetName val="Sch 4 FA Sch"/>
      <sheetName val="Sch 5- Investment"/>
      <sheetName val="P&amp;L Schedule"/>
      <sheetName val="POCM - 31.12.08"/>
      <sheetName val="Final - Plots  "/>
      <sheetName val="Final - Town Houses"/>
      <sheetName val="Deferred  Tax"/>
      <sheetName val="Tax Provision"/>
      <sheetName val="Dep As per IT act "/>
      <sheetName val="FBT-Working "/>
      <sheetName val="Details "/>
      <sheetName val="Fixed Assets Register"/>
      <sheetName val="AR TB"/>
      <sheetName val="ICD- interest Income  "/>
      <sheetName val="Interest CCD- Expenses"/>
      <sheetName val="Group -31.12.2008"/>
      <sheetName val="Interest Allocation "/>
      <sheetName val="DTA &amp; C TAX"/>
      <sheetName val="P &amp; L Schedule"/>
      <sheetName val="Grouping Sheet"/>
      <sheetName val="Revised TB Ramco"/>
      <sheetName val="TB 31.03.10"/>
      <sheetName val="Ramco TB"/>
      <sheetName val="Pocm Sheet"/>
      <sheetName val="Q-1 Sale"/>
      <sheetName val="Project Summary"/>
      <sheetName val="Fixed Assets "/>
      <sheetName val="IT -Assets"/>
      <sheetName val="Furniture &amp; Fixture"/>
      <sheetName val="office equipment"/>
      <sheetName val="Leasehold"/>
      <sheetName val="Development Rights"/>
      <sheetName val="PF Details"/>
      <sheetName val="DRDL Int ICD"/>
      <sheetName val="DCDL Int ICD"/>
      <sheetName val="DHDL Int. CCD"/>
      <sheetName val="Clogs Int.CCD"/>
      <sheetName val="Epop Working"/>
      <sheetName val="Rent Equalization"/>
      <sheetName val="GAM Text"/>
      <sheetName val="BS SAC YS Ver 2.0"/>
      <sheetName val="P&amp;L SAC YS Ver 2.0"/>
      <sheetName val="BS SAC Ver 1.0"/>
      <sheetName val="P&amp;L SAC Ver 1.0"/>
      <sheetName val="YS SAC"/>
      <sheetName val="Schedule VI"/>
      <sheetName val="Lead Schedule"/>
      <sheetName val="N1.1"/>
      <sheetName val="N1.3"/>
      <sheetName val="N1.6"/>
      <sheetName val="N.2.13"/>
      <sheetName val="N1.8"/>
      <sheetName val="E.1"/>
      <sheetName val="E.2"/>
      <sheetName val="E.3"/>
      <sheetName val="Publication"/>
      <sheetName val="segment working sheet"/>
      <sheetName val="SEBI Format"/>
      <sheetName val="Notes "/>
      <sheetName val="SEBI Format Dec 2008"/>
      <sheetName val="Segment Workings"/>
      <sheetName val="Segment Workings (2)"/>
      <sheetName val="Notes Dec 2008"/>
      <sheetName val="SEBI Format Dec 2008 (2)"/>
      <sheetName val="Profit &amp; Loss Account"/>
      <sheetName val="Balance Sheet Sch"/>
      <sheetName val="FA register"/>
      <sheetName val="PL Sch"/>
      <sheetName val="Groupings"/>
      <sheetName val="SOAD Entries"/>
      <sheetName val="UK Reco Entries"/>
      <sheetName val="Bangalore"/>
      <sheetName val="kolkatta "/>
      <sheetName val="Hyderabad "/>
      <sheetName val="Delhi "/>
      <sheetName val="ExistingRangeDetails"/>
      <sheetName val="Cover page"/>
      <sheetName val="Top sheet"/>
      <sheetName val="Top sheet-Rev"/>
      <sheetName val="Non cur liab"/>
      <sheetName val="CL"/>
      <sheetName val="FA-Annexure-II"/>
      <sheetName val="III-(i)"/>
      <sheetName val="III-(ii)"/>
      <sheetName val="III-(iii)"/>
      <sheetName val="III-(iv)"/>
      <sheetName val="Security deposit"/>
      <sheetName val="III-(v)"/>
      <sheetName val="Def tax"/>
      <sheetName val="LT L&amp;A"/>
      <sheetName val="Trade rec"/>
      <sheetName val="Annexure-IV"/>
      <sheetName val="ST L&amp;A"/>
      <sheetName val="TDS - Form 16A (2)"/>
      <sheetName val="TDS - Form 16A"/>
      <sheetName val="TCS"/>
      <sheetName val="Depri Rates"/>
      <sheetName val="FA on 31.12.01"/>
      <sheetName val="FA on 31.3.02-Final"/>
      <sheetName val="FA on 31.12.02-Final"/>
      <sheetName val="FA Add 1.4.02 to 31.12.02"/>
      <sheetName val="FA on 31.12.02"/>
      <sheetName val="FA on 31.12.02 v 1.0"/>
      <sheetName val="Status"/>
      <sheetName val="Sal Break up"/>
      <sheetName val="sal cost"/>
      <sheetName val="Deferred Tax "/>
      <sheetName val="Int on TDS Disallowance"/>
      <sheetName val="IT 09-10"/>
      <sheetName val="Debtors Ageing"/>
      <sheetName val="CFS"/>
      <sheetName val="Cash Flow working "/>
      <sheetName val="CFS Final"/>
      <sheetName val="CF workings - BSR"/>
      <sheetName val="IEDC"/>
      <sheetName val="FA- Sch"/>
      <sheetName val="Groupings BSR revised"/>
      <sheetName val="FA 2009 - 10"/>
      <sheetName val="IT_DEP "/>
      <sheetName val="Groupings IGAAP"/>
      <sheetName val="Depreciation  fINAL (2)"/>
      <sheetName val="Investments - 2009"/>
      <sheetName val="TB 2010"/>
      <sheetName val="Journals"/>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Contribution"/>
      <sheetName val="AcqShares"/>
      <sheetName val="TgtShares"/>
      <sheetName val="Acq IS"/>
      <sheetName val="Tgt IS"/>
      <sheetName val="PFIS"/>
      <sheetName val="SumStat"/>
      <sheetName val="BlankPage"/>
      <sheetName val="Counters"/>
      <sheetName val="Login"/>
      <sheetName val="pay Register"/>
      <sheetName val="Bs2005"/>
      <sheetName val="9899 runrate"/>
      <sheetName val="worksheet"/>
      <sheetName val="HEAD"/>
      <sheetName val="Rent exps logic"/>
      <sheetName val="U2-1"/>
      <sheetName val="U3-1"/>
      <sheetName val="CFS (2)"/>
      <sheetName val="FA 2008 - 09"/>
      <sheetName val="PT,PF"/>
      <sheetName val="Index Sheet"/>
      <sheetName val="P&amp;L(Monthly) -FCR"/>
      <sheetName val="P&amp;L(Monthly) - INR"/>
      <sheetName val="BS Sub"/>
      <sheetName val="P&amp;L Sub"/>
      <sheetName val="Revenue Backup - FCR"/>
      <sheetName val="Debtors-FCR-as on June'07"/>
      <sheetName val="Debtors-FCR SEP'07"/>
      <sheetName val="Debtors-FCR"/>
      <sheetName val="Unbilled-FCR"/>
      <sheetName val="Consolidation TB (Qtr)"/>
      <sheetName val="Related Party Details sEP 07"/>
      <sheetName val="Related Party Details"/>
      <sheetName val="Consolidation TB (Annual)"/>
      <sheetName val="CF working"/>
      <sheetName val="BS - Varinace"/>
      <sheetName val="P&amp;L - Variance"/>
      <sheetName val="Provisions"/>
      <sheetName val="Grpng Dtls"/>
      <sheetName val="LOC to LOC"/>
      <sheetName val="-ve AR"/>
      <sheetName val="Loss acc 342k"/>
      <sheetName val="Vacant Rent"/>
      <sheetName val="Vacant  IGAAP "/>
      <sheetName val="Vacant USGAAP vs IGAAP"/>
      <sheetName val="Vacant"/>
      <sheetName val="Translation Rate"/>
      <sheetName val="LRM"/>
      <sheetName val="Q1 08 IGAAP"/>
      <sheetName val="Q2 08 IGAAP"/>
      <sheetName val="Q3 08 IGAAP"/>
      <sheetName val="Dan TB Q3 08"/>
      <sheetName val="Journals Q3 08"/>
      <sheetName val="USA - TB (Dan) Q208"/>
      <sheetName val="Journals Q208"/>
      <sheetName val="Mar07  IGAAP"/>
      <sheetName val="AUS - Inter"/>
      <sheetName val="Loss Accts-Summary"/>
      <sheetName val="Prepaid Marketing"/>
      <sheetName val="USA - Original"/>
      <sheetName val="Retained Reco"/>
      <sheetName val="Cash Forecast"/>
      <sheetName val="PARTB - TI - TTI"/>
      <sheetName val="CG-OS"/>
      <sheetName val="CYLA-BFLA"/>
      <sheetName val="VIA"/>
      <sheetName val="SPI - SI"/>
      <sheetName val="IT"/>
      <sheetName val="FSI"/>
      <sheetName val="TR_FA"/>
      <sheetName val="SCH5A"/>
      <sheetName val="AL"/>
      <sheetName val="Calculator"/>
      <sheetName val="Setoff"/>
      <sheetName val="PARTB - TI - TTI - SAL"/>
      <sheetName val="SPI - SI - IF"/>
      <sheetName val="UD"/>
      <sheetName val="AMT"/>
      <sheetName val="AMTC"/>
      <sheetName val="FBI_FB"/>
      <sheetName val="TDS_TCS"/>
      <sheetName val="FTP"/>
      <sheetName val="CalculateTR"/>
      <sheetName val="XXXXXXX"/>
      <sheetName val="XXXXXX0"/>
      <sheetName val="XXXXXX1"/>
      <sheetName val="XXXXXX2"/>
      <sheetName val="XXXXXX3"/>
      <sheetName val="dividend inputs"/>
      <sheetName val="2005 Q4"/>
      <sheetName val="Book Income"/>
      <sheetName val="Bus Obj"/>
      <sheetName val="Model for Deferreds"/>
      <sheetName val="Purch Acct Adj"/>
      <sheetName val="Projected income"/>
      <sheetName val="Sum of Jurisdictions"/>
      <sheetName val="APO Q3"/>
      <sheetName val="LAO Q3"/>
      <sheetName val="Europe Q3"/>
      <sheetName val="NA Q3"/>
      <sheetName val="Stock Comp Amortization "/>
      <sheetName val="BV gross-up"/>
      <sheetName val="FAS 109"/>
      <sheetName val="JE"/>
      <sheetName val="P_F18 Dec prov"/>
      <sheetName val="P1_Dec TB"/>
      <sheetName val="P3_05 TR"/>
      <sheetName val="P2_SRED"/>
      <sheetName val="P5_Reserves"/>
      <sheetName val="P5.1_06 Def Rev"/>
      <sheetName val="Sales Performance"/>
      <sheetName val="General Sales Order List"/>
      <sheetName val="Geral"/>
      <sheetName val="Thiago"/>
      <sheetName val="Resumo"/>
      <sheetName val="2131"/>
      <sheetName val="BRAZIL - Comm"/>
      <sheetName val="MK"/>
      <sheetName val="Acum 2005"/>
      <sheetName val="Q1-2005"/>
      <sheetName val="Q2-2005"/>
      <sheetName val="EMEA A2P Roster"/>
      <sheetName val="BUS OBJ YTD OCT 2006"/>
      <sheetName val="(A) LIC REV BUS OBJ YTD OCT 06"/>
      <sheetName val="A01 CS&amp;S and PS Expenses"/>
      <sheetName val="(D) R&amp;D dept data tie ext r&amp;d"/>
      <sheetName val="(E) R&amp;D dept data"/>
      <sheetName val="Lic Rev Account Lookup Table"/>
      <sheetName val="R&amp;D Department Lookup Table"/>
      <sheetName val="Entity Lookup Table"/>
      <sheetName val="F64 LC P&amp;L"/>
      <sheetName val="(C) F18 LC P&amp;L"/>
      <sheetName val="F18 LC by Dept"/>
      <sheetName val="F18 Mgmt Dept"/>
      <sheetName val="(B) F11 LC P&amp;L"/>
      <sheetName val="F40 LC Depts"/>
      <sheetName val="GL Queries"/>
      <sheetName val="Div YTD"/>
      <sheetName val="(F) F18 LC by Dept"/>
      <sheetName val="(G) F40 LC Depts"/>
      <sheetName val="(H) F18 Mgmt Dept"/>
      <sheetName val="(I) Indirect Costs f Allocation"/>
      <sheetName val="(J) F11 P&amp;L by Dept"/>
      <sheetName val="R&amp;D dept data tie to ext r&amp;d"/>
      <sheetName val="R&amp;D dept data"/>
      <sheetName val="F18 LC P&amp;L"/>
      <sheetName val="F11 LC P&amp;L"/>
      <sheetName val="(E) F11 P&amp;L by Dept"/>
      <sheetName val="MainComp"/>
      <sheetName val="TotalSalary"/>
      <sheetName val="Allowances"/>
      <sheetName val="Perquisites"/>
      <sheetName val="IFOS"/>
      <sheetName val="Chapter VIA"/>
      <sheetName val="Sal conv"/>
      <sheetName val="ALLPLANTS"/>
      <sheetName val="TALSTOCKVAL"/>
      <sheetName val="BKCSTOCKVAL"/>
      <sheetName val="MAHSTOCKVAL"/>
      <sheetName val="BAL (2)"/>
      <sheetName val="P&amp;F (2)"/>
      <sheetName val="accounting policies"/>
      <sheetName val="BAL"/>
      <sheetName val="P&amp;F"/>
      <sheetName val="scd1,2"/>
      <sheetName val="scd3"/>
      <sheetName val="SCH 4"/>
      <sheetName val="scd 6"/>
      <sheetName val="SCH 7"/>
      <sheetName val="SCH 8"/>
      <sheetName val="SCD 9"/>
      <sheetName val="sch 10"/>
      <sheetName val="scd 11"/>
      <sheetName val="sch12"/>
      <sheetName val="sch 13 actual"/>
      <sheetName val="SCH 14"/>
      <sheetName val="SCH 15"/>
      <sheetName val="SCHD 16"/>
      <sheetName val="scd 16 cont"/>
      <sheetName val="scd 17"/>
      <sheetName val="Scd-17cont"/>
      <sheetName val="Scd-17 cont"/>
      <sheetName val="Scd-17 contd"/>
      <sheetName val="sch-17 contd."/>
      <sheetName val="Cash Flow (round)"/>
      <sheetName val="sch 5 2nd copy"/>
      <sheetName val="xxxx"/>
      <sheetName val="GROUPINGS(Assets &amp; Liabilities)"/>
      <sheetName val="GROUPIMGS(SALES) "/>
      <sheetName val="GROUPINGS( EXPS)"/>
      <sheetName val="GROUPIMGS( EXCISE)"/>
      <sheetName val="TRIAL BALANCE 31.03.08"/>
      <sheetName val="scd1,2 "/>
      <sheetName val="scd 5(FBD)"/>
      <sheetName val="sch5(DB)"/>
      <sheetName val="scd5(DEL)"/>
      <sheetName val="sch-6"/>
      <sheetName val="scd8 "/>
      <sheetName val="SCD10 "/>
      <sheetName val="personnel cost &amp; other exps."/>
      <sheetName val="other misc. exps."/>
      <sheetName val="FBT 07-08"/>
      <sheetName val="Sale Vs prod.07-08 "/>
      <sheetName val="GROUPING(INTEREST) "/>
      <sheetName val="SECURITY DEPOSIT  RECD "/>
      <sheetName val="SECURITY DEPOSIT Paid"/>
      <sheetName val="FOB 07-08(final)"/>
      <sheetName val="Prepaid,Ins,Rates&amp;taxes, etc."/>
      <sheetName val="FAR (FARIDABAD) 31.03.08"/>
      <sheetName val="Additions assets FBD(31.03.08)"/>
      <sheetName val="CWIP(PLANT)"/>
      <sheetName val="CWIP(TUBEWELL)"/>
      <sheetName val="CWIP(WATER CH.)"/>
      <sheetName val=" PROJECT EXPS"/>
      <sheetName val="WATCH &amp; WARD"/>
      <sheetName val="Security Deposit FBD"/>
      <sheetName val="PROFESSIONAL CHARGES"/>
      <sheetName val="NAME OF LAWERS"/>
      <sheetName val="EXP.PAYABLE"/>
      <sheetName val="scd 16"/>
      <sheetName val="Scd-16cont"/>
      <sheetName val="Scd-16 cont"/>
      <sheetName val="Scd-16 contd"/>
      <sheetName val="scd-16 contd."/>
      <sheetName val="Cash Flow(consolidated)"/>
      <sheetName val="PROVISION BONUS 07-08(FBD)"/>
      <sheetName val="FDRS(31.03.08)"/>
      <sheetName val="HELLA INTT.(FINAL)06-07"/>
      <sheetName val="HELLA INTT e-mail"/>
      <sheetName val="HELLA loan payable(Mar'08)"/>
      <sheetName val="FBD DEBTORS"/>
      <sheetName val="scd 5"/>
      <sheetName val="scd 4"/>
      <sheetName val="scd 5(Pollution )"/>
      <sheetName val="scd7 "/>
      <sheetName val="OTHER LIABILITY (AS A WHOLE)"/>
      <sheetName val="scd12"/>
      <sheetName val="scd13"/>
      <sheetName val="scd14"/>
      <sheetName val="Scd15"/>
      <sheetName val="scd 15 cont"/>
      <sheetName val="bal sheet "/>
      <sheetName val="profit &amp; loss"/>
      <sheetName val="scd3 and 4"/>
      <sheetName val="scd5"/>
      <sheetName val="sch.no.7 contd."/>
      <sheetName val="Sch no.8"/>
      <sheetName val="Sch 9 &amp; 10"/>
      <sheetName val="Sch 11,12"/>
      <sheetName val="ED"/>
      <sheetName val="Mat'l "/>
      <sheetName val="SEBI"/>
      <sheetName val="Net Worth"/>
      <sheetName val="SCH-A-M"/>
      <sheetName val="Original Trial-29"/>
      <sheetName val="MIS- RECO."/>
      <sheetName val="Adjusted Trial"/>
      <sheetName val="CODE CHECK"/>
      <sheetName val="Grouped Trial"/>
      <sheetName val="BS Schdl-4 to 11"/>
      <sheetName val="PL Schdl- 12 to 16"/>
      <sheetName val="Fixed Assets-Last year"/>
      <sheetName val="Statement of Income"/>
      <sheetName val="GDR"/>
      <sheetName val="Div-details"/>
      <sheetName val="Enclosure 1"/>
      <sheetName val="Enclosure 2"/>
      <sheetName val="Enclosure 3"/>
      <sheetName val="Enclosure 4"/>
      <sheetName val="Enclosure 4A"/>
      <sheetName val="add dep"/>
      <sheetName val="Enclosure 5"/>
      <sheetName val="Enclosure 5A"/>
      <sheetName val="not reqd"/>
      <sheetName val="Enclosure 6"/>
      <sheetName val="Enclosure 7"/>
      <sheetName val="Enclosure 8 "/>
      <sheetName val="Enclosure 9"/>
      <sheetName val="not reqd-1"/>
      <sheetName val="Enclosure 10"/>
      <sheetName val="Enclosure 11"/>
      <sheetName val="Enclosure 12"/>
      <sheetName val="Enclosure 13"/>
      <sheetName val="Details of Payments"/>
      <sheetName val="Raw Mat IAM"/>
      <sheetName val="RM Derabassi"/>
      <sheetName val="VAT &amp; CST on sale"/>
      <sheetName val="Dera Bassi Logic Test"/>
      <sheetName val="Sales Tax IAM (2)"/>
      <sheetName val="FBD Logic TEst"/>
      <sheetName val="Vat Set"/>
      <sheetName val="Consol."/>
      <sheetName val="Working IAM"/>
      <sheetName val="DRB ED AS PER EXCISE 09-10"/>
      <sheetName val="Working Fbd"/>
      <sheetName val="Sales Tax IAM"/>
      <sheetName val="Enclosure 4. (PBC)"/>
      <sheetName val="Enc. XXX"/>
      <sheetName val="Enclosure-4"/>
      <sheetName val="Enclosure 4A "/>
      <sheetName val="Enclosure 5A "/>
      <sheetName val="Enclosure 5B"/>
      <sheetName val="Enclosure- 8"/>
      <sheetName val="Enclosure 8"/>
      <sheetName val="Enclosure-11"/>
      <sheetName val="Enclosure 11-A"/>
      <sheetName val="Enclosure 14"/>
      <sheetName val="BONUS FARIDABAD"/>
      <sheetName val="BONUS DERABASSI"/>
      <sheetName val="Encl. 1"/>
      <sheetName val="Encl 2 "/>
      <sheetName val="Encl. 3"/>
      <sheetName val="Encl. 4 "/>
      <sheetName val="Encl. 4A"/>
      <sheetName val="Encl. 5"/>
      <sheetName val="Encl 6"/>
      <sheetName val="Encl 7"/>
      <sheetName val="Encl. 8"/>
      <sheetName val="Encl. 9A"/>
      <sheetName val="Encl. 9B"/>
      <sheetName val="Encl. 10"/>
      <sheetName val="Encl 11"/>
      <sheetName val="Encl. 12"/>
      <sheetName val="Encl. 13"/>
      <sheetName val="Encl. 14"/>
      <sheetName val="Encl.14 contd"/>
      <sheetName val="Enclosure 15"/>
      <sheetName val="Plntmach final"/>
      <sheetName val="Furnfix"/>
      <sheetName val="Vehicles"/>
      <sheetName val="NRbldg"/>
      <sheetName val="Enclosure 2 old"/>
      <sheetName val="P&amp;M add dep"/>
      <sheetName val="Payable"/>
      <sheetName val="Cenvat reco"/>
      <sheetName val="CASH FLOW 03-08"/>
      <sheetName val="phy cycle (2)"/>
      <sheetName val="phy cycle"/>
      <sheetName val="Cover Sheet"/>
      <sheetName val="Revenue Inputs"/>
      <sheetName val="Business Revenues"/>
      <sheetName val="Cost Inputs"/>
      <sheetName val="Roll out plan"/>
      <sheetName val="Fibre plan"/>
      <sheetName val="ULL costs"/>
      <sheetName val="Summary of roll-out plan"/>
      <sheetName val="S C H E M A"/>
      <sheetName val="1 Sites and Lines"/>
      <sheetName val="2 Revenue"/>
      <sheetName val="3 Minutes"/>
      <sheetName val="4 Summary"/>
      <sheetName val="Inputs from PSTN Model"/>
      <sheetName val="All Codes"/>
      <sheetName val=".BS"/>
      <sheetName val="BA_1"/>
      <sheetName val="BA_2"/>
      <sheetName val="BA_3"/>
      <sheetName val="LineMacros"/>
      <sheetName val="Summary Macros"/>
      <sheetName val="BuildGroup"/>
      <sheetName val="BuildBook"/>
      <sheetName val="GroupMod"/>
      <sheetName val="GBDialog"/>
      <sheetName val="PrintDialog"/>
      <sheetName val="LineDialog"/>
      <sheetName val="PCodeDialog"/>
      <sheetName val="Splash"/>
      <sheetName val="Results"/>
      <sheetName val="PCs"/>
      <sheetName val="MCL"/>
      <sheetName val="PrintCommands"/>
      <sheetName val="Sicom (2)"/>
      <sheetName val="SICOM99-00"/>
      <sheetName val="sicom"/>
      <sheetName val="Summ98-99"/>
      <sheetName val="Summ99TO2000"/>
      <sheetName val="rough"/>
      <sheetName val="Model"/>
      <sheetName val="Revenue Breakout"/>
      <sheetName val="is"/>
      <sheetName val="valn"/>
      <sheetName val="valn2"/>
      <sheetName val="capex-BWA"/>
      <sheetName val="capex-NWA"/>
      <sheetName val="capex-ISP+CLEC"/>
      <sheetName val="capex-other"/>
      <sheetName val="Inter_Menu"/>
      <sheetName val="interconnect"/>
      <sheetName val="cos"/>
      <sheetName val="opex-it"/>
      <sheetName val="opex-custSvc"/>
      <sheetName val="opex-G&amp;A"/>
      <sheetName val="opex-S&amp;Mktg"/>
      <sheetName val="cos-Urguay"/>
      <sheetName val="deprec"/>
      <sheetName val="by_city"/>
      <sheetName val="rev-BWA"/>
      <sheetName val="rev-BWA (Uruguay)"/>
      <sheetName val="Uruguay"/>
      <sheetName val="rev-NWA"/>
      <sheetName val="rev-ISP+CLEC"/>
      <sheetName val="DSL"/>
      <sheetName val="Int2_2001"/>
      <sheetName val="Int2_traf_2001"/>
      <sheetName val="Int2_tra_2001_2"/>
      <sheetName val="Prices_Interurban"/>
      <sheetName val="C-TM1"/>
      <sheetName val="SendToTM1"/>
      <sheetName val="PeriodFunction"/>
      <sheetName val="auto"/>
      <sheetName val="SAP Data 291204"/>
      <sheetName val="SEAT "/>
      <sheetName val="CARPET AND CARMATS "/>
      <sheetName val="DT &amp; OTHERS-01.04.04-31.12.04"/>
      <sheetName val="PRO AND SALE -APRIL-04-JAN-05"/>
      <sheetName val="PRO AND TURNOVER-APRIL-MARCH-05"/>
      <sheetName val="PRODUCTION -DIES"/>
      <sheetName val="PRODUCTION-JIG AND FIXURES"/>
      <sheetName val="PRODUCTION -MOULDS"/>
      <sheetName val="3"/>
      <sheetName val="IS-BS-FF-FY09"/>
      <sheetName val="IS-BS-FF -FY10"/>
      <sheetName val="IS-DIvwise"/>
      <sheetName val="FA Register "/>
      <sheetName val="Cash flow for Apr to Jul"/>
      <sheetName val="FY11"/>
      <sheetName val="FY12"/>
      <sheetName val="Sch_FA"/>
      <sheetName val="Bal_Gr"/>
      <sheetName val="P&amp;L_Gr"/>
      <sheetName val="CON_TB"/>
      <sheetName val="Mod_RSATB"/>
      <sheetName val="FAC_TB"/>
      <sheetName val="Mod_CorTB"/>
      <sheetName val="Cor_TB"/>
      <sheetName val="RSA_TB"/>
      <sheetName val="MODCSATB"/>
      <sheetName val="CSATB"/>
      <sheetName val="fgval"/>
      <sheetName val="depreciation Summary"/>
      <sheetName val="FA Register (2)"/>
      <sheetName val="indus"/>
      <sheetName val="Veh (Alto)"/>
      <sheetName val="Motor Cycle"/>
      <sheetName val="Veh (WR)"/>
      <sheetName val="Veh (Zen)"/>
      <sheetName val="Veh (Esteem)"/>
      <sheetName val="Veh (M 800) 1"/>
      <sheetName val="Veh (M 800) 2"/>
      <sheetName val="Veh (SX4)"/>
      <sheetName val="Veh (DZire)"/>
      <sheetName val="Veh (AStar)"/>
      <sheetName val="EECO"/>
      <sheetName val="RITZ"/>
      <sheetName val="VERSA (MSV)"/>
      <sheetName val="Swift"/>
      <sheetName val="Veh (MOS)"/>
      <sheetName val="UPS"/>
      <sheetName val="Sign Board"/>
      <sheetName val="P&amp;M"/>
      <sheetName val="Elec Equip"/>
      <sheetName val="Generator"/>
      <sheetName val="F&amp;F"/>
      <sheetName val="Bldgs"/>
      <sheetName val="Digi Cam"/>
      <sheetName val="Low Temp Drier"/>
      <sheetName val="Auto Lift"/>
      <sheetName val="Display Board"/>
      <sheetName val="Paint Booth"/>
      <sheetName val="Water Cooler"/>
      <sheetName val="Remarks"/>
      <sheetName val="Offer"/>
      <sheetName val="OVER HEADS"/>
      <sheetName val="Product Costing Format"/>
      <sheetName val="931Mh based"/>
      <sheetName val="CS14"/>
      <sheetName val="933Mh based"/>
      <sheetName val="936Mh based"/>
      <sheetName val="Sales return after Mar-07"/>
      <sheetName val="FIXASET"/>
      <sheetName val="BS Schedule 1-4"/>
      <sheetName val="MAINT,QP,COMM"/>
      <sheetName val="SUPPORTING"/>
      <sheetName val="PLGroupings"/>
      <sheetName val="PLAN 01-02"/>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Volume"/>
      <sheetName val="Data Graph"/>
      <sheetName val="MIS-PL"/>
      <sheetName val="gn-div"/>
      <sheetName val="UB-p&amp;L"/>
      <sheetName val="ub"/>
      <sheetName val="group"/>
      <sheetName val="prestn"/>
      <sheetName val="Data File"/>
      <sheetName val="publi"/>
      <sheetName val="Inc Dec - Stock"/>
      <sheetName val="MIS-OH"/>
      <sheetName val="C-COHs"/>
      <sheetName val="ub-BS"/>
      <sheetName val="C-Misc Income"/>
      <sheetName val="Presnt-2"/>
      <sheetName val="Raw TB"/>
      <sheetName val="consTB"/>
      <sheetName val="TBrow"/>
      <sheetName val="PC "/>
      <sheetName val="Ratio"/>
      <sheetName val="progrs"/>
      <sheetName val="LLCMIS"/>
      <sheetName val="Q03-04"/>
      <sheetName val="c f Final"/>
      <sheetName val="Q04-05"/>
      <sheetName val="mainBS"/>
      <sheetName val="sc3,4,5 (New)"/>
      <sheetName val="sch-21-mbi1"/>
      <sheetName val="sch-21-mbi2"/>
      <sheetName val="SC-21(1)"/>
      <sheetName val="SC21(2)"/>
      <sheetName val="sc1,2"/>
      <sheetName val="sc3,4"/>
      <sheetName val="sc5"/>
      <sheetName val="sc6,7,8,9"/>
      <sheetName val="sc10,11,12"/>
      <sheetName val="sc13,14,15"/>
      <sheetName val="sc16,17,18,19"/>
      <sheetName val="pwc-cash flow"/>
      <sheetName val="Dep-CON"/>
      <sheetName val="dep-GN"/>
      <sheetName val="dep-A164"/>
      <sheetName val="dep-RTDM"/>
      <sheetName val="dep-HO"/>
      <sheetName val="dep-NEPZ"/>
      <sheetName val="dep-AV"/>
      <sheetName val="dep-B17"/>
      <sheetName val="dep-TR"/>
      <sheetName val="dep-B4"/>
      <sheetName val="dep-MET"/>
      <sheetName val="Adjustment"/>
      <sheetName val="a164"/>
      <sheetName val="gn"/>
      <sheetName val="av"/>
      <sheetName val="rtd"/>
      <sheetName val="nepz"/>
      <sheetName val="B17"/>
      <sheetName val="b4"/>
      <sheetName val="met"/>
      <sheetName val="tr"/>
      <sheetName val="In-De GN"/>
      <sheetName val="IU"/>
      <sheetName val="Q02-03"/>
      <sheetName val="PreQs"/>
      <sheetName val="working03-04"/>
      <sheetName val="Cons-working03-04"/>
      <sheetName val="Optical PL-04-05"/>
      <sheetName val="Eurooptic05-06 PL"/>
      <sheetName val="Eurooptic05-06BS"/>
      <sheetName val="Eurooptic OpticalBS-04-05"/>
      <sheetName val="GDM 0506"/>
      <sheetName val="GDM 0405"/>
      <sheetName val="MBPVL-BS"/>
      <sheetName val="P&amp;L (2)"/>
      <sheetName val="GDM Reco AM"/>
      <sheetName val="ConsBS"/>
      <sheetName val="ConsP&amp;L"/>
      <sheetName val="Conssc1,2"/>
      <sheetName val="Conssc3,4"/>
      <sheetName val="Conssc5"/>
      <sheetName val="Conssc6,7,8,9"/>
      <sheetName val="Conssc10,11,12"/>
      <sheetName val="Conssc13,14,15"/>
      <sheetName val="Conssc16,17,18"/>
      <sheetName val="Cons-pwc-cash flow"/>
      <sheetName val="Cons-Working"/>
      <sheetName val="GDM0405"/>
      <sheetName val="trial balance 30092003"/>
      <sheetName val="Old Sep-03TB"/>
      <sheetName val="Yen Loan-Original"/>
      <sheetName val="_REF"/>
      <sheetName val="Monthwise sale"/>
      <sheetName val="LTA PROVISON AUGUST'10"/>
      <sheetName val="Med. AUGUST'10"/>
      <sheetName val="Transmittal Front Page"/>
      <sheetName val="old_serial no."/>
      <sheetName val="tot_ass_9697"/>
      <sheetName val="#"/>
      <sheetName val="new summary"/>
      <sheetName val="Pilotage"/>
      <sheetName val="Details 2"/>
      <sheetName val="PL Depn"/>
      <sheetName val="INTERNAL REPORT"/>
      <sheetName val="DUE DELIGENCE"/>
      <sheetName val="IPO"/>
      <sheetName val="Wdv"/>
      <sheetName val="RFDETAIL"/>
      <sheetName val="Agency BS"/>
      <sheetName val="SCH4"/>
      <sheetName val="SCH1"/>
      <sheetName val="SCH2"/>
      <sheetName val="SCH3R"/>
      <sheetName val="2266957"/>
      <sheetName val="wdr bldg"/>
      <sheetName val="1. Prepaid Expenses"/>
      <sheetName val="OZ000105IRS"/>
      <sheetName val="Overview"/>
      <sheetName val="SCH-E,F,G,H,I"/>
      <sheetName val="EMPMAST"/>
      <sheetName val="agrolist"/>
      <sheetName val="Unmatched"/>
      <sheetName val="Matched"/>
      <sheetName val="G.P. Provision - Jan05"/>
      <sheetName val="Summary -Jan05"/>
      <sheetName val="Detail"/>
      <sheetName val="Provision - Dec04"/>
      <sheetName val="Parked Actual"/>
      <sheetName val="Parked Bhawna"/>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船積台数"/>
      <sheetName val="コスト"/>
      <sheetName val="ﾓﾃﾞﾙ別収益"/>
      <sheetName val="まとめ表"/>
      <sheetName val="枠外・設備・技指料・CBU"/>
      <sheetName val="差異分析"/>
      <sheetName val="差異分析 (3)"/>
      <sheetName val="JM MORGAN -JAN"/>
      <sheetName val="Kotak Liquid-JANM"/>
      <sheetName val="PRUDENTIAL LIQUID-JAN"/>
      <sheetName val="DSP ML LIQUID-JAN"/>
      <sheetName val="Birla Liquid-jan"/>
      <sheetName val="Prudential Floater"/>
      <sheetName val="PP_TOTAL _ ALLIED % increase"/>
      <sheetName val="MANPOWER"/>
      <sheetName val="ALLIED_cash flow"/>
      <sheetName val="ALLIED_WC"/>
      <sheetName val="PP_TOTAL _ ALLIED"/>
      <sheetName val="AHC_PP_FINAL (HO)"/>
      <sheetName val="DGN _ P P"/>
      <sheetName val="RFCL _ PP"/>
      <sheetName val="Barr Laboratories"/>
      <sheetName val="King"/>
      <sheetName val="Pliva USD"/>
      <sheetName val="Pliva - HRK"/>
      <sheetName val="Mylan Labs"/>
      <sheetName val="Watson Pharma"/>
      <sheetName val="Consolidated Sheet"/>
      <sheetName val="Teva"/>
      <sheetName val="Creditors- March11"/>
      <sheetName val="Creditor ageing"/>
      <sheetName val="Summary- Creditors"/>
      <sheetName val="Crditors listing- MArch 2011"/>
      <sheetName val="Creditors ageing- final"/>
      <sheetName val="Verification of subsequent"/>
      <sheetName val="Cr. Ageing"/>
      <sheetName val="Expense payable"/>
      <sheetName val="Expense payable "/>
      <sheetName val="Confirmation floated"/>
      <sheetName val="Security deposit-Land"/>
      <sheetName val="Security deposit - Works"/>
      <sheetName val="Sec deposit works- March"/>
      <sheetName val="Salary payable"/>
      <sheetName val="Salary payable- March"/>
      <sheetName val="Provision for Demob."/>
      <sheetName val="Adv. from customers"/>
      <sheetName val="Adv. from customers March"/>
      <sheetName val="Stale Cheque-291210"/>
      <sheetName val="Stale cheques"/>
      <sheetName val="gr ir clearing 28feb2011"/>
      <sheetName val="Other Liabilities"/>
      <sheetName val="Service Tax details"/>
      <sheetName val="Provident Fund Payment- March"/>
      <sheetName val="Provident Fund Payment "/>
      <sheetName val="Professional tax "/>
      <sheetName val="CST Payable"/>
      <sheetName val="Work Contract Tax"/>
      <sheetName val="VAT Payment Details"/>
      <sheetName val="Payment Checking"/>
      <sheetName val="Creditors All"/>
      <sheetName val="Samples"/>
      <sheetName val="Professional tax  (2)"/>
      <sheetName val="Royality &amp; PLP"/>
      <sheetName val="CST Payable (2)"/>
      <sheetName val="VAT Payment Details (2)"/>
      <sheetName val="Vat Input Output details"/>
      <sheetName val="Schedules 10-11 WCT"/>
      <sheetName val="Service Tax details (2)"/>
      <sheetName val="TDS NR"/>
      <sheetName val="TDS Professional"/>
      <sheetName val="TDS Commision"/>
      <sheetName val="TDS Contractor"/>
      <sheetName val="TDS rent"/>
      <sheetName val="TDS Salary"/>
      <sheetName val="Provvion WT"/>
      <sheetName val="Wealth tax apayble"/>
      <sheetName val="cl.stk"/>
      <sheetName val="SS"/>
      <sheetName val="S1"/>
      <sheetName val="S2(D)"/>
      <sheetName val="S3(I)"/>
      <sheetName val="S6"/>
      <sheetName val="BS&amp;PL"/>
      <sheetName val="SD"/>
      <sheetName val="Capital Gains"/>
      <sheetName val="SubSch"/>
      <sheetName val="Clover"/>
      <sheetName val="MFG Exp"/>
      <sheetName val="Personnel"/>
      <sheetName val="S&amp;D Cost"/>
      <sheetName val="Gen&amp;Admin"/>
      <sheetName val="Sales Plan"/>
      <sheetName val="Aug 17 Analy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row r="1">
          <cell r="D1" t="str">
            <v>Metalyst Forgings Ltd, Aurangabad.</v>
          </cell>
        </row>
      </sheetData>
      <sheetData sheetId="116">
        <row r="16">
          <cell r="BT16">
            <v>0</v>
          </cell>
        </row>
      </sheetData>
      <sheetData sheetId="117">
        <row r="7">
          <cell r="A7">
            <v>5001</v>
          </cell>
        </row>
      </sheetData>
      <sheetData sheetId="118">
        <row r="16">
          <cell r="BT16">
            <v>0</v>
          </cell>
        </row>
      </sheetData>
      <sheetData sheetId="119">
        <row r="16">
          <cell r="BT16">
            <v>0</v>
          </cell>
        </row>
      </sheetData>
      <sheetData sheetId="120">
        <row r="16">
          <cell r="BT16">
            <v>0</v>
          </cell>
        </row>
      </sheetData>
      <sheetData sheetId="121">
        <row r="16">
          <cell r="BT16">
            <v>0</v>
          </cell>
        </row>
      </sheetData>
      <sheetData sheetId="122">
        <row r="16">
          <cell r="BT16">
            <v>0</v>
          </cell>
        </row>
      </sheetData>
      <sheetData sheetId="123">
        <row r="16">
          <cell r="BT16">
            <v>0</v>
          </cell>
        </row>
      </sheetData>
      <sheetData sheetId="124">
        <row r="16">
          <cell r="BT16">
            <v>0</v>
          </cell>
        </row>
      </sheetData>
      <sheetData sheetId="125">
        <row r="17">
          <cell r="A17">
            <v>1</v>
          </cell>
        </row>
      </sheetData>
      <sheetData sheetId="126"/>
      <sheetData sheetId="127" refreshError="1"/>
      <sheetData sheetId="128"/>
      <sheetData sheetId="129">
        <row r="7">
          <cell r="A7">
            <v>5001</v>
          </cell>
        </row>
      </sheetData>
      <sheetData sheetId="130"/>
      <sheetData sheetId="131"/>
      <sheetData sheetId="132"/>
      <sheetData sheetId="133"/>
      <sheetData sheetId="134"/>
      <sheetData sheetId="135">
        <row r="7">
          <cell r="A7">
            <v>5001</v>
          </cell>
        </row>
      </sheetData>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7">
          <cell r="A7">
            <v>5001</v>
          </cell>
        </row>
      </sheetData>
      <sheetData sheetId="170" refreshError="1"/>
      <sheetData sheetId="171"/>
      <sheetData sheetId="172" refreshError="1"/>
      <sheetData sheetId="173" refreshError="1"/>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refreshError="1"/>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refreshError="1"/>
      <sheetData sheetId="56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refreshError="1"/>
      <sheetData sheetId="640" refreshError="1"/>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refreshError="1"/>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refreshError="1"/>
      <sheetData sheetId="753"/>
      <sheetData sheetId="754"/>
      <sheetData sheetId="755"/>
      <sheetData sheetId="756" refreshError="1"/>
      <sheetData sheetId="757" refreshError="1"/>
      <sheetData sheetId="758"/>
      <sheetData sheetId="759"/>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ow r="5">
          <cell r="AU5">
            <v>135</v>
          </cell>
        </row>
      </sheetData>
      <sheetData sheetId="779">
        <row r="5">
          <cell r="AU5">
            <v>135</v>
          </cell>
        </row>
      </sheetData>
      <sheetData sheetId="780">
        <row r="4">
          <cell r="A4">
            <v>5007</v>
          </cell>
        </row>
      </sheetData>
      <sheetData sheetId="781"/>
      <sheetData sheetId="782"/>
      <sheetData sheetId="783" refreshError="1"/>
      <sheetData sheetId="784">
        <row r="4">
          <cell r="A4">
            <v>5007</v>
          </cell>
        </row>
      </sheetData>
      <sheetData sheetId="785"/>
      <sheetData sheetId="786"/>
      <sheetData sheetId="787"/>
      <sheetData sheetId="788">
        <row r="5">
          <cell r="AU5">
            <v>135</v>
          </cell>
        </row>
      </sheetData>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ow r="5">
          <cell r="AU5">
            <v>135</v>
          </cell>
        </row>
      </sheetData>
      <sheetData sheetId="824">
        <row r="4">
          <cell r="A4">
            <v>5007</v>
          </cell>
        </row>
      </sheetData>
      <sheetData sheetId="825"/>
      <sheetData sheetId="826"/>
      <sheetData sheetId="827"/>
      <sheetData sheetId="828" refreshError="1"/>
      <sheetData sheetId="829"/>
      <sheetData sheetId="830"/>
      <sheetData sheetId="831"/>
      <sheetData sheetId="832"/>
      <sheetData sheetId="833">
        <row r="5">
          <cell r="AU5">
            <v>135</v>
          </cell>
        </row>
      </sheetData>
      <sheetData sheetId="834">
        <row r="7">
          <cell r="A7">
            <v>5001</v>
          </cell>
        </row>
      </sheetData>
      <sheetData sheetId="835" refreshError="1"/>
      <sheetData sheetId="836"/>
      <sheetData sheetId="837">
        <row r="5">
          <cell r="AU5">
            <v>135</v>
          </cell>
        </row>
      </sheetData>
      <sheetData sheetId="838">
        <row r="4">
          <cell r="A4">
            <v>5007</v>
          </cell>
        </row>
      </sheetData>
      <sheetData sheetId="839"/>
      <sheetData sheetId="840"/>
      <sheetData sheetId="841"/>
      <sheetData sheetId="842"/>
      <sheetData sheetId="843"/>
      <sheetData sheetId="844"/>
      <sheetData sheetId="845"/>
      <sheetData sheetId="846"/>
      <sheetData sheetId="847">
        <row r="4">
          <cell r="A4">
            <v>5007</v>
          </cell>
        </row>
      </sheetData>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ow r="16">
          <cell r="BT16">
            <v>0</v>
          </cell>
        </row>
      </sheetData>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sheetData sheetId="899">
        <row r="5">
          <cell r="AU5">
            <v>135</v>
          </cell>
        </row>
      </sheetData>
      <sheetData sheetId="900">
        <row r="4">
          <cell r="A4">
            <v>5007</v>
          </cell>
        </row>
      </sheetData>
      <sheetData sheetId="901"/>
      <sheetData sheetId="902" refreshError="1"/>
      <sheetData sheetId="903"/>
      <sheetData sheetId="904"/>
      <sheetData sheetId="905"/>
      <sheetData sheetId="906"/>
      <sheetData sheetId="907"/>
      <sheetData sheetId="908" refreshError="1"/>
      <sheetData sheetId="909" refreshError="1"/>
      <sheetData sheetId="910" refreshError="1"/>
      <sheetData sheetId="911" refreshError="1"/>
      <sheetData sheetId="912"/>
      <sheetData sheetId="913"/>
      <sheetData sheetId="914" refreshError="1"/>
      <sheetData sheetId="915"/>
      <sheetData sheetId="916"/>
      <sheetData sheetId="917" refreshError="1"/>
      <sheetData sheetId="918">
        <row r="7">
          <cell r="A7">
            <v>5001</v>
          </cell>
        </row>
      </sheetData>
      <sheetData sheetId="919"/>
      <sheetData sheetId="920">
        <row r="7">
          <cell r="A7">
            <v>5001</v>
          </cell>
        </row>
      </sheetData>
      <sheetData sheetId="921"/>
      <sheetData sheetId="922"/>
      <sheetData sheetId="923"/>
      <sheetData sheetId="924"/>
      <sheetData sheetId="925"/>
      <sheetData sheetId="926"/>
      <sheetData sheetId="927"/>
      <sheetData sheetId="928"/>
      <sheetData sheetId="929"/>
      <sheetData sheetId="930">
        <row r="5">
          <cell r="AU5">
            <v>135</v>
          </cell>
        </row>
      </sheetData>
      <sheetData sheetId="931"/>
      <sheetData sheetId="932"/>
      <sheetData sheetId="933">
        <row r="5">
          <cell r="AU5">
            <v>135</v>
          </cell>
        </row>
      </sheetData>
      <sheetData sheetId="934">
        <row r="16">
          <cell r="BT16">
            <v>0</v>
          </cell>
        </row>
      </sheetData>
      <sheetData sheetId="935">
        <row r="7">
          <cell r="A7">
            <v>5001</v>
          </cell>
        </row>
      </sheetData>
      <sheetData sheetId="936">
        <row r="16">
          <cell r="BT16">
            <v>0</v>
          </cell>
        </row>
      </sheetData>
      <sheetData sheetId="937">
        <row r="16">
          <cell r="BT16">
            <v>0</v>
          </cell>
        </row>
      </sheetData>
      <sheetData sheetId="938"/>
      <sheetData sheetId="939">
        <row r="17">
          <cell r="A17">
            <v>1</v>
          </cell>
        </row>
      </sheetData>
      <sheetData sheetId="940"/>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sheetData sheetId="971">
        <row r="7">
          <cell r="A7">
            <v>5001</v>
          </cell>
        </row>
      </sheetData>
      <sheetData sheetId="972" refreshError="1"/>
      <sheetData sheetId="973"/>
      <sheetData sheetId="974">
        <row r="5">
          <cell r="AU5">
            <v>135</v>
          </cell>
        </row>
      </sheetData>
      <sheetData sheetId="975">
        <row r="4">
          <cell r="A4">
            <v>5007</v>
          </cell>
        </row>
      </sheetData>
      <sheetData sheetId="976" refreshError="1"/>
      <sheetData sheetId="977" refreshError="1"/>
      <sheetData sheetId="978"/>
      <sheetData sheetId="979"/>
      <sheetData sheetId="980" refreshError="1"/>
      <sheetData sheetId="981" refreshError="1"/>
      <sheetData sheetId="982" refreshError="1"/>
      <sheetData sheetId="983" refreshError="1"/>
      <sheetData sheetId="984" refreshError="1"/>
      <sheetData sheetId="985">
        <row r="5">
          <cell r="AU5">
            <v>135</v>
          </cell>
        </row>
      </sheetData>
      <sheetData sheetId="986">
        <row r="16">
          <cell r="BT16">
            <v>0</v>
          </cell>
        </row>
      </sheetData>
      <sheetData sheetId="987">
        <row r="5">
          <cell r="AU5">
            <v>135</v>
          </cell>
        </row>
      </sheetData>
      <sheetData sheetId="988">
        <row r="16">
          <cell r="BT16">
            <v>0</v>
          </cell>
        </row>
      </sheetData>
      <sheetData sheetId="989">
        <row r="16">
          <cell r="BT16">
            <v>0</v>
          </cell>
        </row>
      </sheetData>
      <sheetData sheetId="990" refreshError="1"/>
      <sheetData sheetId="991">
        <row r="7">
          <cell r="A7">
            <v>5001</v>
          </cell>
        </row>
      </sheetData>
      <sheetData sheetId="992"/>
      <sheetData sheetId="993">
        <row r="7">
          <cell r="A7">
            <v>5001</v>
          </cell>
        </row>
      </sheetData>
      <sheetData sheetId="994"/>
      <sheetData sheetId="995">
        <row r="7">
          <cell r="A7">
            <v>5001</v>
          </cell>
        </row>
      </sheetData>
      <sheetData sheetId="996"/>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ow r="5">
          <cell r="AU5">
            <v>135</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sheetData sheetId="1357"/>
      <sheetData sheetId="1358"/>
      <sheetData sheetId="1359"/>
      <sheetData sheetId="1360"/>
      <sheetData sheetId="1361"/>
      <sheetData sheetId="1362"/>
      <sheetData sheetId="1363"/>
      <sheetData sheetId="1364"/>
      <sheetData sheetId="1365">
        <row r="28">
          <cell r="M28">
            <v>25518769.103220712</v>
          </cell>
        </row>
      </sheetData>
      <sheetData sheetId="1366"/>
      <sheetData sheetId="1367"/>
      <sheetData sheetId="1368"/>
      <sheetData sheetId="1369"/>
      <sheetData sheetId="1370"/>
      <sheetData sheetId="1371"/>
      <sheetData sheetId="1372"/>
      <sheetData sheetId="1373">
        <row r="28">
          <cell r="M28">
            <v>25518769.103220712</v>
          </cell>
        </row>
      </sheetData>
      <sheetData sheetId="1374"/>
      <sheetData sheetId="1375"/>
      <sheetData sheetId="1376"/>
      <sheetData sheetId="1377"/>
      <sheetData sheetId="1378"/>
      <sheetData sheetId="1379"/>
      <sheetData sheetId="1380">
        <row r="140">
          <cell r="E140">
            <v>63913884</v>
          </cell>
        </row>
      </sheetData>
      <sheetData sheetId="1381"/>
      <sheetData sheetId="1382"/>
      <sheetData sheetId="1383"/>
      <sheetData sheetId="1384"/>
      <sheetData sheetId="1385"/>
      <sheetData sheetId="1386"/>
      <sheetData sheetId="1387"/>
      <sheetData sheetId="1388">
        <row r="140">
          <cell r="E140">
            <v>63913884</v>
          </cell>
        </row>
      </sheetData>
      <sheetData sheetId="1389"/>
      <sheetData sheetId="1390"/>
      <sheetData sheetId="1391"/>
      <sheetData sheetId="1392">
        <row r="4">
          <cell r="A4" t="str">
            <v>__Actuals_for_total_of_12_Time_selections_Ledger_1</v>
          </cell>
        </row>
      </sheetData>
      <sheetData sheetId="1393"/>
      <sheetData sheetId="1394"/>
      <sheetData sheetId="1395">
        <row r="4">
          <cell r="A4" t="str">
            <v>__Actuals_for_total_of_12_Time_selections_Ledger_1</v>
          </cell>
        </row>
      </sheetData>
      <sheetData sheetId="1396"/>
      <sheetData sheetId="1397"/>
      <sheetData sheetId="1398" refreshError="1"/>
      <sheetData sheetId="1399" refreshError="1"/>
      <sheetData sheetId="1400" refreshError="1"/>
      <sheetData sheetId="1401"/>
      <sheetData sheetId="1402">
        <row r="140">
          <cell r="E140">
            <v>63913884</v>
          </cell>
        </row>
      </sheetData>
      <sheetData sheetId="1403">
        <row r="4">
          <cell r="A4" t="str">
            <v>__Actuals_for_total_of_12_Time_selections_Ledger_1</v>
          </cell>
        </row>
      </sheetData>
      <sheetData sheetId="1404">
        <row r="36">
          <cell r="B36">
            <v>43</v>
          </cell>
        </row>
      </sheetData>
      <sheetData sheetId="1405"/>
      <sheetData sheetId="1406"/>
      <sheetData sheetId="1407"/>
      <sheetData sheetId="1408"/>
      <sheetData sheetId="1409"/>
      <sheetData sheetId="1410">
        <row r="140">
          <cell r="E140">
            <v>63913884</v>
          </cell>
        </row>
      </sheetData>
      <sheetData sheetId="1411"/>
      <sheetData sheetId="1412">
        <row r="36">
          <cell r="B36">
            <v>43</v>
          </cell>
        </row>
      </sheetData>
      <sheetData sheetId="1413"/>
      <sheetData sheetId="1414"/>
      <sheetData sheetId="1415"/>
      <sheetData sheetId="1416"/>
      <sheetData sheetId="1417"/>
      <sheetData sheetId="1418">
        <row r="4">
          <cell r="A4" t="str">
            <v>__Actuals_for_total_of_12_Time_selections_Ledger_1</v>
          </cell>
        </row>
      </sheetData>
      <sheetData sheetId="1419" refreshError="1"/>
      <sheetData sheetId="1420" refreshError="1"/>
      <sheetData sheetId="1421" refreshError="1"/>
      <sheetData sheetId="1422"/>
      <sheetData sheetId="1423" refreshError="1"/>
      <sheetData sheetId="1424"/>
      <sheetData sheetId="1425"/>
      <sheetData sheetId="1426">
        <row r="2">
          <cell r="A2" t="str">
            <v>F05-Jan</v>
          </cell>
        </row>
      </sheetData>
      <sheetData sheetId="1427"/>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sheetData sheetId="1488"/>
      <sheetData sheetId="1489"/>
      <sheetData sheetId="1490" refreshError="1"/>
      <sheetData sheetId="1491" refreshError="1"/>
      <sheetData sheetId="1492" refreshError="1"/>
      <sheetData sheetId="1493" refreshError="1"/>
      <sheetData sheetId="1494" refreshError="1"/>
      <sheetData sheetId="1495" refreshError="1"/>
      <sheetData sheetId="1496"/>
      <sheetData sheetId="1497" refreshError="1"/>
      <sheetData sheetId="1498" refreshError="1"/>
      <sheetData sheetId="1499" refreshError="1"/>
      <sheetData sheetId="1500"/>
      <sheetData sheetId="1501"/>
      <sheetData sheetId="1502">
        <row r="50">
          <cell r="A50" t="str">
            <v>SHIPARA TECHNOLOGIES LIMITED</v>
          </cell>
        </row>
      </sheetData>
      <sheetData sheetId="1503"/>
      <sheetData sheetId="1504" refreshError="1"/>
      <sheetData sheetId="1505" refreshError="1"/>
      <sheetData sheetId="1506" refreshError="1"/>
      <sheetData sheetId="1507" refreshError="1"/>
      <sheetData sheetId="1508"/>
      <sheetData sheetId="1509"/>
      <sheetData sheetId="1510">
        <row r="50">
          <cell r="A50" t="str">
            <v>SHIPARA TECHNOLOGIES LIMITED</v>
          </cell>
        </row>
      </sheetData>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row r="28">
          <cell r="M28">
            <v>25518769.103220712</v>
          </cell>
        </row>
      </sheetData>
      <sheetData sheetId="1528"/>
      <sheetData sheetId="1529"/>
      <sheetData sheetId="1530"/>
      <sheetData sheetId="1531"/>
      <sheetData sheetId="1532" refreshError="1"/>
      <sheetData sheetId="1533"/>
      <sheetData sheetId="1534"/>
      <sheetData sheetId="1535">
        <row r="28">
          <cell r="M28">
            <v>25518769.103220712</v>
          </cell>
        </row>
      </sheetData>
      <sheetData sheetId="1536"/>
      <sheetData sheetId="1537"/>
      <sheetData sheetId="1538"/>
      <sheetData sheetId="1539"/>
      <sheetData sheetId="1540"/>
      <sheetData sheetId="1541"/>
      <sheetData sheetId="1542"/>
      <sheetData sheetId="1543"/>
      <sheetData sheetId="1544"/>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refreshError="1"/>
      <sheetData sheetId="1575" refreshError="1"/>
      <sheetData sheetId="1576"/>
      <sheetData sheetId="1577"/>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sheetData sheetId="1657">
        <row r="626">
          <cell r="D626">
            <v>-7005925</v>
          </cell>
        </row>
      </sheetData>
      <sheetData sheetId="1658"/>
      <sheetData sheetId="1659"/>
      <sheetData sheetId="1660"/>
      <sheetData sheetId="1661"/>
      <sheetData sheetId="1662"/>
      <sheetData sheetId="1663"/>
      <sheetData sheetId="1664" refreshError="1"/>
      <sheetData sheetId="1665" refreshError="1"/>
      <sheetData sheetId="1666"/>
      <sheetData sheetId="1667"/>
      <sheetData sheetId="1668"/>
      <sheetData sheetId="1669"/>
      <sheetData sheetId="1670" refreshError="1"/>
      <sheetData sheetId="1671" refreshError="1"/>
      <sheetData sheetId="1672" refreshError="1"/>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row r="28">
          <cell r="M28">
            <v>25518769.103220712</v>
          </cell>
        </row>
      </sheetData>
      <sheetData sheetId="1693"/>
      <sheetData sheetId="1694" refreshError="1"/>
      <sheetData sheetId="1695"/>
      <sheetData sheetId="1696"/>
      <sheetData sheetId="1697"/>
      <sheetData sheetId="1698"/>
      <sheetData sheetId="1699"/>
      <sheetData sheetId="1700">
        <row r="28">
          <cell r="M28">
            <v>25518769.103220712</v>
          </cell>
        </row>
      </sheetData>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refreshError="1"/>
      <sheetData sheetId="1733">
        <row r="1">
          <cell r="C1">
            <v>1</v>
          </cell>
        </row>
      </sheetData>
      <sheetData sheetId="1734"/>
      <sheetData sheetId="1735"/>
      <sheetData sheetId="1736"/>
      <sheetData sheetId="1737"/>
      <sheetData sheetId="1738"/>
      <sheetData sheetId="1739"/>
      <sheetData sheetId="1740"/>
      <sheetData sheetId="1741">
        <row r="1">
          <cell r="C1">
            <v>1</v>
          </cell>
        </row>
      </sheetData>
      <sheetData sheetId="1742"/>
      <sheetData sheetId="1743"/>
      <sheetData sheetId="1744" refreshError="1"/>
      <sheetData sheetId="1745" refreshError="1"/>
      <sheetData sheetId="1746" refreshError="1"/>
      <sheetData sheetId="1747"/>
      <sheetData sheetId="1748" refreshError="1"/>
      <sheetData sheetId="1749" refreshError="1"/>
      <sheetData sheetId="1750" refreshError="1"/>
      <sheetData sheetId="1751"/>
      <sheetData sheetId="1752"/>
      <sheetData sheetId="1753"/>
      <sheetData sheetId="1754"/>
      <sheetData sheetId="1755"/>
      <sheetData sheetId="1756"/>
      <sheetData sheetId="1757"/>
      <sheetData sheetId="1758"/>
      <sheetData sheetId="1759" refreshError="1"/>
      <sheetData sheetId="1760"/>
      <sheetData sheetId="1761" refreshError="1"/>
      <sheetData sheetId="1762" refreshError="1"/>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refreshError="1"/>
      <sheetData sheetId="1776"/>
      <sheetData sheetId="1777"/>
      <sheetData sheetId="1778"/>
      <sheetData sheetId="1779"/>
      <sheetData sheetId="1780"/>
      <sheetData sheetId="1781"/>
      <sheetData sheetId="1782"/>
      <sheetData sheetId="1783"/>
      <sheetData sheetId="1784"/>
      <sheetData sheetId="1785"/>
      <sheetData sheetId="1786">
        <row r="2">
          <cell r="A2" t="str">
            <v>F05-Jan</v>
          </cell>
        </row>
      </sheetData>
      <sheetData sheetId="1787"/>
      <sheetData sheetId="1788"/>
      <sheetData sheetId="1789"/>
      <sheetData sheetId="1790"/>
      <sheetData sheetId="1791"/>
      <sheetData sheetId="1792"/>
      <sheetData sheetId="1793" refreshError="1"/>
      <sheetData sheetId="1794">
        <row r="2">
          <cell r="A2" t="str">
            <v>F05-Jan</v>
          </cell>
        </row>
      </sheetData>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refreshError="1"/>
      <sheetData sheetId="1828"/>
      <sheetData sheetId="1829"/>
      <sheetData sheetId="1830"/>
      <sheetData sheetId="1831"/>
      <sheetData sheetId="1832">
        <row r="5">
          <cell r="J5" t="str">
            <v>Delay in days</v>
          </cell>
        </row>
      </sheetData>
      <sheetData sheetId="1833"/>
      <sheetData sheetId="1834"/>
      <sheetData sheetId="1835"/>
      <sheetData sheetId="1836"/>
      <sheetData sheetId="1837"/>
      <sheetData sheetId="1838"/>
      <sheetData sheetId="1839"/>
      <sheetData sheetId="1840">
        <row r="5">
          <cell r="J5" t="str">
            <v>Delay in days</v>
          </cell>
        </row>
      </sheetData>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refreshError="1"/>
      <sheetData sheetId="1887" refreshError="1"/>
      <sheetData sheetId="1888"/>
      <sheetData sheetId="1889"/>
      <sheetData sheetId="1890"/>
      <sheetData sheetId="1891"/>
      <sheetData sheetId="1892"/>
      <sheetData sheetId="1893"/>
      <sheetData sheetId="1894"/>
      <sheetData sheetId="1895"/>
      <sheetData sheetId="1896">
        <row r="626">
          <cell r="D626">
            <v>-7005925</v>
          </cell>
        </row>
      </sheetData>
      <sheetData sheetId="1897"/>
      <sheetData sheetId="1898"/>
      <sheetData sheetId="1899"/>
      <sheetData sheetId="1900"/>
      <sheetData sheetId="1901"/>
      <sheetData sheetId="1902"/>
      <sheetData sheetId="1903"/>
      <sheetData sheetId="1904">
        <row r="626">
          <cell r="D626">
            <v>-7005925</v>
          </cell>
        </row>
      </sheetData>
      <sheetData sheetId="1905"/>
      <sheetData sheetId="1906"/>
      <sheetData sheetId="1907">
        <row r="5">
          <cell r="J5" t="str">
            <v>Delay in days</v>
          </cell>
        </row>
      </sheetData>
      <sheetData sheetId="1908"/>
      <sheetData sheetId="1909"/>
      <sheetData sheetId="1910"/>
      <sheetData sheetId="1911"/>
      <sheetData sheetId="1912"/>
      <sheetData sheetId="1913"/>
      <sheetData sheetId="1914"/>
      <sheetData sheetId="1915">
        <row r="5">
          <cell r="J5" t="str">
            <v>Delay in days</v>
          </cell>
        </row>
      </sheetData>
      <sheetData sheetId="1916"/>
      <sheetData sheetId="1917"/>
      <sheetData sheetId="1918"/>
      <sheetData sheetId="1919"/>
      <sheetData sheetId="1920"/>
      <sheetData sheetId="1921"/>
      <sheetData sheetId="1922"/>
      <sheetData sheetId="1923"/>
      <sheetData sheetId="1924"/>
      <sheetData sheetId="1925">
        <row r="28">
          <cell r="M28">
            <v>25518769.103220712</v>
          </cell>
        </row>
      </sheetData>
      <sheetData sheetId="1926"/>
      <sheetData sheetId="1927"/>
      <sheetData sheetId="1928"/>
      <sheetData sheetId="1929"/>
      <sheetData sheetId="1930"/>
      <sheetData sheetId="1931"/>
      <sheetData sheetId="1932"/>
      <sheetData sheetId="1933">
        <row r="28">
          <cell r="M28">
            <v>25518769.103220712</v>
          </cell>
        </row>
      </sheetData>
      <sheetData sheetId="1934"/>
      <sheetData sheetId="1935"/>
      <sheetData sheetId="1936"/>
      <sheetData sheetId="1937"/>
      <sheetData sheetId="1938"/>
      <sheetData sheetId="1939"/>
      <sheetData sheetId="1940"/>
      <sheetData sheetId="1941"/>
      <sheetData sheetId="1942"/>
      <sheetData sheetId="1943"/>
      <sheetData sheetId="1944"/>
      <sheetData sheetId="1945" refreshError="1"/>
      <sheetData sheetId="1946"/>
      <sheetData sheetId="1947"/>
      <sheetData sheetId="1948"/>
      <sheetData sheetId="1949"/>
      <sheetData sheetId="1950"/>
      <sheetData sheetId="1951"/>
      <sheetData sheetId="1952"/>
      <sheetData sheetId="1953">
        <row r="140">
          <cell r="E140">
            <v>63913884</v>
          </cell>
        </row>
      </sheetData>
      <sheetData sheetId="1954"/>
      <sheetData sheetId="1955"/>
      <sheetData sheetId="1956">
        <row r="626">
          <cell r="D626">
            <v>-7005925</v>
          </cell>
        </row>
      </sheetData>
      <sheetData sheetId="1957"/>
      <sheetData sheetId="1958"/>
      <sheetData sheetId="1959"/>
      <sheetData sheetId="1960"/>
      <sheetData sheetId="1961">
        <row r="140">
          <cell r="E140">
            <v>63913884</v>
          </cell>
        </row>
      </sheetData>
      <sheetData sheetId="1962"/>
      <sheetData sheetId="1963"/>
      <sheetData sheetId="1964">
        <row r="626">
          <cell r="D626">
            <v>-7005925</v>
          </cell>
        </row>
      </sheetData>
      <sheetData sheetId="1965"/>
      <sheetData sheetId="1966"/>
      <sheetData sheetId="1967"/>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sheetData sheetId="1980"/>
      <sheetData sheetId="1981"/>
      <sheetData sheetId="1982"/>
      <sheetData sheetId="1983"/>
      <sheetData sheetId="1984"/>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sheetData sheetId="2011"/>
      <sheetData sheetId="2012"/>
      <sheetData sheetId="2013"/>
      <sheetData sheetId="2014"/>
      <sheetData sheetId="2015">
        <row r="626">
          <cell r="D626">
            <v>-7005925</v>
          </cell>
        </row>
      </sheetData>
      <sheetData sheetId="2016"/>
      <sheetData sheetId="2017"/>
      <sheetData sheetId="2018"/>
      <sheetData sheetId="2019" refreshError="1"/>
      <sheetData sheetId="2020" refreshError="1"/>
      <sheetData sheetId="2021" refreshError="1"/>
      <sheetData sheetId="2022" refreshError="1"/>
      <sheetData sheetId="2023" refreshError="1"/>
      <sheetData sheetId="2024" refreshError="1"/>
      <sheetData sheetId="2025" refreshError="1"/>
      <sheetData sheetId="2026"/>
      <sheetData sheetId="2027"/>
      <sheetData sheetId="2028"/>
      <sheetData sheetId="2029"/>
      <sheetData sheetId="2030"/>
      <sheetData sheetId="2031" refreshError="1"/>
      <sheetData sheetId="2032"/>
      <sheetData sheetId="2033" refreshError="1"/>
      <sheetData sheetId="2034"/>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sheetData sheetId="2070" refreshError="1"/>
      <sheetData sheetId="207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sheetData sheetId="2146"/>
      <sheetData sheetId="2147"/>
      <sheetData sheetId="2148"/>
      <sheetData sheetId="2149"/>
      <sheetData sheetId="2150"/>
      <sheetData sheetId="2151">
        <row r="2">
          <cell r="A2" t="str">
            <v>F05-Jan</v>
          </cell>
        </row>
      </sheetData>
      <sheetData sheetId="2152"/>
      <sheetData sheetId="2153"/>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ow r="5">
          <cell r="J5" t="str">
            <v>Delay in days</v>
          </cell>
        </row>
      </sheetData>
      <sheetData sheetId="2421"/>
      <sheetData sheetId="2422">
        <row r="5">
          <cell r="J5" t="str">
            <v>Delay in days</v>
          </cell>
        </row>
      </sheetData>
      <sheetData sheetId="2423"/>
      <sheetData sheetId="2424"/>
      <sheetData sheetId="2425"/>
      <sheetData sheetId="2426"/>
      <sheetData sheetId="2427"/>
      <sheetData sheetId="2428">
        <row r="5">
          <cell r="J5" t="str">
            <v>Delay in days</v>
          </cell>
        </row>
      </sheetData>
      <sheetData sheetId="2429"/>
      <sheetData sheetId="2430">
        <row r="5">
          <cell r="J5" t="str">
            <v>Delay in days</v>
          </cell>
        </row>
      </sheetData>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sheetData sheetId="2442"/>
      <sheetData sheetId="2443"/>
      <sheetData sheetId="2444"/>
      <sheetData sheetId="2445"/>
      <sheetData sheetId="2446" refreshError="1"/>
      <sheetData sheetId="2447" refreshError="1"/>
      <sheetData sheetId="2448"/>
      <sheetData sheetId="2449"/>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ow r="3">
          <cell r="B3">
            <v>0.1391</v>
          </cell>
        </row>
      </sheetData>
      <sheetData sheetId="2481" refreshError="1"/>
      <sheetData sheetId="2482" refreshError="1"/>
      <sheetData sheetId="2483" refreshError="1"/>
      <sheetData sheetId="2484" refreshError="1"/>
      <sheetData sheetId="2485" refreshError="1"/>
      <sheetData sheetId="2486"/>
      <sheetData sheetId="2487">
        <row r="2">
          <cell r="A2" t="str">
            <v>F05-Jan</v>
          </cell>
        </row>
      </sheetData>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sheetData sheetId="2532"/>
      <sheetData sheetId="2533"/>
      <sheetData sheetId="2534"/>
      <sheetData sheetId="2535"/>
      <sheetData sheetId="2536"/>
      <sheetData sheetId="2537"/>
      <sheetData sheetId="2538" refreshError="1"/>
      <sheetData sheetId="2539" refreshError="1"/>
      <sheetData sheetId="2540"/>
      <sheetData sheetId="2541"/>
      <sheetData sheetId="2542"/>
      <sheetData sheetId="2543"/>
      <sheetData sheetId="2544" refreshError="1"/>
      <sheetData sheetId="2545" refreshError="1"/>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row r="28">
          <cell r="M28">
            <v>25518769.103220712</v>
          </cell>
        </row>
      </sheetData>
      <sheetData sheetId="2568"/>
      <sheetData sheetId="2569"/>
      <sheetData sheetId="2570"/>
      <sheetData sheetId="2571"/>
      <sheetData sheetId="2572"/>
      <sheetData sheetId="2573"/>
      <sheetData sheetId="2574"/>
      <sheetData sheetId="2575">
        <row r="28">
          <cell r="M28">
            <v>25518769.103220712</v>
          </cell>
        </row>
      </sheetData>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refreshError="1"/>
      <sheetData sheetId="2604"/>
      <sheetData sheetId="2605"/>
      <sheetData sheetId="2606">
        <row r="1">
          <cell r="C1">
            <v>1</v>
          </cell>
        </row>
      </sheetData>
      <sheetData sheetId="2607"/>
      <sheetData sheetId="2608"/>
      <sheetData sheetId="2609"/>
      <sheetData sheetId="2610"/>
      <sheetData sheetId="2611"/>
      <sheetData sheetId="2612"/>
      <sheetData sheetId="2613"/>
      <sheetData sheetId="2614">
        <row r="1">
          <cell r="C1">
            <v>1</v>
          </cell>
        </row>
      </sheetData>
      <sheetData sheetId="2615"/>
      <sheetData sheetId="2616" refreshError="1"/>
      <sheetData sheetId="2617" refreshError="1"/>
      <sheetData sheetId="2618" refreshError="1"/>
      <sheetData sheetId="2619"/>
      <sheetData sheetId="2620" refreshError="1"/>
      <sheetData sheetId="2621" refreshError="1"/>
      <sheetData sheetId="2622" refreshError="1"/>
      <sheetData sheetId="2623" refreshError="1"/>
      <sheetData sheetId="2624">
        <row r="1">
          <cell r="A1" t="str">
            <v>Note 3:</v>
          </cell>
        </row>
      </sheetData>
      <sheetData sheetId="2625"/>
      <sheetData sheetId="2626">
        <row r="50">
          <cell r="A50" t="str">
            <v>SHIPARA TECHNOLOGIES LIMITED</v>
          </cell>
        </row>
      </sheetData>
      <sheetData sheetId="2627"/>
      <sheetData sheetId="2628"/>
      <sheetData sheetId="2629"/>
      <sheetData sheetId="2630" refreshError="1"/>
      <sheetData sheetId="2631"/>
      <sheetData sheetId="2632" refreshError="1"/>
      <sheetData sheetId="2633" refreshError="1"/>
      <sheetData sheetId="2634">
        <row r="50">
          <cell r="A50" t="str">
            <v>SHIPARA TECHNOLOGIES LIMITED</v>
          </cell>
        </row>
      </sheetData>
      <sheetData sheetId="2635"/>
      <sheetData sheetId="2636"/>
      <sheetData sheetId="2637">
        <row r="28">
          <cell r="M28">
            <v>25518769.103220712</v>
          </cell>
        </row>
      </sheetData>
      <sheetData sheetId="2638"/>
      <sheetData sheetId="2639"/>
      <sheetData sheetId="2640"/>
      <sheetData sheetId="2641"/>
      <sheetData sheetId="2642"/>
      <sheetData sheetId="2643"/>
      <sheetData sheetId="2644"/>
      <sheetData sheetId="2645" refreshError="1"/>
      <sheetData sheetId="2646"/>
      <sheetData sheetId="2647"/>
      <sheetData sheetId="2648"/>
      <sheetData sheetId="2649"/>
      <sheetData sheetId="2650"/>
      <sheetData sheetId="2651"/>
      <sheetData sheetId="2652"/>
      <sheetData sheetId="2653"/>
      <sheetData sheetId="2654"/>
      <sheetData sheetId="2655"/>
      <sheetData sheetId="2656">
        <row r="2">
          <cell r="A2" t="str">
            <v>F05-Jan</v>
          </cell>
        </row>
      </sheetData>
      <sheetData sheetId="2657"/>
      <sheetData sheetId="2658"/>
      <sheetData sheetId="2659"/>
      <sheetData sheetId="2660"/>
      <sheetData sheetId="2661"/>
      <sheetData sheetId="2662"/>
      <sheetData sheetId="2663" refreshError="1"/>
      <sheetData sheetId="2664">
        <row r="2">
          <cell r="A2" t="str">
            <v>F05-Jan</v>
          </cell>
        </row>
      </sheetData>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refreshError="1"/>
      <sheetData sheetId="2752" refreshError="1"/>
      <sheetData sheetId="2753" refreshError="1"/>
      <sheetData sheetId="2754" refreshError="1"/>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row r="5">
          <cell r="J5" t="str">
            <v>Delay in days</v>
          </cell>
        </row>
      </sheetData>
      <sheetData sheetId="2774"/>
      <sheetData sheetId="2775"/>
      <sheetData sheetId="2776"/>
      <sheetData sheetId="2777"/>
      <sheetData sheetId="2778"/>
      <sheetData sheetId="2779"/>
      <sheetData sheetId="2780"/>
      <sheetData sheetId="2781">
        <row r="5">
          <cell r="J5" t="str">
            <v>Delay in days</v>
          </cell>
        </row>
      </sheetData>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refreshError="1"/>
      <sheetData sheetId="2810"/>
      <sheetData sheetId="2811"/>
      <sheetData sheetId="2812"/>
      <sheetData sheetId="2813"/>
      <sheetData sheetId="2814"/>
      <sheetData sheetId="2815"/>
      <sheetData sheetId="2816"/>
      <sheetData sheetId="2817"/>
      <sheetData sheetId="2818">
        <row r="626">
          <cell r="D626">
            <v>-7005925</v>
          </cell>
        </row>
      </sheetData>
      <sheetData sheetId="2819"/>
      <sheetData sheetId="2820"/>
      <sheetData sheetId="2821"/>
      <sheetData sheetId="2822"/>
      <sheetData sheetId="2823"/>
      <sheetData sheetId="2824"/>
      <sheetData sheetId="2825"/>
      <sheetData sheetId="2826">
        <row r="626">
          <cell r="D626">
            <v>-7005925</v>
          </cell>
        </row>
      </sheetData>
      <sheetData sheetId="2827"/>
      <sheetData sheetId="2828"/>
      <sheetData sheetId="2829"/>
      <sheetData sheetId="2830"/>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sheetData sheetId="2843"/>
      <sheetData sheetId="2844"/>
      <sheetData sheetId="2845"/>
      <sheetData sheetId="2846"/>
      <sheetData sheetId="2847"/>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sheetData sheetId="2860" refreshError="1"/>
      <sheetData sheetId="2861" refreshError="1"/>
      <sheetData sheetId="2862" refreshError="1"/>
      <sheetData sheetId="2863" refreshError="1"/>
      <sheetData sheetId="2864" refreshError="1"/>
      <sheetData sheetId="2865"/>
      <sheetData sheetId="2866" refreshError="1"/>
      <sheetData sheetId="2867" refreshError="1"/>
      <sheetData sheetId="2868" refreshError="1"/>
      <sheetData sheetId="2869" refreshError="1"/>
      <sheetData sheetId="2870" refreshError="1"/>
      <sheetData sheetId="2871" refreshError="1"/>
      <sheetData sheetId="2872" refreshError="1"/>
      <sheetData sheetId="2873"/>
      <sheetData sheetId="2874"/>
      <sheetData sheetId="2875"/>
      <sheetData sheetId="2876"/>
      <sheetData sheetId="2877"/>
      <sheetData sheetId="2878"/>
      <sheetData sheetId="2879"/>
      <sheetData sheetId="2880" refreshError="1"/>
      <sheetData sheetId="2881" refreshError="1"/>
      <sheetData sheetId="2882" refreshError="1"/>
      <sheetData sheetId="2883" refreshError="1"/>
      <sheetData sheetId="2884" refreshError="1"/>
      <sheetData sheetId="2885" refreshError="1"/>
      <sheetData sheetId="2886" refreshError="1"/>
      <sheetData sheetId="2887"/>
      <sheetData sheetId="2888">
        <row r="5">
          <cell r="J5" t="str">
            <v>Delay in days</v>
          </cell>
        </row>
      </sheetData>
      <sheetData sheetId="2889"/>
      <sheetData sheetId="2890"/>
      <sheetData sheetId="2891" refreshError="1"/>
      <sheetData sheetId="2892"/>
      <sheetData sheetId="2893" refreshError="1"/>
      <sheetData sheetId="2894"/>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sheetData sheetId="2927" refreshError="1"/>
      <sheetData sheetId="2928"/>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sheetData sheetId="3063"/>
      <sheetData sheetId="3064"/>
      <sheetData sheetId="3065"/>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refreshError="1"/>
      <sheetData sheetId="3135" refreshError="1"/>
      <sheetData sheetId="3136"/>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sheetData sheetId="3272" refreshError="1"/>
      <sheetData sheetId="3273" refreshError="1"/>
      <sheetData sheetId="3274" refreshError="1"/>
      <sheetData sheetId="3275" refreshError="1"/>
      <sheetData sheetId="3276" refreshError="1"/>
      <sheetData sheetId="3277" refreshError="1"/>
      <sheetData sheetId="3278"/>
      <sheetData sheetId="3279"/>
      <sheetData sheetId="3280"/>
      <sheetData sheetId="3281"/>
      <sheetData sheetId="3282" refreshError="1"/>
      <sheetData sheetId="3283" refreshError="1"/>
      <sheetData sheetId="3284" refreshError="1"/>
      <sheetData sheetId="3285" refreshError="1"/>
      <sheetData sheetId="3286" refreshError="1"/>
      <sheetData sheetId="3287" refreshError="1"/>
      <sheetData sheetId="3288" refreshError="1"/>
      <sheetData sheetId="3289"/>
      <sheetData sheetId="3290"/>
      <sheetData sheetId="3291"/>
      <sheetData sheetId="3292"/>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sheetData sheetId="3340" refreshError="1"/>
      <sheetData sheetId="3341" refreshError="1"/>
      <sheetData sheetId="3342" refreshError="1"/>
      <sheetData sheetId="3343" refreshError="1"/>
      <sheetData sheetId="3344" refreshError="1"/>
      <sheetData sheetId="3345" refreshError="1"/>
      <sheetData sheetId="3346" refreshError="1"/>
      <sheetData sheetId="3347"/>
      <sheetData sheetId="3348" refreshError="1"/>
      <sheetData sheetId="3349" refreshError="1"/>
      <sheetData sheetId="3350" refreshError="1"/>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efreshError="1"/>
      <sheetData sheetId="3370" refreshError="1"/>
      <sheetData sheetId="3371" refreshError="1"/>
      <sheetData sheetId="3372" refreshError="1"/>
      <sheetData sheetId="3373"/>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ow r="403">
          <cell r="B403" t="str">
            <v>(Select)</v>
          </cell>
        </row>
      </sheetData>
      <sheetData sheetId="3401" refreshError="1"/>
      <sheetData sheetId="3402" refreshError="1"/>
      <sheetData sheetId="3403" refreshError="1"/>
      <sheetData sheetId="3404" refreshError="1"/>
      <sheetData sheetId="3405">
        <row r="66">
          <cell r="N66" t="str">
            <v>(Select)</v>
          </cell>
        </row>
      </sheetData>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ow r="50">
          <cell r="A50" t="str">
            <v>SHIPARA TECHNOLOGIES LIMITED</v>
          </cell>
        </row>
      </sheetData>
      <sheetData sheetId="3415"/>
      <sheetData sheetId="3416"/>
      <sheetData sheetId="3417"/>
      <sheetData sheetId="3418"/>
      <sheetData sheetId="3419"/>
      <sheetData sheetId="3420"/>
      <sheetData sheetId="3421">
        <row r="50">
          <cell r="A50" t="str">
            <v>SHIPARA TECHNOLOGIES LIMITED</v>
          </cell>
        </row>
      </sheetData>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refreshError="1"/>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sheetData sheetId="3449" refreshError="1"/>
      <sheetData sheetId="3450" refreshError="1"/>
      <sheetData sheetId="3451" refreshError="1"/>
      <sheetData sheetId="3452" refreshError="1"/>
      <sheetData sheetId="3453"/>
      <sheetData sheetId="3454"/>
      <sheetData sheetId="3455" refreshError="1"/>
      <sheetData sheetId="3456" refreshError="1"/>
      <sheetData sheetId="3457"/>
      <sheetData sheetId="3458"/>
      <sheetData sheetId="3459" refreshError="1"/>
      <sheetData sheetId="3460"/>
      <sheetData sheetId="3461" refreshError="1"/>
      <sheetData sheetId="3462"/>
      <sheetData sheetId="3463" refreshError="1"/>
      <sheetData sheetId="3464" refreshError="1"/>
      <sheetData sheetId="3465" refreshError="1"/>
      <sheetData sheetId="3466" refreshError="1"/>
      <sheetData sheetId="3467" refreshError="1"/>
      <sheetData sheetId="3468"/>
      <sheetData sheetId="3469"/>
      <sheetData sheetId="3470"/>
      <sheetData sheetId="3471"/>
      <sheetData sheetId="3472"/>
      <sheetData sheetId="3473"/>
      <sheetData sheetId="3474"/>
      <sheetData sheetId="3475"/>
      <sheetData sheetId="3476"/>
      <sheetData sheetId="3477"/>
      <sheetData sheetId="3478" refreshError="1"/>
      <sheetData sheetId="3479"/>
      <sheetData sheetId="3480">
        <row r="50">
          <cell r="A50" t="str">
            <v>SHIPARA TECHNOLOGIES LIMITED</v>
          </cell>
        </row>
      </sheetData>
      <sheetData sheetId="3481"/>
      <sheetData sheetId="3482"/>
      <sheetData sheetId="3483"/>
      <sheetData sheetId="3484"/>
      <sheetData sheetId="3485"/>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refreshError="1"/>
      <sheetData sheetId="3594"/>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sheetData sheetId="3696"/>
      <sheetData sheetId="3697"/>
      <sheetData sheetId="3698"/>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sheetData sheetId="4086" refreshError="1"/>
      <sheetData sheetId="4087"/>
      <sheetData sheetId="4088"/>
      <sheetData sheetId="408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sheet"/>
      <sheetName val="Summary"/>
      <sheetName val="By syndicate"/>
      <sheetName val="credit card"/>
      <sheetName val="Invoice"/>
      <sheetName val="Cheque"/>
      <sheetName val="VAT"/>
      <sheetName val="ExcelReport"/>
      <sheetName val="Refund &amp; Chargeback summary"/>
      <sheetName val="Refunds Euro"/>
      <sheetName val="Chargebacks Euro"/>
      <sheetName val="Refunds GBP"/>
      <sheetName val="Chargebacks GBP"/>
      <sheetName val="Refunds SEK"/>
      <sheetName val="manual cheques"/>
      <sheetName val="test submissions"/>
      <sheetName val="Process"/>
      <sheetName val="Exchange rates"/>
      <sheetName val="syndicate codes"/>
      <sheetName val="LANGUAGE"/>
      <sheetName val="Europe Consolidated"/>
      <sheetName val="CRITERIA1"/>
      <sheetName val="LOM_M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 Sales"/>
      <sheetName val="AV"/>
      <sheetName val="Licences"/>
      <sheetName val="Listings"/>
      <sheetName val="Subsite"/>
      <sheetName val="Set-Up"/>
      <sheetName val="Genie"/>
      <sheetName val="Genie CPM"/>
      <sheetName val="Sheet1"/>
      <sheetName val="K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sheetName val="Assume"/>
      <sheetName val="Print Menu"/>
      <sheetName val="Reset-Module"/>
      <sheetName val="Export"/>
      <sheetName val="Adjustments"/>
      <sheetName val="Income Statement Input"/>
      <sheetName val="Balance Sheet Input"/>
      <sheetName val="Support Schedules"/>
      <sheetName val="Income Statement"/>
      <sheetName val="Balance Sheet"/>
      <sheetName val="NOPAT"/>
      <sheetName val="NOPAT-SBS"/>
      <sheetName val="Capital"/>
      <sheetName val="Capital-SBS"/>
      <sheetName val="Cum Unusual"/>
      <sheetName val="COT"/>
      <sheetName val="CET"/>
      <sheetName val="EVA"/>
      <sheetName val="MVA"/>
      <sheetName val="Graphs-MVA"/>
      <sheetName val="EVA-MVA"/>
      <sheetName val="Graphs-EVA"/>
      <sheetName val="PerfSum"/>
      <sheetName val="SixPanel"/>
      <sheetName val="Forecast-Input"/>
      <sheetName val="Engine NOPAT"/>
      <sheetName val="Engine CAPITAL"/>
      <sheetName val="Valuation"/>
      <sheetName val="Charts"/>
      <sheetName val="Validation"/>
      <sheetName val="Leases"/>
      <sheetName val="Capitalized Expense"/>
      <sheetName val="wwww"/>
      <sheetName val="Hide-Module"/>
      <sheetName val="ruSure-Module"/>
      <sheetName val="Print Module"/>
      <sheetName val="BS"/>
      <sheetName val="Checks &amp; Inputs"/>
      <sheetName val="IS"/>
      <sheetName val="PF ann. 3CD"/>
      <sheetName val="Net"/>
      <sheetName val="ExcelEVA Model-Samtel"/>
      <sheetName val="entitl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come "/>
      <sheetName val="Input"/>
      <sheetName val="Income Movement (2)"/>
      <sheetName val="Income Movement"/>
      <sheetName val="Final NEA"/>
      <sheetName val="Reserves-Overall"/>
      <sheetName val="Reserves-Loan"/>
      <sheetName val="Reserves -Lease"/>
      <sheetName val="Reco. of Buyout"/>
      <sheetName val="Buyout master-02"/>
      <sheetName val="BUYOUT MASTER - 15"/>
      <sheetName val="BUYOUT MASTER - 16"/>
      <sheetName val="Reco Eqmt Loans"/>
      <sheetName val="EQMT LOAN MASTER 15"/>
      <sheetName val="EQMT LOANS MASTER 16"/>
      <sheetName val="Eqmt master 20"/>
      <sheetName val="WGE MASTER - 19"/>
      <sheetName val="Eqmt loan master-02"/>
      <sheetName val="Eqmt loan master-03"/>
      <sheetName val="Reco Non Eqmt Loans"/>
      <sheetName val="Non eqmt Loan - 02"/>
      <sheetName val="Non eqp loan master 20"/>
      <sheetName val="SFG ESSAR"/>
      <sheetName val="SFG BHARTI"/>
      <sheetName val="CPMT LOAN DIV 06 &amp; 28"/>
      <sheetName val="RECO HIRE PURCHASE"/>
      <sheetName val="Master- HP-02"/>
      <sheetName val="Master HP - 15"/>
      <sheetName val="Master-HP-20"/>
      <sheetName val="Delinquency SUMMARY"/>
      <sheetName val="Master Delinquency 28"/>
      <sheetName val="Master DELINQUENCY INDIAN"/>
      <sheetName val="Reco. of Buyout-02"/>
      <sheetName val="Non Eq. Loan Master -03"/>
      <sheetName val="Master-Loan-02"/>
      <sheetName val="Master loan-03"/>
      <sheetName val="SGA BLock Reconciliation"/>
      <sheetName val="SGA Inventory Tally"/>
    </sheetNames>
    <sheetDataSet>
      <sheetData sheetId="0"/>
      <sheetData sheetId="1" refreshError="1">
        <row r="7">
          <cell r="C7">
            <v>2.2499999999999999E-2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sheetName val="Inc.Statment_inputs"/>
      <sheetName val="Bal_Sheet"/>
      <sheetName val="Intangadjst"/>
      <sheetName val="Adjst"/>
      <sheetName val="Nopatop"/>
      <sheetName val="Nopatfin"/>
      <sheetName val="Capop"/>
      <sheetName val="Capfin"/>
      <sheetName val="Capsbs"/>
      <sheetName val="Nopatsbs"/>
      <sheetName val="Tax"/>
      <sheetName val="EVA"/>
      <sheetName val="EvaGraph"/>
      <sheetName val="MVA"/>
      <sheetName val="EvaMva"/>
      <sheetName val="MvaGraph"/>
      <sheetName val="Sumperf"/>
      <sheetName val="SixP"/>
      <sheetName val="CostofCap"/>
      <sheetName val="wwww"/>
      <sheetName val="BS"/>
      <sheetName val="Checks &amp; Inputs"/>
      <sheetName val="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_status2001"/>
      <sheetName val="worksheet"/>
    </sheetNames>
    <sheetDataSet>
      <sheetData sheetId="0" refreshError="1"/>
      <sheetData sheetId="1" refreshError="1">
        <row r="1">
          <cell r="A1" t="str">
            <v>LF</v>
          </cell>
          <cell r="B1" t="str">
            <v>VPN</v>
          </cell>
          <cell r="C1" t="str">
            <v>SKU</v>
          </cell>
          <cell r="E1" t="str">
            <v>Description</v>
          </cell>
          <cell r="F1" t="str">
            <v>BRANCH</v>
          </cell>
          <cell r="G1" t="str">
            <v>UNIT_COST</v>
          </cell>
          <cell r="H1" t="str">
            <v>IN_TRANSIT</v>
          </cell>
          <cell r="I1" t="str">
            <v>TRANS_VAL</v>
          </cell>
          <cell r="J1" t="str">
            <v>BOH</v>
          </cell>
          <cell r="K1" t="str">
            <v>BOH_VALUE</v>
          </cell>
          <cell r="L1" t="str">
            <v>ICP600 Cost</v>
          </cell>
          <cell r="M1" t="str">
            <v>Avg Price</v>
          </cell>
          <cell r="N1" t="str">
            <v>Good Stock Cost</v>
          </cell>
          <cell r="O1" t="str">
            <v>Nedu's Cost</v>
          </cell>
          <cell r="P1" t="str">
            <v>Total</v>
          </cell>
        </row>
        <row r="2">
          <cell r="A2" t="str">
            <v>006271EE124040R18</v>
          </cell>
          <cell r="B2" t="str">
            <v>006271EE</v>
          </cell>
          <cell r="C2" t="str">
            <v>124040R</v>
          </cell>
          <cell r="D2" t="str">
            <v>124040R</v>
          </cell>
          <cell r="E2" t="str">
            <v>DLT 4000 EXT 20/40GB TAPE DRIVE</v>
          </cell>
          <cell r="F2">
            <v>18</v>
          </cell>
          <cell r="G2">
            <v>52408.4</v>
          </cell>
          <cell r="J2">
            <v>1</v>
          </cell>
          <cell r="K2">
            <v>52408.4</v>
          </cell>
          <cell r="L2">
            <v>52408.4</v>
          </cell>
          <cell r="M2">
            <v>106750.39</v>
          </cell>
          <cell r="O2">
            <v>52000</v>
          </cell>
          <cell r="P2">
            <v>52000</v>
          </cell>
        </row>
        <row r="3">
          <cell r="A3" t="str">
            <v>006271EE124040R59</v>
          </cell>
          <cell r="B3" t="str">
            <v>006271EE</v>
          </cell>
          <cell r="C3" t="str">
            <v>124040R</v>
          </cell>
          <cell r="D3" t="str">
            <v>124040R</v>
          </cell>
          <cell r="E3" t="str">
            <v>DLT 4000 EXT 20/40GB TAPE DRIVE</v>
          </cell>
          <cell r="F3">
            <v>59</v>
          </cell>
          <cell r="G3">
            <v>52408.4</v>
          </cell>
          <cell r="J3">
            <v>1</v>
          </cell>
          <cell r="K3">
            <v>52408.4</v>
          </cell>
          <cell r="L3">
            <v>52408.4</v>
          </cell>
          <cell r="M3">
            <v>106750.39</v>
          </cell>
          <cell r="O3">
            <v>0</v>
          </cell>
          <cell r="P3">
            <v>0</v>
          </cell>
        </row>
        <row r="4">
          <cell r="A4" t="str">
            <v>006273EE124044R18</v>
          </cell>
          <cell r="B4" t="str">
            <v>006273EE</v>
          </cell>
          <cell r="C4" t="str">
            <v>124044R</v>
          </cell>
          <cell r="D4" t="str">
            <v>124044R</v>
          </cell>
          <cell r="E4" t="str">
            <v>DLT 7000 EXT 35/70GB TAPE DRIVE</v>
          </cell>
          <cell r="F4">
            <v>18</v>
          </cell>
          <cell r="G4">
            <v>26062.45</v>
          </cell>
          <cell r="J4">
            <v>2</v>
          </cell>
          <cell r="K4">
            <v>52124.9</v>
          </cell>
          <cell r="L4">
            <v>26062.45</v>
          </cell>
          <cell r="O4">
            <v>26000</v>
          </cell>
          <cell r="P4">
            <v>52000</v>
          </cell>
        </row>
        <row r="5">
          <cell r="A5" t="str">
            <v>062-00038116289R18</v>
          </cell>
          <cell r="B5" t="str">
            <v>062-00038</v>
          </cell>
          <cell r="C5" t="str">
            <v>116289R</v>
          </cell>
          <cell r="D5" t="str">
            <v>116289R</v>
          </cell>
          <cell r="E5" t="str">
            <v>MICROSOFT TREKKER WHEEL MOUSE.</v>
          </cell>
          <cell r="F5">
            <v>18</v>
          </cell>
          <cell r="G5">
            <v>33.71</v>
          </cell>
          <cell r="J5">
            <v>13</v>
          </cell>
          <cell r="K5">
            <v>438.26</v>
          </cell>
          <cell r="L5">
            <v>33.71</v>
          </cell>
          <cell r="M5">
            <v>560</v>
          </cell>
          <cell r="O5">
            <v>400</v>
          </cell>
          <cell r="P5">
            <v>5200</v>
          </cell>
        </row>
        <row r="6">
          <cell r="A6" t="str">
            <v>062-00038116289X19</v>
          </cell>
          <cell r="B6" t="str">
            <v>062-00038</v>
          </cell>
          <cell r="C6" t="str">
            <v>116289X</v>
          </cell>
          <cell r="D6" t="str">
            <v>116289X</v>
          </cell>
          <cell r="E6" t="str">
            <v>MICROSOFT TREKKER WHEEL MOUSE</v>
          </cell>
          <cell r="F6">
            <v>19</v>
          </cell>
          <cell r="G6">
            <v>0</v>
          </cell>
          <cell r="J6">
            <v>3</v>
          </cell>
          <cell r="L6">
            <v>0</v>
          </cell>
          <cell r="O6">
            <v>400</v>
          </cell>
          <cell r="P6">
            <v>1200</v>
          </cell>
        </row>
        <row r="7">
          <cell r="A7" t="str">
            <v>1070001503145001X19</v>
          </cell>
          <cell r="B7" t="str">
            <v>1070001503</v>
          </cell>
          <cell r="C7" t="str">
            <v>145001X</v>
          </cell>
          <cell r="D7" t="str">
            <v>145001X</v>
          </cell>
          <cell r="E7" t="str">
            <v>REVO 8M EURO..........*****.**</v>
          </cell>
          <cell r="F7">
            <v>19</v>
          </cell>
          <cell r="G7">
            <v>0</v>
          </cell>
          <cell r="J7">
            <v>3</v>
          </cell>
          <cell r="L7">
            <v>0</v>
          </cell>
          <cell r="N7">
            <v>14057.8</v>
          </cell>
          <cell r="O7">
            <v>14000</v>
          </cell>
          <cell r="P7">
            <v>42000</v>
          </cell>
        </row>
        <row r="8">
          <cell r="A8" t="str">
            <v>1070003402145002X19</v>
          </cell>
          <cell r="B8" t="str">
            <v>1070003402</v>
          </cell>
          <cell r="C8" t="str">
            <v>145002X</v>
          </cell>
          <cell r="D8" t="str">
            <v>145002X</v>
          </cell>
          <cell r="E8" t="str">
            <v>REVO PLUS 16MB INT EURO****.**</v>
          </cell>
          <cell r="F8">
            <v>19</v>
          </cell>
          <cell r="G8">
            <v>0</v>
          </cell>
          <cell r="J8">
            <v>2</v>
          </cell>
          <cell r="L8">
            <v>0</v>
          </cell>
          <cell r="O8">
            <v>18000</v>
          </cell>
          <cell r="P8">
            <v>36000</v>
          </cell>
        </row>
        <row r="9">
          <cell r="A9" t="str">
            <v>10775534011403948</v>
          </cell>
          <cell r="B9" t="str">
            <v>107755340</v>
          </cell>
          <cell r="C9" t="str">
            <v>114039</v>
          </cell>
          <cell r="D9" t="str">
            <v>114039</v>
          </cell>
          <cell r="E9" t="str">
            <v>10FT,SC-ST PATCHCORD,DUPLEX</v>
          </cell>
          <cell r="F9">
            <v>48</v>
          </cell>
          <cell r="G9">
            <v>3700</v>
          </cell>
          <cell r="H9">
            <v>1</v>
          </cell>
          <cell r="I9">
            <v>3700</v>
          </cell>
          <cell r="L9">
            <v>3700</v>
          </cell>
          <cell r="M9">
            <v>2418.2042307692309</v>
          </cell>
          <cell r="N9">
            <v>3700</v>
          </cell>
          <cell r="O9">
            <v>3700</v>
          </cell>
          <cell r="P9">
            <v>3700</v>
          </cell>
        </row>
        <row r="10">
          <cell r="A10" t="str">
            <v>11058111002R18</v>
          </cell>
          <cell r="B10" t="str">
            <v>11058</v>
          </cell>
          <cell r="C10" t="str">
            <v>111002R</v>
          </cell>
          <cell r="D10" t="str">
            <v>111002R</v>
          </cell>
          <cell r="E10" t="str">
            <v>3.5 LP 100MB  PPT FOR PC</v>
          </cell>
          <cell r="F10">
            <v>18</v>
          </cell>
          <cell r="G10">
            <v>50.58</v>
          </cell>
          <cell r="J10">
            <v>128</v>
          </cell>
          <cell r="K10">
            <v>6474.67</v>
          </cell>
          <cell r="L10">
            <v>50.58</v>
          </cell>
          <cell r="O10">
            <v>1000</v>
          </cell>
          <cell r="P10">
            <v>128000</v>
          </cell>
        </row>
        <row r="11">
          <cell r="A11" t="str">
            <v>11058111002R48</v>
          </cell>
          <cell r="B11" t="str">
            <v>11058</v>
          </cell>
          <cell r="C11" t="str">
            <v>111002R</v>
          </cell>
          <cell r="D11" t="str">
            <v>111002R</v>
          </cell>
          <cell r="E11" t="str">
            <v>3.5 LP 100MB  PPT FOR PC</v>
          </cell>
          <cell r="F11">
            <v>48</v>
          </cell>
          <cell r="G11">
            <v>50.58</v>
          </cell>
          <cell r="J11">
            <v>17</v>
          </cell>
          <cell r="K11">
            <v>859.91</v>
          </cell>
          <cell r="L11">
            <v>50.58</v>
          </cell>
          <cell r="O11">
            <v>1000</v>
          </cell>
          <cell r="P11">
            <v>17000</v>
          </cell>
        </row>
        <row r="12">
          <cell r="A12" t="str">
            <v>11058111002R58</v>
          </cell>
          <cell r="B12" t="str">
            <v>11058</v>
          </cell>
          <cell r="C12" t="str">
            <v>111002R</v>
          </cell>
          <cell r="D12" t="str">
            <v>111002R</v>
          </cell>
          <cell r="E12" t="str">
            <v>3.5 LP 100MB  PPT FOR PC</v>
          </cell>
          <cell r="F12">
            <v>58</v>
          </cell>
          <cell r="G12">
            <v>50.58</v>
          </cell>
          <cell r="H12">
            <v>3</v>
          </cell>
          <cell r="I12">
            <v>151.75</v>
          </cell>
          <cell r="J12">
            <v>6</v>
          </cell>
          <cell r="K12">
            <v>303.5</v>
          </cell>
          <cell r="L12">
            <v>50.58</v>
          </cell>
          <cell r="O12">
            <v>1000</v>
          </cell>
          <cell r="P12">
            <v>9000</v>
          </cell>
        </row>
        <row r="13">
          <cell r="A13" t="str">
            <v>11058111002R68</v>
          </cell>
          <cell r="B13" t="str">
            <v>11058</v>
          </cell>
          <cell r="C13" t="str">
            <v>111002R</v>
          </cell>
          <cell r="D13" t="str">
            <v>111002R</v>
          </cell>
          <cell r="E13" t="str">
            <v>3.5 LP 100MB  PPT FOR PC</v>
          </cell>
          <cell r="F13">
            <v>68</v>
          </cell>
          <cell r="G13">
            <v>50.58</v>
          </cell>
          <cell r="J13">
            <v>1</v>
          </cell>
          <cell r="K13">
            <v>50.58</v>
          </cell>
          <cell r="L13">
            <v>50.58</v>
          </cell>
          <cell r="O13">
            <v>1000</v>
          </cell>
          <cell r="P13">
            <v>1000</v>
          </cell>
        </row>
        <row r="14">
          <cell r="A14" t="str">
            <v>11058111002X19</v>
          </cell>
          <cell r="B14" t="str">
            <v>11058</v>
          </cell>
          <cell r="C14" t="str">
            <v>111002X</v>
          </cell>
          <cell r="D14" t="str">
            <v>111002X</v>
          </cell>
          <cell r="E14" t="str">
            <v>3.5LP 100MB PPT FOR PC BLUE W/O</v>
          </cell>
          <cell r="F14">
            <v>19</v>
          </cell>
          <cell r="G14">
            <v>0</v>
          </cell>
          <cell r="H14">
            <v>6</v>
          </cell>
          <cell r="J14">
            <v>104</v>
          </cell>
          <cell r="L14">
            <v>0</v>
          </cell>
          <cell r="O14">
            <v>1000</v>
          </cell>
          <cell r="P14">
            <v>110000</v>
          </cell>
        </row>
        <row r="15">
          <cell r="A15" t="str">
            <v>11058111002X59</v>
          </cell>
          <cell r="B15" t="str">
            <v>11058</v>
          </cell>
          <cell r="C15" t="str">
            <v>111002X</v>
          </cell>
          <cell r="D15" t="str">
            <v>111002X</v>
          </cell>
          <cell r="E15" t="str">
            <v>3.5LP 100MB PPT FOR PC BLUE W/O</v>
          </cell>
          <cell r="F15">
            <v>59</v>
          </cell>
          <cell r="G15">
            <v>0</v>
          </cell>
          <cell r="J15">
            <v>2</v>
          </cell>
          <cell r="L15">
            <v>0</v>
          </cell>
          <cell r="O15">
            <v>1000</v>
          </cell>
          <cell r="P15">
            <v>2000</v>
          </cell>
        </row>
        <row r="16">
          <cell r="A16" t="str">
            <v>11058111002X39</v>
          </cell>
          <cell r="B16" t="str">
            <v>11058</v>
          </cell>
          <cell r="C16" t="str">
            <v>111002X</v>
          </cell>
          <cell r="D16" t="str">
            <v>111002X</v>
          </cell>
          <cell r="E16" t="str">
            <v>3.5LP 100MB PPT FOR PC BLUE W/O</v>
          </cell>
          <cell r="F16">
            <v>39</v>
          </cell>
          <cell r="G16">
            <v>0</v>
          </cell>
          <cell r="J16">
            <v>1</v>
          </cell>
          <cell r="K16">
            <v>0</v>
          </cell>
          <cell r="L16">
            <v>0</v>
          </cell>
          <cell r="O16">
            <v>1000</v>
          </cell>
          <cell r="P16">
            <v>1000</v>
          </cell>
        </row>
        <row r="17">
          <cell r="A17" t="str">
            <v>11110111009R18</v>
          </cell>
          <cell r="B17" t="str">
            <v>11110</v>
          </cell>
          <cell r="C17" t="str">
            <v>111009R</v>
          </cell>
          <cell r="D17" t="str">
            <v>111009R</v>
          </cell>
          <cell r="E17" t="str">
            <v>3.5 LP 100MB  USB FOR IMAC</v>
          </cell>
          <cell r="F17">
            <v>18</v>
          </cell>
          <cell r="G17">
            <v>0.01</v>
          </cell>
          <cell r="J17">
            <v>10</v>
          </cell>
          <cell r="K17">
            <v>0.1</v>
          </cell>
          <cell r="L17">
            <v>0.01</v>
          </cell>
          <cell r="O17">
            <v>1000</v>
          </cell>
          <cell r="P17">
            <v>10000</v>
          </cell>
        </row>
        <row r="18">
          <cell r="A18" t="str">
            <v>11146111004R18</v>
          </cell>
          <cell r="B18" t="str">
            <v>11146</v>
          </cell>
          <cell r="C18" t="str">
            <v>111004R</v>
          </cell>
          <cell r="D18" t="str">
            <v>111004R</v>
          </cell>
          <cell r="E18" t="str">
            <v>3.5 LP 250MB  PPT FOR PC</v>
          </cell>
          <cell r="F18">
            <v>18</v>
          </cell>
          <cell r="G18">
            <v>47.38</v>
          </cell>
          <cell r="J18">
            <v>30</v>
          </cell>
          <cell r="K18">
            <v>1421.28</v>
          </cell>
          <cell r="L18">
            <v>47.38</v>
          </cell>
          <cell r="O18">
            <v>1500</v>
          </cell>
          <cell r="P18">
            <v>45000</v>
          </cell>
        </row>
        <row r="19">
          <cell r="A19" t="str">
            <v>11146111004R48</v>
          </cell>
          <cell r="B19" t="str">
            <v>11146</v>
          </cell>
          <cell r="C19" t="str">
            <v>111004R</v>
          </cell>
          <cell r="D19" t="str">
            <v>111004R</v>
          </cell>
          <cell r="E19" t="str">
            <v>3.5 LP 250MB  PPT FOR PC</v>
          </cell>
          <cell r="F19">
            <v>48</v>
          </cell>
          <cell r="G19">
            <v>47.38</v>
          </cell>
          <cell r="J19">
            <v>2</v>
          </cell>
          <cell r="K19">
            <v>94.75</v>
          </cell>
          <cell r="L19">
            <v>47.38</v>
          </cell>
          <cell r="O19">
            <v>1500</v>
          </cell>
          <cell r="P19">
            <v>3000</v>
          </cell>
        </row>
        <row r="20">
          <cell r="A20" t="str">
            <v>11146111004R58</v>
          </cell>
          <cell r="B20" t="str">
            <v>11146</v>
          </cell>
          <cell r="C20" t="str">
            <v>111004R</v>
          </cell>
          <cell r="D20" t="str">
            <v>111004R</v>
          </cell>
          <cell r="E20" t="str">
            <v>3.5 LP 250MB  PPT FOR PC</v>
          </cell>
          <cell r="F20">
            <v>58</v>
          </cell>
          <cell r="G20">
            <v>47.38</v>
          </cell>
          <cell r="J20">
            <v>2</v>
          </cell>
          <cell r="K20">
            <v>94.75</v>
          </cell>
          <cell r="L20">
            <v>47.38</v>
          </cell>
          <cell r="O20">
            <v>1500</v>
          </cell>
          <cell r="P20">
            <v>3000</v>
          </cell>
        </row>
        <row r="21">
          <cell r="A21" t="str">
            <v>11146111004X19</v>
          </cell>
          <cell r="B21" t="str">
            <v>11146</v>
          </cell>
          <cell r="C21" t="str">
            <v>111004X</v>
          </cell>
          <cell r="D21" t="str">
            <v>111004X</v>
          </cell>
          <cell r="E21" t="str">
            <v>3.5LP 250MB PPT FOR PC BLUE</v>
          </cell>
          <cell r="F21">
            <v>19</v>
          </cell>
          <cell r="G21">
            <v>0</v>
          </cell>
          <cell r="H21">
            <v>3</v>
          </cell>
          <cell r="J21">
            <v>30</v>
          </cell>
          <cell r="L21">
            <v>0</v>
          </cell>
          <cell r="O21">
            <v>1500</v>
          </cell>
          <cell r="P21">
            <v>49500</v>
          </cell>
        </row>
        <row r="22">
          <cell r="A22" t="str">
            <v>114500148</v>
          </cell>
          <cell r="B22" t="str">
            <v>1</v>
          </cell>
          <cell r="C22" t="str">
            <v>145001</v>
          </cell>
          <cell r="D22" t="str">
            <v>145001</v>
          </cell>
          <cell r="E22" t="str">
            <v>REVO 8M EURO</v>
          </cell>
          <cell r="F22">
            <v>48</v>
          </cell>
          <cell r="G22">
            <v>14057.8</v>
          </cell>
          <cell r="J22">
            <v>1</v>
          </cell>
          <cell r="K22">
            <v>14057.79</v>
          </cell>
          <cell r="L22">
            <v>14057.8</v>
          </cell>
          <cell r="M22">
            <v>15581.333333333334</v>
          </cell>
          <cell r="N22">
            <v>14057.8</v>
          </cell>
          <cell r="O22">
            <v>14000</v>
          </cell>
          <cell r="P22">
            <v>14000</v>
          </cell>
        </row>
        <row r="23">
          <cell r="A23" t="str">
            <v>1161-43A135271X59</v>
          </cell>
          <cell r="B23" t="str">
            <v>1161-43A</v>
          </cell>
          <cell r="C23" t="str">
            <v>135271X</v>
          </cell>
          <cell r="D23" t="str">
            <v>135271X</v>
          </cell>
          <cell r="E23" t="str">
            <v>CEL 700/64MB/10GB/13.1" XTFT**</v>
          </cell>
          <cell r="F23">
            <v>59</v>
          </cell>
          <cell r="G23">
            <v>0</v>
          </cell>
          <cell r="J23">
            <v>1</v>
          </cell>
          <cell r="L23">
            <v>0</v>
          </cell>
          <cell r="O23">
            <v>79000</v>
          </cell>
          <cell r="P23">
            <v>79000</v>
          </cell>
        </row>
        <row r="24">
          <cell r="A24" t="str">
            <v>12075111018R18</v>
          </cell>
          <cell r="B24" t="str">
            <v>12075</v>
          </cell>
          <cell r="C24" t="str">
            <v>111018R</v>
          </cell>
          <cell r="D24" t="str">
            <v>111018R</v>
          </cell>
          <cell r="E24" t="str">
            <v>40 MB  PPT FOR NOTEBOOKS</v>
          </cell>
          <cell r="F24">
            <v>18</v>
          </cell>
          <cell r="G24">
            <v>1314</v>
          </cell>
          <cell r="J24">
            <v>4</v>
          </cell>
          <cell r="K24">
            <v>5256</v>
          </cell>
          <cell r="L24">
            <v>1314</v>
          </cell>
          <cell r="O24">
            <v>400</v>
          </cell>
          <cell r="P24">
            <v>1600</v>
          </cell>
        </row>
        <row r="25">
          <cell r="A25" t="str">
            <v>1230MS01138007X19</v>
          </cell>
          <cell r="B25" t="str">
            <v>1230MS01</v>
          </cell>
          <cell r="C25" t="str">
            <v>138007X</v>
          </cell>
          <cell r="D25" t="str">
            <v>138007X</v>
          </cell>
          <cell r="E25" t="str">
            <v>MSP 240 CALSSIC, 9WIRE, 80COL,</v>
          </cell>
          <cell r="F25">
            <v>19</v>
          </cell>
          <cell r="G25">
            <v>0</v>
          </cell>
          <cell r="J25">
            <v>1</v>
          </cell>
          <cell r="L25">
            <v>0</v>
          </cell>
          <cell r="O25">
            <v>7800</v>
          </cell>
          <cell r="P25">
            <v>7800</v>
          </cell>
        </row>
        <row r="26">
          <cell r="A26" t="str">
            <v>168636-B2810577948</v>
          </cell>
          <cell r="B26" t="str">
            <v>168636-B28</v>
          </cell>
          <cell r="C26" t="str">
            <v>105779</v>
          </cell>
          <cell r="D26" t="str">
            <v>105779</v>
          </cell>
          <cell r="E26" t="str">
            <v>S510 15" COLOR MONITOR</v>
          </cell>
          <cell r="F26">
            <v>48</v>
          </cell>
          <cell r="G26">
            <v>9102.93</v>
          </cell>
          <cell r="J26">
            <v>1</v>
          </cell>
          <cell r="K26">
            <v>9102.93</v>
          </cell>
          <cell r="L26">
            <v>9102.93</v>
          </cell>
          <cell r="M26">
            <v>9144.4717821782178</v>
          </cell>
          <cell r="N26">
            <v>9102.93</v>
          </cell>
          <cell r="O26">
            <v>1000</v>
          </cell>
          <cell r="P26">
            <v>1000</v>
          </cell>
        </row>
        <row r="27">
          <cell r="A27" t="str">
            <v>168636-B2810607048</v>
          </cell>
          <cell r="B27" t="str">
            <v>168636-B28</v>
          </cell>
          <cell r="C27" t="str">
            <v>106070</v>
          </cell>
          <cell r="D27" t="str">
            <v>106070</v>
          </cell>
          <cell r="E27" t="str">
            <v>S510 15" COL. MON.</v>
          </cell>
          <cell r="F27">
            <v>48</v>
          </cell>
          <cell r="G27">
            <v>8200.27</v>
          </cell>
          <cell r="J27">
            <v>1</v>
          </cell>
          <cell r="K27">
            <v>8200.26</v>
          </cell>
          <cell r="L27">
            <v>8200.27</v>
          </cell>
          <cell r="M27">
            <v>8348.0490410958901</v>
          </cell>
          <cell r="N27">
            <v>8200.27</v>
          </cell>
          <cell r="O27">
            <v>1000</v>
          </cell>
          <cell r="P27">
            <v>1000</v>
          </cell>
        </row>
        <row r="28">
          <cell r="A28" t="str">
            <v>20008111008X19</v>
          </cell>
          <cell r="B28" t="str">
            <v>20008</v>
          </cell>
          <cell r="C28" t="str">
            <v>111008X</v>
          </cell>
          <cell r="D28" t="str">
            <v>111008X</v>
          </cell>
          <cell r="E28" t="str">
            <v>ZIP 100MB 3.5HH INT FOR MICR OS</v>
          </cell>
          <cell r="F28">
            <v>19</v>
          </cell>
          <cell r="G28">
            <v>0</v>
          </cell>
          <cell r="H28">
            <v>11</v>
          </cell>
          <cell r="J28">
            <v>85</v>
          </cell>
          <cell r="L28">
            <v>0</v>
          </cell>
          <cell r="O28">
            <v>1000</v>
          </cell>
          <cell r="P28">
            <v>96000</v>
          </cell>
        </row>
        <row r="29">
          <cell r="A29" t="str">
            <v>20008111008X59</v>
          </cell>
          <cell r="B29" t="str">
            <v>20008</v>
          </cell>
          <cell r="C29" t="str">
            <v>111008X</v>
          </cell>
          <cell r="D29" t="str">
            <v>111008X</v>
          </cell>
          <cell r="E29" t="str">
            <v>ZIP 100MB 3.5HH INT FOR MICR OS</v>
          </cell>
          <cell r="F29">
            <v>59</v>
          </cell>
          <cell r="G29">
            <v>0</v>
          </cell>
          <cell r="J29">
            <v>2</v>
          </cell>
          <cell r="L29">
            <v>0</v>
          </cell>
          <cell r="O29">
            <v>1000</v>
          </cell>
          <cell r="P29">
            <v>2000</v>
          </cell>
        </row>
        <row r="30">
          <cell r="A30" t="str">
            <v>20008111008X39</v>
          </cell>
          <cell r="B30" t="str">
            <v>20008</v>
          </cell>
          <cell r="C30" t="str">
            <v>111008X</v>
          </cell>
          <cell r="D30" t="str">
            <v>111008X</v>
          </cell>
          <cell r="E30" t="str">
            <v>ZIP 100MB 3.5HH INT FOR MICR OS</v>
          </cell>
          <cell r="F30">
            <v>39</v>
          </cell>
          <cell r="G30">
            <v>0</v>
          </cell>
          <cell r="J30">
            <v>1</v>
          </cell>
          <cell r="L30">
            <v>0</v>
          </cell>
          <cell r="O30">
            <v>1000</v>
          </cell>
          <cell r="P30">
            <v>1000</v>
          </cell>
        </row>
        <row r="31">
          <cell r="A31" t="str">
            <v>20008-ATAPI111008R48</v>
          </cell>
          <cell r="B31" t="str">
            <v>20008-ATAPI</v>
          </cell>
          <cell r="C31" t="str">
            <v>111008R</v>
          </cell>
          <cell r="D31" t="str">
            <v>111008R</v>
          </cell>
          <cell r="E31" t="str">
            <v>3.5HH_100MB_OFF WHITE_FOR MICR</v>
          </cell>
          <cell r="F31">
            <v>48</v>
          </cell>
          <cell r="G31">
            <v>265.2</v>
          </cell>
          <cell r="J31">
            <v>3</v>
          </cell>
          <cell r="K31">
            <v>795.6</v>
          </cell>
          <cell r="L31">
            <v>265.2</v>
          </cell>
          <cell r="M31">
            <v>3610</v>
          </cell>
          <cell r="O31">
            <v>1000</v>
          </cell>
          <cell r="P31">
            <v>3000</v>
          </cell>
        </row>
        <row r="32">
          <cell r="A32" t="str">
            <v>31025111025R18</v>
          </cell>
          <cell r="B32" t="str">
            <v>31025</v>
          </cell>
          <cell r="C32" t="str">
            <v>111025R</v>
          </cell>
          <cell r="D32" t="str">
            <v>111025R</v>
          </cell>
          <cell r="E32" t="str">
            <v>IOMEGA CD WRITER INTERNAL</v>
          </cell>
          <cell r="F32">
            <v>18</v>
          </cell>
          <cell r="G32">
            <v>1750.02</v>
          </cell>
          <cell r="J32">
            <v>6</v>
          </cell>
          <cell r="K32">
            <v>10500.13</v>
          </cell>
          <cell r="L32">
            <v>1750.02</v>
          </cell>
          <cell r="O32">
            <v>2000</v>
          </cell>
          <cell r="P32">
            <v>12000</v>
          </cell>
        </row>
        <row r="33">
          <cell r="A33" t="str">
            <v>31025111025R48</v>
          </cell>
          <cell r="B33" t="str">
            <v>31025</v>
          </cell>
          <cell r="C33" t="str">
            <v>111025R</v>
          </cell>
          <cell r="D33" t="str">
            <v>111025R</v>
          </cell>
          <cell r="E33" t="str">
            <v>IOMEGA CD WRITER INTERNAL</v>
          </cell>
          <cell r="F33">
            <v>48</v>
          </cell>
          <cell r="G33">
            <v>1750.02</v>
          </cell>
          <cell r="J33">
            <v>1</v>
          </cell>
          <cell r="K33">
            <v>1750.02</v>
          </cell>
          <cell r="L33">
            <v>1750.02</v>
          </cell>
          <cell r="O33">
            <v>2000</v>
          </cell>
          <cell r="P33">
            <v>2000</v>
          </cell>
        </row>
        <row r="34">
          <cell r="A34" t="str">
            <v>31025111025X19</v>
          </cell>
          <cell r="B34" t="str">
            <v>31025</v>
          </cell>
          <cell r="C34" t="str">
            <v>111025X</v>
          </cell>
          <cell r="D34" t="str">
            <v>111025X</v>
          </cell>
          <cell r="E34" t="str">
            <v>IOMEGA CD WRITER INTERNAL</v>
          </cell>
          <cell r="F34">
            <v>19</v>
          </cell>
          <cell r="G34">
            <v>0</v>
          </cell>
          <cell r="H34">
            <v>2</v>
          </cell>
          <cell r="J34">
            <v>16</v>
          </cell>
          <cell r="L34">
            <v>0</v>
          </cell>
          <cell r="O34">
            <v>6000</v>
          </cell>
          <cell r="P34">
            <v>108000</v>
          </cell>
        </row>
        <row r="35">
          <cell r="A35" t="str">
            <v>31034111027R18</v>
          </cell>
          <cell r="B35" t="str">
            <v>31034</v>
          </cell>
          <cell r="C35" t="str">
            <v>111027R</v>
          </cell>
          <cell r="D35" t="str">
            <v>111027R</v>
          </cell>
          <cell r="E35" t="str">
            <v>ZIP EXTERNAL USB CD WRITER</v>
          </cell>
          <cell r="F35">
            <v>18</v>
          </cell>
          <cell r="G35">
            <v>2831.15</v>
          </cell>
          <cell r="J35">
            <v>2</v>
          </cell>
          <cell r="K35">
            <v>5662.3</v>
          </cell>
          <cell r="L35">
            <v>2831.15</v>
          </cell>
          <cell r="O35">
            <v>2800</v>
          </cell>
          <cell r="P35">
            <v>5600</v>
          </cell>
        </row>
        <row r="36">
          <cell r="A36" t="str">
            <v>31034111027R48</v>
          </cell>
          <cell r="B36" t="str">
            <v>31034</v>
          </cell>
          <cell r="C36" t="str">
            <v>111027R</v>
          </cell>
          <cell r="D36" t="str">
            <v>111027R</v>
          </cell>
          <cell r="E36" t="str">
            <v>ZIP EXTERNAL USB CD WRITER</v>
          </cell>
          <cell r="F36">
            <v>48</v>
          </cell>
          <cell r="G36">
            <v>2831.15</v>
          </cell>
          <cell r="J36">
            <v>1</v>
          </cell>
          <cell r="K36">
            <v>2831.15</v>
          </cell>
          <cell r="L36">
            <v>2831.15</v>
          </cell>
          <cell r="O36">
            <v>2800</v>
          </cell>
          <cell r="P36">
            <v>2800</v>
          </cell>
        </row>
        <row r="37">
          <cell r="A37" t="str">
            <v>31034111027X19</v>
          </cell>
          <cell r="B37" t="str">
            <v>31034</v>
          </cell>
          <cell r="C37" t="str">
            <v>111027X</v>
          </cell>
          <cell r="D37" t="str">
            <v>111027X</v>
          </cell>
          <cell r="E37" t="str">
            <v>ZIP EXTERNAL USB CD WRITER*.**</v>
          </cell>
          <cell r="F37">
            <v>19</v>
          </cell>
          <cell r="G37">
            <v>0</v>
          </cell>
          <cell r="H37">
            <v>1</v>
          </cell>
          <cell r="L37">
            <v>0</v>
          </cell>
          <cell r="O37">
            <v>7000</v>
          </cell>
          <cell r="P37">
            <v>7000</v>
          </cell>
        </row>
        <row r="38">
          <cell r="A38" t="str">
            <v>31062111019R18</v>
          </cell>
          <cell r="B38" t="str">
            <v>31062</v>
          </cell>
          <cell r="C38" t="str">
            <v>111019R</v>
          </cell>
          <cell r="D38" t="str">
            <v>111019R</v>
          </cell>
          <cell r="E38" t="str">
            <v>3.5 LP 250MB  USB FOR PC</v>
          </cell>
          <cell r="F38">
            <v>18</v>
          </cell>
          <cell r="G38">
            <v>47.68</v>
          </cell>
          <cell r="J38">
            <v>8</v>
          </cell>
          <cell r="K38">
            <v>381.43</v>
          </cell>
          <cell r="L38">
            <v>47.68</v>
          </cell>
          <cell r="O38">
            <v>2000</v>
          </cell>
          <cell r="P38">
            <v>16000</v>
          </cell>
        </row>
        <row r="39">
          <cell r="A39" t="str">
            <v>31062111019X19</v>
          </cell>
          <cell r="B39" t="str">
            <v>31062</v>
          </cell>
          <cell r="C39" t="str">
            <v>111019X</v>
          </cell>
          <cell r="D39" t="str">
            <v>111019X</v>
          </cell>
          <cell r="E39" t="str">
            <v>3.5LP 250MB USB FOR PC BLUE W/O</v>
          </cell>
          <cell r="F39">
            <v>19</v>
          </cell>
          <cell r="G39">
            <v>0</v>
          </cell>
          <cell r="J39">
            <v>4</v>
          </cell>
          <cell r="L39">
            <v>0</v>
          </cell>
          <cell r="O39">
            <v>3000</v>
          </cell>
          <cell r="P39">
            <v>12000</v>
          </cell>
        </row>
        <row r="40">
          <cell r="A40" t="str">
            <v>31171111020SX19</v>
          </cell>
          <cell r="B40" t="str">
            <v>31171</v>
          </cell>
          <cell r="C40" t="str">
            <v>111020SX</v>
          </cell>
          <cell r="D40" t="str">
            <v>111020SX</v>
          </cell>
          <cell r="E40" t="str">
            <v>ZIP 250MB ATAPI DRIVE.*****.**</v>
          </cell>
          <cell r="F40">
            <v>19</v>
          </cell>
          <cell r="G40">
            <v>0</v>
          </cell>
          <cell r="H40">
            <v>1</v>
          </cell>
          <cell r="J40">
            <v>17</v>
          </cell>
          <cell r="L40">
            <v>0</v>
          </cell>
          <cell r="N40">
            <v>4375.45</v>
          </cell>
          <cell r="O40">
            <v>4300</v>
          </cell>
          <cell r="P40">
            <v>77400</v>
          </cell>
        </row>
        <row r="41">
          <cell r="A41" t="str">
            <v>31171111020SX59</v>
          </cell>
          <cell r="B41" t="str">
            <v>31171</v>
          </cell>
          <cell r="C41" t="str">
            <v>111020SX</v>
          </cell>
          <cell r="D41" t="str">
            <v>111020SX</v>
          </cell>
          <cell r="E41" t="str">
            <v>ZIP 250MB ATAPI DRIVE.*****.**</v>
          </cell>
          <cell r="F41">
            <v>59</v>
          </cell>
          <cell r="G41">
            <v>0</v>
          </cell>
          <cell r="J41">
            <v>3</v>
          </cell>
          <cell r="L41">
            <v>0</v>
          </cell>
          <cell r="N41">
            <v>4375.45</v>
          </cell>
          <cell r="O41">
            <v>4300</v>
          </cell>
          <cell r="P41">
            <v>12900</v>
          </cell>
        </row>
        <row r="42">
          <cell r="A42" t="str">
            <v>31171111020SX39</v>
          </cell>
          <cell r="B42" t="str">
            <v>31171</v>
          </cell>
          <cell r="C42" t="str">
            <v>111020SX</v>
          </cell>
          <cell r="D42" t="str">
            <v>111020SX</v>
          </cell>
          <cell r="E42" t="str">
            <v>ZIP 250MB ATAPI DRIVE.*****.**</v>
          </cell>
          <cell r="F42">
            <v>39</v>
          </cell>
          <cell r="G42">
            <v>0</v>
          </cell>
          <cell r="J42">
            <v>1</v>
          </cell>
          <cell r="K42">
            <v>0</v>
          </cell>
          <cell r="O42">
            <v>4300</v>
          </cell>
          <cell r="P42">
            <v>4300</v>
          </cell>
        </row>
        <row r="43">
          <cell r="A43" t="str">
            <v>31214111031X19</v>
          </cell>
          <cell r="B43" t="str">
            <v>31214</v>
          </cell>
          <cell r="C43" t="str">
            <v>111031X</v>
          </cell>
          <cell r="D43" t="str">
            <v>111031X</v>
          </cell>
          <cell r="E43" t="str">
            <v>3.5 LP 2GB JAZ EXT FOR PC**.**</v>
          </cell>
          <cell r="F43">
            <v>19</v>
          </cell>
          <cell r="G43">
            <v>0</v>
          </cell>
          <cell r="J43">
            <v>2</v>
          </cell>
          <cell r="L43">
            <v>0</v>
          </cell>
          <cell r="O43">
            <v>1000</v>
          </cell>
          <cell r="P43">
            <v>2000</v>
          </cell>
        </row>
        <row r="44">
          <cell r="A44" t="str">
            <v>31280111006X19</v>
          </cell>
          <cell r="B44" t="str">
            <v>31280</v>
          </cell>
          <cell r="C44" t="str">
            <v>111006X</v>
          </cell>
          <cell r="D44" t="str">
            <v>111006X</v>
          </cell>
          <cell r="E44" t="str">
            <v>3.5LP 2GB EXT FOR PC GREEN TOOL</v>
          </cell>
          <cell r="F44">
            <v>19</v>
          </cell>
          <cell r="G44">
            <v>0</v>
          </cell>
          <cell r="J44">
            <v>3</v>
          </cell>
          <cell r="L44">
            <v>0</v>
          </cell>
          <cell r="O44">
            <v>2000</v>
          </cell>
          <cell r="P44">
            <v>6000</v>
          </cell>
        </row>
        <row r="45">
          <cell r="A45" t="str">
            <v>31283111039X39</v>
          </cell>
          <cell r="B45" t="str">
            <v>31283</v>
          </cell>
          <cell r="C45" t="str">
            <v>111039X</v>
          </cell>
          <cell r="D45" t="str">
            <v>111039X</v>
          </cell>
          <cell r="E45" t="str">
            <v>3.5 LP 250MB USB WITH BUILT-IN</v>
          </cell>
          <cell r="F45">
            <v>39</v>
          </cell>
          <cell r="G45">
            <v>0</v>
          </cell>
          <cell r="J45">
            <v>2</v>
          </cell>
          <cell r="K45">
            <v>0</v>
          </cell>
          <cell r="O45">
            <v>1000</v>
          </cell>
          <cell r="P45">
            <v>2000</v>
          </cell>
        </row>
        <row r="46">
          <cell r="A46" t="str">
            <v>3522500111022R18</v>
          </cell>
          <cell r="B46" t="str">
            <v>3522500</v>
          </cell>
          <cell r="C46" t="str">
            <v>111022R</v>
          </cell>
          <cell r="D46" t="str">
            <v>111022R</v>
          </cell>
          <cell r="E46" t="str">
            <v>ZIP POWER ADAPTER</v>
          </cell>
          <cell r="F46">
            <v>18</v>
          </cell>
          <cell r="G46">
            <v>72.88</v>
          </cell>
          <cell r="J46">
            <v>28</v>
          </cell>
          <cell r="K46">
            <v>2040.65</v>
          </cell>
          <cell r="L46">
            <v>72.88</v>
          </cell>
          <cell r="O46">
            <v>250</v>
          </cell>
          <cell r="P46">
            <v>7000</v>
          </cell>
        </row>
        <row r="47">
          <cell r="A47" t="str">
            <v>3522500111022R48</v>
          </cell>
          <cell r="B47" t="str">
            <v>3522500</v>
          </cell>
          <cell r="C47" t="str">
            <v>111022R</v>
          </cell>
          <cell r="D47" t="str">
            <v>111022R</v>
          </cell>
          <cell r="E47" t="str">
            <v>ZIP POWER ADAPTER</v>
          </cell>
          <cell r="F47">
            <v>48</v>
          </cell>
          <cell r="G47">
            <v>72.88</v>
          </cell>
          <cell r="J47">
            <v>13</v>
          </cell>
          <cell r="K47">
            <v>947.44</v>
          </cell>
          <cell r="L47">
            <v>72.88</v>
          </cell>
          <cell r="O47">
            <v>250</v>
          </cell>
          <cell r="P47">
            <v>3250</v>
          </cell>
        </row>
        <row r="48">
          <cell r="A48" t="str">
            <v>3522500111022R58</v>
          </cell>
          <cell r="B48" t="str">
            <v>3522500</v>
          </cell>
          <cell r="C48" t="str">
            <v>111022R</v>
          </cell>
          <cell r="D48" t="str">
            <v>111022R</v>
          </cell>
          <cell r="E48" t="str">
            <v>ZIP POWER ADAPTER</v>
          </cell>
          <cell r="F48">
            <v>58</v>
          </cell>
          <cell r="G48">
            <v>72.88</v>
          </cell>
          <cell r="J48">
            <v>12</v>
          </cell>
          <cell r="K48">
            <v>874.56</v>
          </cell>
          <cell r="L48">
            <v>72.88</v>
          </cell>
          <cell r="O48">
            <v>250</v>
          </cell>
          <cell r="P48">
            <v>3000</v>
          </cell>
        </row>
        <row r="49">
          <cell r="A49" t="str">
            <v>3522500111022R68</v>
          </cell>
          <cell r="B49" t="str">
            <v>3522500</v>
          </cell>
          <cell r="C49" t="str">
            <v>111022R</v>
          </cell>
          <cell r="D49" t="str">
            <v>111022R</v>
          </cell>
          <cell r="E49" t="str">
            <v>ZIP POWER ADAPTER</v>
          </cell>
          <cell r="F49">
            <v>68</v>
          </cell>
          <cell r="G49">
            <v>72.88</v>
          </cell>
          <cell r="J49">
            <v>6</v>
          </cell>
          <cell r="K49">
            <v>437.28</v>
          </cell>
          <cell r="L49">
            <v>72.88</v>
          </cell>
          <cell r="O49">
            <v>250</v>
          </cell>
          <cell r="P49">
            <v>1500</v>
          </cell>
        </row>
        <row r="50">
          <cell r="A50" t="str">
            <v>3522500111022X19</v>
          </cell>
          <cell r="B50" t="str">
            <v>3522500</v>
          </cell>
          <cell r="C50" t="str">
            <v>111022X</v>
          </cell>
          <cell r="D50" t="str">
            <v>111022X</v>
          </cell>
          <cell r="E50" t="str">
            <v>ZIP POWER ADAPTER</v>
          </cell>
          <cell r="F50">
            <v>19</v>
          </cell>
          <cell r="G50">
            <v>0</v>
          </cell>
          <cell r="H50">
            <v>2</v>
          </cell>
          <cell r="J50">
            <v>53</v>
          </cell>
          <cell r="L50">
            <v>0</v>
          </cell>
          <cell r="O50">
            <v>250</v>
          </cell>
          <cell r="P50">
            <v>13750</v>
          </cell>
        </row>
        <row r="51">
          <cell r="A51" t="str">
            <v>3C16465A100018R18</v>
          </cell>
          <cell r="B51" t="str">
            <v>3C16465A</v>
          </cell>
          <cell r="C51" t="str">
            <v>100018R</v>
          </cell>
          <cell r="D51" t="str">
            <v>100018R</v>
          </cell>
          <cell r="E51" t="str">
            <v>BASELINE 10/100BT SWITCH</v>
          </cell>
          <cell r="F51">
            <v>18</v>
          </cell>
          <cell r="G51">
            <v>0.68</v>
          </cell>
          <cell r="J51">
            <v>1</v>
          </cell>
          <cell r="K51">
            <v>0.68</v>
          </cell>
          <cell r="L51">
            <v>0.68</v>
          </cell>
          <cell r="O51">
            <v>50000</v>
          </cell>
          <cell r="P51">
            <v>50000</v>
          </cell>
        </row>
        <row r="52">
          <cell r="A52" t="str">
            <v>3C16700100001R18</v>
          </cell>
          <cell r="B52" t="str">
            <v>3C16700</v>
          </cell>
          <cell r="C52" t="str">
            <v>100001R</v>
          </cell>
          <cell r="D52" t="str">
            <v>100001R</v>
          </cell>
          <cell r="E52" t="str">
            <v>OFFCNT 10BT HUB 8RJ45</v>
          </cell>
          <cell r="F52">
            <v>18</v>
          </cell>
          <cell r="G52">
            <v>0.01</v>
          </cell>
          <cell r="J52">
            <v>1</v>
          </cell>
          <cell r="K52">
            <v>0.01</v>
          </cell>
          <cell r="L52">
            <v>0.01</v>
          </cell>
          <cell r="O52">
            <v>3500</v>
          </cell>
          <cell r="P52">
            <v>3500</v>
          </cell>
        </row>
        <row r="53">
          <cell r="A53" t="str">
            <v>3C16702100002R18</v>
          </cell>
          <cell r="B53" t="str">
            <v>3C16702</v>
          </cell>
          <cell r="C53" t="str">
            <v>100002R</v>
          </cell>
          <cell r="D53" t="str">
            <v>100002R</v>
          </cell>
          <cell r="E53" t="str">
            <v>OFFCNT 10BT HUB 16RJ45</v>
          </cell>
          <cell r="F53">
            <v>18</v>
          </cell>
          <cell r="G53">
            <v>0.68</v>
          </cell>
          <cell r="J53">
            <v>2</v>
          </cell>
          <cell r="K53">
            <v>1.36</v>
          </cell>
          <cell r="L53">
            <v>0.68</v>
          </cell>
          <cell r="O53">
            <v>7000</v>
          </cell>
          <cell r="P53">
            <v>14000</v>
          </cell>
        </row>
        <row r="54">
          <cell r="A54" t="str">
            <v>3C16734100011R18</v>
          </cell>
          <cell r="B54" t="str">
            <v>3C16734</v>
          </cell>
          <cell r="C54" t="str">
            <v>100011R</v>
          </cell>
          <cell r="D54" t="str">
            <v>100011R</v>
          </cell>
          <cell r="E54" t="str">
            <v>OFFCNT800 10/100BT SWITCH</v>
          </cell>
          <cell r="F54">
            <v>18</v>
          </cell>
          <cell r="G54">
            <v>11712.97</v>
          </cell>
          <cell r="J54">
            <v>2</v>
          </cell>
          <cell r="K54">
            <v>23425.94</v>
          </cell>
          <cell r="L54">
            <v>11712.97</v>
          </cell>
          <cell r="O54">
            <v>17000</v>
          </cell>
          <cell r="P54">
            <v>34000</v>
          </cell>
        </row>
        <row r="55">
          <cell r="A55" t="str">
            <v>3C16735A100068R18</v>
          </cell>
          <cell r="B55" t="str">
            <v>3C16735A</v>
          </cell>
          <cell r="C55" t="str">
            <v>100068R</v>
          </cell>
          <cell r="D55" t="str">
            <v>100068R</v>
          </cell>
          <cell r="E55" t="str">
            <v>OFFCNT1600 10/100BT SWITCH</v>
          </cell>
          <cell r="F55">
            <v>18</v>
          </cell>
          <cell r="G55">
            <v>0.14000000000000001</v>
          </cell>
          <cell r="J55">
            <v>1</v>
          </cell>
          <cell r="K55">
            <v>0.13</v>
          </cell>
          <cell r="L55">
            <v>0.14000000000000001</v>
          </cell>
          <cell r="O55">
            <v>14000</v>
          </cell>
          <cell r="P55">
            <v>14000</v>
          </cell>
        </row>
        <row r="56">
          <cell r="A56" t="str">
            <v>3C16735A100068R48</v>
          </cell>
          <cell r="B56" t="str">
            <v>3C16735A</v>
          </cell>
          <cell r="C56" t="str">
            <v>100068R</v>
          </cell>
          <cell r="D56" t="str">
            <v>100068R</v>
          </cell>
          <cell r="E56" t="str">
            <v>OFFCNT1600 10/100BT SWITCH</v>
          </cell>
          <cell r="F56">
            <v>48</v>
          </cell>
          <cell r="G56">
            <v>0.14000000000000001</v>
          </cell>
          <cell r="J56">
            <v>1</v>
          </cell>
          <cell r="K56">
            <v>0.13</v>
          </cell>
          <cell r="L56">
            <v>0.14000000000000001</v>
          </cell>
          <cell r="O56">
            <v>14000</v>
          </cell>
          <cell r="P56">
            <v>14000</v>
          </cell>
        </row>
        <row r="57">
          <cell r="A57" t="str">
            <v>3C16750100003R18</v>
          </cell>
          <cell r="B57" t="str">
            <v>3C16750</v>
          </cell>
          <cell r="C57" t="str">
            <v>100003R</v>
          </cell>
          <cell r="D57" t="str">
            <v>100003R</v>
          </cell>
          <cell r="E57" t="str">
            <v>OFFCNT 10/100BT HUB 8RJ45</v>
          </cell>
          <cell r="F57">
            <v>18</v>
          </cell>
          <cell r="G57">
            <v>0.32</v>
          </cell>
          <cell r="J57">
            <v>1</v>
          </cell>
          <cell r="K57">
            <v>0.32</v>
          </cell>
          <cell r="L57">
            <v>0.32</v>
          </cell>
          <cell r="O57">
            <v>15000</v>
          </cell>
          <cell r="P57">
            <v>15000</v>
          </cell>
        </row>
        <row r="58">
          <cell r="A58" t="str">
            <v>3C16951100031R18</v>
          </cell>
          <cell r="B58" t="str">
            <v>3C16951</v>
          </cell>
          <cell r="C58" t="str">
            <v>100031R</v>
          </cell>
          <cell r="D58" t="str">
            <v>100031R</v>
          </cell>
          <cell r="E58" t="str">
            <v>SSII 1100 10BT SWITCH</v>
          </cell>
          <cell r="F58">
            <v>18</v>
          </cell>
          <cell r="G58">
            <v>0.01</v>
          </cell>
          <cell r="J58">
            <v>4</v>
          </cell>
          <cell r="K58">
            <v>0.04</v>
          </cell>
          <cell r="L58">
            <v>0.01</v>
          </cell>
          <cell r="O58">
            <v>20000</v>
          </cell>
          <cell r="P58">
            <v>80000</v>
          </cell>
        </row>
        <row r="59">
          <cell r="A59" t="str">
            <v>3C16960100036R18</v>
          </cell>
          <cell r="B59" t="str">
            <v>3C16960</v>
          </cell>
          <cell r="C59" t="str">
            <v>100036R</v>
          </cell>
          <cell r="D59" t="str">
            <v>100036R</v>
          </cell>
          <cell r="E59" t="str">
            <v>SSII 1100/3300 MARTIX MODULE</v>
          </cell>
          <cell r="F59">
            <v>18</v>
          </cell>
          <cell r="G59">
            <v>0.01</v>
          </cell>
          <cell r="J59">
            <v>1</v>
          </cell>
          <cell r="K59">
            <v>0.01</v>
          </cell>
          <cell r="L59">
            <v>0.01</v>
          </cell>
          <cell r="O59">
            <v>30000</v>
          </cell>
          <cell r="P59">
            <v>30000</v>
          </cell>
        </row>
        <row r="60">
          <cell r="A60" t="str">
            <v>3C16984100030R18</v>
          </cell>
          <cell r="B60" t="str">
            <v>3C16984</v>
          </cell>
          <cell r="C60" t="str">
            <v>100030R</v>
          </cell>
          <cell r="D60" t="str">
            <v>100030R</v>
          </cell>
          <cell r="E60" t="str">
            <v>SSII 630 10/100BT SWITCH</v>
          </cell>
          <cell r="F60">
            <v>18</v>
          </cell>
          <cell r="G60">
            <v>62497.9</v>
          </cell>
          <cell r="J60">
            <v>1</v>
          </cell>
          <cell r="K60">
            <v>62497.9</v>
          </cell>
          <cell r="L60">
            <v>62497.9</v>
          </cell>
          <cell r="O60">
            <v>45000</v>
          </cell>
          <cell r="P60">
            <v>45000</v>
          </cell>
        </row>
        <row r="61">
          <cell r="A61" t="str">
            <v>3C16985100083X69</v>
          </cell>
          <cell r="B61" t="str">
            <v>3C16985</v>
          </cell>
          <cell r="C61" t="str">
            <v>100083X</v>
          </cell>
          <cell r="D61" t="str">
            <v>100083X</v>
          </cell>
          <cell r="E61" t="str">
            <v>SSII 3300XM 10/100 SWITCH</v>
          </cell>
          <cell r="F61">
            <v>69</v>
          </cell>
          <cell r="G61">
            <v>0</v>
          </cell>
          <cell r="J61">
            <v>1</v>
          </cell>
          <cell r="L61">
            <v>0</v>
          </cell>
          <cell r="O61">
            <v>35000</v>
          </cell>
          <cell r="P61">
            <v>35000</v>
          </cell>
        </row>
        <row r="62">
          <cell r="A62" t="str">
            <v>3C16985B100083R18</v>
          </cell>
          <cell r="B62" t="str">
            <v>3C16985B</v>
          </cell>
          <cell r="C62" t="str">
            <v>100083R</v>
          </cell>
          <cell r="D62" t="str">
            <v>100083R</v>
          </cell>
          <cell r="E62" t="str">
            <v>SSII 3300XM 10/100 SWITCH</v>
          </cell>
          <cell r="F62">
            <v>18</v>
          </cell>
          <cell r="G62">
            <v>0.66</v>
          </cell>
          <cell r="J62">
            <v>2</v>
          </cell>
          <cell r="K62">
            <v>1.31</v>
          </cell>
          <cell r="L62">
            <v>0.66</v>
          </cell>
          <cell r="O62">
            <v>35000</v>
          </cell>
          <cell r="P62">
            <v>70000</v>
          </cell>
        </row>
        <row r="63">
          <cell r="A63" t="str">
            <v>3C16986100111R18</v>
          </cell>
          <cell r="B63" t="str">
            <v>3C16986</v>
          </cell>
          <cell r="C63" t="str">
            <v>100111R</v>
          </cell>
          <cell r="D63" t="str">
            <v>100111R</v>
          </cell>
          <cell r="E63" t="str">
            <v>SUPERSTACK II SWITCH  3300*.**</v>
          </cell>
          <cell r="F63">
            <v>18</v>
          </cell>
          <cell r="G63">
            <v>0.34</v>
          </cell>
          <cell r="J63">
            <v>2</v>
          </cell>
          <cell r="K63">
            <v>0.67</v>
          </cell>
          <cell r="L63">
            <v>0.34</v>
          </cell>
          <cell r="O63">
            <v>50000</v>
          </cell>
          <cell r="P63">
            <v>100000</v>
          </cell>
        </row>
        <row r="64">
          <cell r="A64" t="str">
            <v>3C16988A100113R18</v>
          </cell>
          <cell r="B64" t="str">
            <v>3C16988A</v>
          </cell>
          <cell r="C64" t="str">
            <v>100113R</v>
          </cell>
          <cell r="D64" t="str">
            <v>100113R</v>
          </cell>
          <cell r="E64" t="str">
            <v>SS II 3300 MM 24......*****.**</v>
          </cell>
          <cell r="F64">
            <v>18</v>
          </cell>
          <cell r="G64">
            <v>0.67</v>
          </cell>
          <cell r="J64">
            <v>1</v>
          </cell>
          <cell r="K64">
            <v>0.66</v>
          </cell>
          <cell r="L64">
            <v>0.67</v>
          </cell>
          <cell r="O64">
            <v>72000</v>
          </cell>
          <cell r="P64">
            <v>72000</v>
          </cell>
        </row>
        <row r="65">
          <cell r="A65" t="str">
            <v>3C80401ROW14600418</v>
          </cell>
          <cell r="B65" t="str">
            <v>3C80401ROW</v>
          </cell>
          <cell r="C65" t="str">
            <v>146004</v>
          </cell>
          <cell r="D65" t="str">
            <v>146004</v>
          </cell>
          <cell r="E65" t="str">
            <v>PALM VX</v>
          </cell>
          <cell r="F65">
            <v>18</v>
          </cell>
          <cell r="G65">
            <v>15290.17</v>
          </cell>
          <cell r="J65">
            <v>2</v>
          </cell>
          <cell r="K65">
            <v>30580.34</v>
          </cell>
          <cell r="L65">
            <v>15290.17</v>
          </cell>
          <cell r="M65">
            <v>16133.4</v>
          </cell>
          <cell r="N65">
            <v>15290.17</v>
          </cell>
          <cell r="O65">
            <v>15000</v>
          </cell>
          <cell r="P65">
            <v>30000</v>
          </cell>
        </row>
        <row r="66">
          <cell r="A66" t="str">
            <v>3C80600ROW14600318</v>
          </cell>
          <cell r="B66" t="str">
            <v>3C80600ROW</v>
          </cell>
          <cell r="C66" t="str">
            <v>146003</v>
          </cell>
          <cell r="D66" t="str">
            <v>146003</v>
          </cell>
          <cell r="E66" t="str">
            <v>PALM IIIC</v>
          </cell>
          <cell r="F66">
            <v>18</v>
          </cell>
          <cell r="G66">
            <v>15737.29</v>
          </cell>
          <cell r="J66">
            <v>2</v>
          </cell>
          <cell r="K66">
            <v>31474.57</v>
          </cell>
          <cell r="L66">
            <v>15737.29</v>
          </cell>
          <cell r="M66">
            <v>15768.264705882353</v>
          </cell>
          <cell r="N66">
            <v>15737.29</v>
          </cell>
          <cell r="O66">
            <v>14000</v>
          </cell>
          <cell r="P66">
            <v>28000</v>
          </cell>
        </row>
        <row r="67">
          <cell r="A67" t="str">
            <v>3C80700IE14600118</v>
          </cell>
          <cell r="B67" t="str">
            <v>3C80700IE</v>
          </cell>
          <cell r="C67" t="str">
            <v>146001</v>
          </cell>
          <cell r="D67" t="str">
            <v>146001</v>
          </cell>
          <cell r="E67" t="str">
            <v>PALM M100</v>
          </cell>
          <cell r="F67">
            <v>18</v>
          </cell>
          <cell r="G67">
            <v>6965.93</v>
          </cell>
          <cell r="J67">
            <v>2</v>
          </cell>
          <cell r="K67">
            <v>13931.86</v>
          </cell>
          <cell r="L67">
            <v>6965.93</v>
          </cell>
          <cell r="M67">
            <v>7116.2320437956205</v>
          </cell>
          <cell r="N67">
            <v>6965.93</v>
          </cell>
          <cell r="O67">
            <v>6900</v>
          </cell>
          <cell r="P67">
            <v>13800</v>
          </cell>
        </row>
        <row r="68">
          <cell r="A68" t="str">
            <v>3C80700IE146001X19</v>
          </cell>
          <cell r="B68" t="str">
            <v>3C80700IE</v>
          </cell>
          <cell r="C68" t="str">
            <v>146001X</v>
          </cell>
          <cell r="D68" t="str">
            <v>146001X</v>
          </cell>
          <cell r="E68" t="str">
            <v>PALM M100.............*****.**</v>
          </cell>
          <cell r="F68">
            <v>19</v>
          </cell>
          <cell r="G68">
            <v>0.47</v>
          </cell>
          <cell r="H68">
            <v>1</v>
          </cell>
          <cell r="I68">
            <v>0.47</v>
          </cell>
          <cell r="J68">
            <v>1</v>
          </cell>
          <cell r="K68">
            <v>0.47</v>
          </cell>
          <cell r="L68">
            <v>0.47</v>
          </cell>
          <cell r="N68">
            <v>6965.93</v>
          </cell>
          <cell r="O68">
            <v>6800</v>
          </cell>
          <cell r="P68">
            <v>13600</v>
          </cell>
        </row>
        <row r="69">
          <cell r="A69" t="str">
            <v>3C905B-TX(R)100059R18</v>
          </cell>
          <cell r="B69" t="str">
            <v>3C905B-TX(R)</v>
          </cell>
          <cell r="C69" t="str">
            <v>100059R</v>
          </cell>
          <cell r="D69" t="str">
            <v>100059R</v>
          </cell>
          <cell r="E69" t="str">
            <v>ETHERLK 905B TX PCI 10/100MBPS</v>
          </cell>
          <cell r="F69">
            <v>18</v>
          </cell>
          <cell r="G69">
            <v>277.98</v>
          </cell>
          <cell r="J69">
            <v>1</v>
          </cell>
          <cell r="K69">
            <v>277.97000000000003</v>
          </cell>
          <cell r="L69">
            <v>277.98</v>
          </cell>
          <cell r="O69">
            <v>1500</v>
          </cell>
          <cell r="P69">
            <v>1500</v>
          </cell>
        </row>
        <row r="70">
          <cell r="A70" t="str">
            <v>3C905B-TX-NM100058R18</v>
          </cell>
          <cell r="B70" t="str">
            <v>3C905B-TX-NM</v>
          </cell>
          <cell r="C70" t="str">
            <v>100058R</v>
          </cell>
          <cell r="D70" t="str">
            <v>100058R</v>
          </cell>
          <cell r="E70" t="str">
            <v>ETHER 905B-NM TX PCI 10/100MBP</v>
          </cell>
          <cell r="F70">
            <v>18</v>
          </cell>
          <cell r="G70">
            <v>0.71</v>
          </cell>
          <cell r="J70">
            <v>6</v>
          </cell>
          <cell r="K70">
            <v>4.25</v>
          </cell>
          <cell r="L70">
            <v>0.71</v>
          </cell>
          <cell r="O70">
            <v>1500</v>
          </cell>
          <cell r="P70">
            <v>9000</v>
          </cell>
        </row>
        <row r="71">
          <cell r="A71" t="str">
            <v>3C905B-TX-NM100058R58</v>
          </cell>
          <cell r="B71" t="str">
            <v>3C905B-TX-NM</v>
          </cell>
          <cell r="C71" t="str">
            <v>100058R</v>
          </cell>
          <cell r="D71" t="str">
            <v>100058R</v>
          </cell>
          <cell r="E71" t="str">
            <v>ETHER 905B-NM TX PCI 10/100MBP</v>
          </cell>
          <cell r="F71">
            <v>58</v>
          </cell>
          <cell r="G71">
            <v>0.71</v>
          </cell>
          <cell r="J71">
            <v>1</v>
          </cell>
          <cell r="K71">
            <v>0.7</v>
          </cell>
          <cell r="L71">
            <v>0.71</v>
          </cell>
          <cell r="O71">
            <v>1500</v>
          </cell>
          <cell r="P71">
            <v>1500</v>
          </cell>
        </row>
        <row r="72">
          <cell r="A72" t="str">
            <v>3C905-TX100072R18</v>
          </cell>
          <cell r="B72" t="str">
            <v>3C905-TX</v>
          </cell>
          <cell r="C72" t="str">
            <v>100072R</v>
          </cell>
          <cell r="D72" t="str">
            <v>100072R</v>
          </cell>
          <cell r="E72" t="str">
            <v>ETHERLINK 905TX</v>
          </cell>
          <cell r="F72">
            <v>18</v>
          </cell>
          <cell r="G72">
            <v>0.67</v>
          </cell>
          <cell r="J72">
            <v>4</v>
          </cell>
          <cell r="K72">
            <v>2.69</v>
          </cell>
          <cell r="L72">
            <v>0.67</v>
          </cell>
          <cell r="O72">
            <v>1500</v>
          </cell>
          <cell r="P72">
            <v>6000</v>
          </cell>
        </row>
        <row r="73">
          <cell r="A73" t="str">
            <v>3C905TX100079R18</v>
          </cell>
          <cell r="B73" t="str">
            <v>3C905TX</v>
          </cell>
          <cell r="C73" t="str">
            <v>100079R</v>
          </cell>
          <cell r="D73" t="str">
            <v>100079R</v>
          </cell>
          <cell r="E73" t="str">
            <v>ETHERLK 905 TX PCI</v>
          </cell>
          <cell r="F73">
            <v>18</v>
          </cell>
          <cell r="G73">
            <v>0.71</v>
          </cell>
          <cell r="J73">
            <v>1</v>
          </cell>
          <cell r="K73">
            <v>0.7</v>
          </cell>
          <cell r="L73">
            <v>0.71</v>
          </cell>
          <cell r="O73">
            <v>1500</v>
          </cell>
          <cell r="P73">
            <v>1500</v>
          </cell>
        </row>
        <row r="74">
          <cell r="A74" t="str">
            <v>3C90X-TRIROM100063R18</v>
          </cell>
          <cell r="B74" t="str">
            <v>3C90X-TRIROM</v>
          </cell>
          <cell r="C74" t="str">
            <v>100063R</v>
          </cell>
          <cell r="D74" t="str">
            <v>100063R</v>
          </cell>
          <cell r="E74" t="str">
            <v>TRIPROTOCOL 90X SERIES BOOTROM</v>
          </cell>
          <cell r="F74">
            <v>18</v>
          </cell>
          <cell r="G74">
            <v>0.67</v>
          </cell>
          <cell r="J74">
            <v>6</v>
          </cell>
          <cell r="K74">
            <v>4</v>
          </cell>
          <cell r="L74">
            <v>0.67</v>
          </cell>
          <cell r="O74">
            <v>0</v>
          </cell>
          <cell r="P74">
            <v>0</v>
          </cell>
        </row>
        <row r="75">
          <cell r="A75" t="str">
            <v>3CB9FG24T100209R18</v>
          </cell>
          <cell r="B75" t="str">
            <v>3CB9FG24T</v>
          </cell>
          <cell r="C75" t="str">
            <v>100209R</v>
          </cell>
          <cell r="D75" t="str">
            <v>100209R</v>
          </cell>
          <cell r="E75" t="str">
            <v>SWITCH 4007 24-PORT...*****.**</v>
          </cell>
          <cell r="F75">
            <v>18</v>
          </cell>
          <cell r="G75">
            <v>0.66</v>
          </cell>
          <cell r="J75">
            <v>1</v>
          </cell>
          <cell r="K75">
            <v>0.66</v>
          </cell>
          <cell r="L75">
            <v>0.66</v>
          </cell>
          <cell r="O75">
            <v>150000</v>
          </cell>
          <cell r="P75">
            <v>150000</v>
          </cell>
        </row>
        <row r="76">
          <cell r="A76" t="str">
            <v>3CCFE574BT100055R18</v>
          </cell>
          <cell r="B76" t="str">
            <v>3CCFE574BT</v>
          </cell>
          <cell r="C76" t="str">
            <v>100055R</v>
          </cell>
          <cell r="D76" t="str">
            <v>100055R</v>
          </cell>
          <cell r="E76" t="str">
            <v>MEGAHZ PCMCIA  FEC 10/100MBPS</v>
          </cell>
          <cell r="F76">
            <v>18</v>
          </cell>
          <cell r="G76">
            <v>0.67</v>
          </cell>
          <cell r="J76">
            <v>1</v>
          </cell>
          <cell r="K76">
            <v>0.66</v>
          </cell>
          <cell r="L76">
            <v>0.67</v>
          </cell>
          <cell r="O76">
            <v>3000</v>
          </cell>
          <cell r="P76">
            <v>3000</v>
          </cell>
        </row>
        <row r="77">
          <cell r="A77" t="str">
            <v>3CCFEM556B100056R18</v>
          </cell>
          <cell r="B77" t="str">
            <v>3CCFEM556B</v>
          </cell>
          <cell r="C77" t="str">
            <v>100056R</v>
          </cell>
          <cell r="D77" t="str">
            <v>100056R</v>
          </cell>
          <cell r="E77" t="str">
            <v>MEGA HZ PCMCIA 10/100MBPS</v>
          </cell>
          <cell r="F77">
            <v>18</v>
          </cell>
          <cell r="G77">
            <v>0.68</v>
          </cell>
          <cell r="J77">
            <v>1</v>
          </cell>
          <cell r="K77">
            <v>0.68</v>
          </cell>
          <cell r="L77">
            <v>0.68</v>
          </cell>
          <cell r="O77">
            <v>6000</v>
          </cell>
          <cell r="P77">
            <v>6000</v>
          </cell>
        </row>
        <row r="78">
          <cell r="A78" t="str">
            <v>3CR29220100123R18</v>
          </cell>
          <cell r="B78" t="str">
            <v>3CR29220</v>
          </cell>
          <cell r="C78" t="str">
            <v>100123R</v>
          </cell>
          <cell r="D78" t="str">
            <v>100123R</v>
          </cell>
          <cell r="E78" t="str">
            <v>EXTERNAL HC 1.1 CABLE MODEM.**</v>
          </cell>
          <cell r="F78">
            <v>18</v>
          </cell>
          <cell r="G78">
            <v>2791.67</v>
          </cell>
          <cell r="J78">
            <v>5</v>
          </cell>
          <cell r="K78">
            <v>13958.34</v>
          </cell>
          <cell r="L78">
            <v>2791.67</v>
          </cell>
          <cell r="O78">
            <v>11000</v>
          </cell>
          <cell r="P78">
            <v>55000</v>
          </cell>
        </row>
        <row r="79">
          <cell r="A79" t="str">
            <v>3CR29220100123R58</v>
          </cell>
          <cell r="B79" t="str">
            <v>3CR29220</v>
          </cell>
          <cell r="C79" t="str">
            <v>100123R</v>
          </cell>
          <cell r="D79" t="str">
            <v>100123R</v>
          </cell>
          <cell r="E79" t="str">
            <v>EXTERNAL HC 1.1 CABLE MODEM.**</v>
          </cell>
          <cell r="F79">
            <v>58</v>
          </cell>
          <cell r="G79">
            <v>2791.67</v>
          </cell>
          <cell r="J79">
            <v>2</v>
          </cell>
          <cell r="K79">
            <v>5583.33</v>
          </cell>
          <cell r="L79">
            <v>2791.67</v>
          </cell>
          <cell r="O79">
            <v>11000</v>
          </cell>
          <cell r="P79">
            <v>22000</v>
          </cell>
        </row>
        <row r="80">
          <cell r="A80" t="str">
            <v>3CR29221-UK100116R18</v>
          </cell>
          <cell r="B80" t="str">
            <v>3CR29221-UK</v>
          </cell>
          <cell r="C80" t="str">
            <v>100116R</v>
          </cell>
          <cell r="D80" t="str">
            <v>100116R</v>
          </cell>
          <cell r="E80" t="str">
            <v>EXTERNAL HC 1.1 CABLE MODEM.**</v>
          </cell>
          <cell r="F80">
            <v>18</v>
          </cell>
          <cell r="G80">
            <v>0.67</v>
          </cell>
          <cell r="J80">
            <v>1</v>
          </cell>
          <cell r="K80">
            <v>0.66</v>
          </cell>
          <cell r="L80">
            <v>0.67</v>
          </cell>
          <cell r="O80">
            <v>11000</v>
          </cell>
          <cell r="P80">
            <v>11000</v>
          </cell>
        </row>
        <row r="81">
          <cell r="A81" t="str">
            <v>3CR29221-UK100116R48</v>
          </cell>
          <cell r="B81" t="str">
            <v>3CR29221-UK</v>
          </cell>
          <cell r="C81" t="str">
            <v>100116R</v>
          </cell>
          <cell r="D81" t="str">
            <v>100116R</v>
          </cell>
          <cell r="E81" t="str">
            <v>EXTERNAL HC 1.1 CABLE MODEM.**</v>
          </cell>
          <cell r="F81">
            <v>48</v>
          </cell>
          <cell r="G81">
            <v>0.67</v>
          </cell>
          <cell r="J81">
            <v>31</v>
          </cell>
          <cell r="K81">
            <v>20.69</v>
          </cell>
          <cell r="L81">
            <v>0.67</v>
          </cell>
          <cell r="O81">
            <v>11000</v>
          </cell>
          <cell r="P81">
            <v>341000</v>
          </cell>
        </row>
        <row r="82">
          <cell r="A82" t="str">
            <v>3CXFE575CT-AP100105R18</v>
          </cell>
          <cell r="B82" t="str">
            <v>3CXFE575CT-AP</v>
          </cell>
          <cell r="C82" t="str">
            <v>100105R</v>
          </cell>
          <cell r="D82" t="str">
            <v>100105R</v>
          </cell>
          <cell r="E82" t="str">
            <v>10/100 LAN+56K MODEM CARDBUS</v>
          </cell>
          <cell r="F82">
            <v>18</v>
          </cell>
          <cell r="G82">
            <v>0.65</v>
          </cell>
          <cell r="J82">
            <v>1</v>
          </cell>
          <cell r="K82">
            <v>0.65</v>
          </cell>
          <cell r="L82">
            <v>0.65</v>
          </cell>
          <cell r="O82">
            <v>4000</v>
          </cell>
          <cell r="P82">
            <v>4000</v>
          </cell>
        </row>
        <row r="83">
          <cell r="A83" t="str">
            <v>52X CDROM115626LR18</v>
          </cell>
          <cell r="B83" t="str">
            <v>52X CDROM</v>
          </cell>
          <cell r="C83" t="str">
            <v>115626LR</v>
          </cell>
          <cell r="D83" t="str">
            <v>115626LR</v>
          </cell>
          <cell r="E83" t="str">
            <v>MX 52X ACER CDROM DRIVE</v>
          </cell>
          <cell r="F83">
            <v>18</v>
          </cell>
          <cell r="G83">
            <v>0.01</v>
          </cell>
          <cell r="J83">
            <v>3</v>
          </cell>
          <cell r="K83">
            <v>0.03</v>
          </cell>
          <cell r="L83">
            <v>0.01</v>
          </cell>
          <cell r="N83">
            <v>1795.32</v>
          </cell>
          <cell r="O83">
            <v>2000</v>
          </cell>
          <cell r="P83">
            <v>6000</v>
          </cell>
        </row>
        <row r="84">
          <cell r="A84" t="str">
            <v>5325301103120044R18</v>
          </cell>
          <cell r="B84" t="str">
            <v>5325301103</v>
          </cell>
          <cell r="C84" t="str">
            <v>120044R</v>
          </cell>
          <cell r="D84" t="str">
            <v>120044R</v>
          </cell>
          <cell r="E84" t="str">
            <v>SNAP SERVER 15 GB</v>
          </cell>
          <cell r="F84">
            <v>18</v>
          </cell>
          <cell r="G84">
            <v>4207.0200000000004</v>
          </cell>
          <cell r="J84">
            <v>1</v>
          </cell>
          <cell r="K84">
            <v>4207.0200000000004</v>
          </cell>
          <cell r="L84">
            <v>4207.0200000000004</v>
          </cell>
          <cell r="O84">
            <v>29000</v>
          </cell>
          <cell r="P84">
            <v>29000</v>
          </cell>
        </row>
        <row r="85">
          <cell r="A85" t="str">
            <v>5325301103120044X19</v>
          </cell>
          <cell r="B85" t="str">
            <v>5325301103</v>
          </cell>
          <cell r="C85" t="str">
            <v>120044X</v>
          </cell>
          <cell r="D85" t="str">
            <v>120044X</v>
          </cell>
          <cell r="E85" t="str">
            <v>SNAP SERVER 15 GB.....*****.**</v>
          </cell>
          <cell r="F85">
            <v>19</v>
          </cell>
          <cell r="G85">
            <v>0</v>
          </cell>
          <cell r="J85">
            <v>1</v>
          </cell>
          <cell r="L85">
            <v>0</v>
          </cell>
          <cell r="O85">
            <v>0</v>
          </cell>
          <cell r="P85">
            <v>0</v>
          </cell>
        </row>
        <row r="86">
          <cell r="A86" t="str">
            <v>5325301105120046RR18</v>
          </cell>
          <cell r="B86" t="str">
            <v>5325301105</v>
          </cell>
          <cell r="C86" t="str">
            <v>120046RR</v>
          </cell>
          <cell r="D86" t="str">
            <v>120046RR</v>
          </cell>
          <cell r="E86" t="str">
            <v>SNAP SERVER 30 GB</v>
          </cell>
          <cell r="F86">
            <v>18</v>
          </cell>
          <cell r="G86">
            <v>6359</v>
          </cell>
          <cell r="J86">
            <v>1</v>
          </cell>
          <cell r="K86">
            <v>6359</v>
          </cell>
          <cell r="L86">
            <v>6359</v>
          </cell>
          <cell r="O86">
            <v>43000</v>
          </cell>
          <cell r="P86">
            <v>43000</v>
          </cell>
        </row>
        <row r="87">
          <cell r="A87" t="str">
            <v>5325301263120121X19</v>
          </cell>
          <cell r="B87" t="str">
            <v>5325301263</v>
          </cell>
          <cell r="C87" t="str">
            <v>120121X</v>
          </cell>
          <cell r="D87" t="str">
            <v>120121X</v>
          </cell>
          <cell r="E87" t="str">
            <v>SNAP 4100 POWER SUPPLY*****.**</v>
          </cell>
          <cell r="F87">
            <v>19</v>
          </cell>
          <cell r="G87">
            <v>0</v>
          </cell>
          <cell r="J87">
            <v>2</v>
          </cell>
          <cell r="L87">
            <v>0</v>
          </cell>
          <cell r="O87">
            <v>8000</v>
          </cell>
          <cell r="P87">
            <v>16000</v>
          </cell>
        </row>
        <row r="88">
          <cell r="A88" t="str">
            <v>5325301276120049R18</v>
          </cell>
          <cell r="B88" t="str">
            <v>5325301276</v>
          </cell>
          <cell r="C88" t="str">
            <v>120049R</v>
          </cell>
          <cell r="D88" t="str">
            <v>120049R</v>
          </cell>
          <cell r="E88" t="str">
            <v>SNAP SERVER 240 GB</v>
          </cell>
          <cell r="F88">
            <v>18</v>
          </cell>
          <cell r="G88">
            <v>63753.48</v>
          </cell>
          <cell r="J88">
            <v>1</v>
          </cell>
          <cell r="K88">
            <v>63753.48</v>
          </cell>
          <cell r="L88">
            <v>63753.48</v>
          </cell>
          <cell r="O88">
            <v>63000</v>
          </cell>
          <cell r="P88">
            <v>63000</v>
          </cell>
        </row>
        <row r="89">
          <cell r="A89" t="str">
            <v>6024124031R18</v>
          </cell>
          <cell r="B89" t="str">
            <v>6024</v>
          </cell>
          <cell r="C89" t="str">
            <v>124031R</v>
          </cell>
          <cell r="D89" t="str">
            <v>124031R</v>
          </cell>
          <cell r="E89" t="str">
            <v>SLR2 BARE OEM DRIVE INT</v>
          </cell>
          <cell r="F89">
            <v>18</v>
          </cell>
          <cell r="G89">
            <v>226.81</v>
          </cell>
          <cell r="J89">
            <v>5</v>
          </cell>
          <cell r="K89">
            <v>1134.05</v>
          </cell>
          <cell r="L89">
            <v>226.81</v>
          </cell>
          <cell r="O89">
            <v>3500</v>
          </cell>
          <cell r="P89">
            <v>17500</v>
          </cell>
        </row>
        <row r="90">
          <cell r="A90" t="str">
            <v>6024124031X19</v>
          </cell>
          <cell r="B90" t="str">
            <v>6024</v>
          </cell>
          <cell r="C90" t="str">
            <v>124031X</v>
          </cell>
          <cell r="D90" t="str">
            <v>124031X</v>
          </cell>
          <cell r="E90" t="str">
            <v>SLR2 BARE OEM DRIVE INT</v>
          </cell>
          <cell r="F90">
            <v>19</v>
          </cell>
          <cell r="G90">
            <v>0</v>
          </cell>
          <cell r="J90">
            <v>7</v>
          </cell>
          <cell r="L90">
            <v>0</v>
          </cell>
          <cell r="O90">
            <v>15000</v>
          </cell>
          <cell r="P90">
            <v>105000</v>
          </cell>
        </row>
        <row r="91">
          <cell r="A91" t="str">
            <v>6025124032R18</v>
          </cell>
          <cell r="B91" t="str">
            <v>6025</v>
          </cell>
          <cell r="C91" t="str">
            <v>124032R</v>
          </cell>
          <cell r="D91" t="str">
            <v>124032R</v>
          </cell>
          <cell r="E91" t="str">
            <v>SLR3 1.2GB INT TAPE DRIVE</v>
          </cell>
          <cell r="F91">
            <v>18</v>
          </cell>
          <cell r="G91">
            <v>123.18</v>
          </cell>
          <cell r="J91">
            <v>14</v>
          </cell>
          <cell r="K91">
            <v>1724.46</v>
          </cell>
          <cell r="L91">
            <v>123.18</v>
          </cell>
          <cell r="O91">
            <v>5000</v>
          </cell>
          <cell r="P91">
            <v>70000</v>
          </cell>
        </row>
        <row r="92">
          <cell r="A92" t="str">
            <v>6025124032R58</v>
          </cell>
          <cell r="B92" t="str">
            <v>6025</v>
          </cell>
          <cell r="C92" t="str">
            <v>124032R</v>
          </cell>
          <cell r="D92" t="str">
            <v>124032R</v>
          </cell>
          <cell r="E92" t="str">
            <v>SLR3 1.2GB INT TAPE DRIVE</v>
          </cell>
          <cell r="F92">
            <v>58</v>
          </cell>
          <cell r="G92">
            <v>123.18</v>
          </cell>
          <cell r="J92">
            <v>3</v>
          </cell>
          <cell r="K92">
            <v>369.52</v>
          </cell>
          <cell r="L92">
            <v>123.18</v>
          </cell>
          <cell r="O92">
            <v>5000</v>
          </cell>
          <cell r="P92">
            <v>15000</v>
          </cell>
        </row>
        <row r="93">
          <cell r="A93" t="str">
            <v>602712406418</v>
          </cell>
          <cell r="B93" t="str">
            <v>6027</v>
          </cell>
          <cell r="C93" t="str">
            <v>124064</v>
          </cell>
          <cell r="D93" t="str">
            <v>124064</v>
          </cell>
          <cell r="E93" t="str">
            <v>6027,SLR4 DC , 2.5/5GB</v>
          </cell>
          <cell r="F93">
            <v>18</v>
          </cell>
          <cell r="G93">
            <v>0.01</v>
          </cell>
          <cell r="J93">
            <v>1</v>
          </cell>
          <cell r="K93">
            <v>0.01</v>
          </cell>
          <cell r="L93">
            <v>0.01</v>
          </cell>
          <cell r="N93">
            <v>0.01</v>
          </cell>
          <cell r="O93">
            <v>5000</v>
          </cell>
          <cell r="P93">
            <v>5000</v>
          </cell>
        </row>
        <row r="94">
          <cell r="A94" t="str">
            <v>6081124001R18</v>
          </cell>
          <cell r="B94" t="str">
            <v>6081</v>
          </cell>
          <cell r="C94" t="str">
            <v>124001R</v>
          </cell>
          <cell r="D94" t="str">
            <v>124001R</v>
          </cell>
          <cell r="E94" t="str">
            <v>SLR5 4/8GB INT</v>
          </cell>
          <cell r="F94">
            <v>18</v>
          </cell>
          <cell r="G94">
            <v>959.64</v>
          </cell>
          <cell r="J94">
            <v>3</v>
          </cell>
          <cell r="K94">
            <v>2878.93</v>
          </cell>
          <cell r="L94">
            <v>959.64</v>
          </cell>
          <cell r="O94">
            <v>5000</v>
          </cell>
          <cell r="P94">
            <v>15000</v>
          </cell>
        </row>
        <row r="95">
          <cell r="A95" t="str">
            <v>6081124001X19</v>
          </cell>
          <cell r="B95" t="str">
            <v>6081</v>
          </cell>
          <cell r="C95" t="str">
            <v>124001X</v>
          </cell>
          <cell r="D95" t="str">
            <v>124001X</v>
          </cell>
          <cell r="E95" t="str">
            <v>SLR5 4/8GB INT........*****.**</v>
          </cell>
          <cell r="F95">
            <v>19</v>
          </cell>
          <cell r="G95">
            <v>0</v>
          </cell>
          <cell r="J95">
            <v>1</v>
          </cell>
          <cell r="L95">
            <v>0</v>
          </cell>
          <cell r="O95">
            <v>5000</v>
          </cell>
          <cell r="P95">
            <v>5000</v>
          </cell>
        </row>
        <row r="96">
          <cell r="A96" t="str">
            <v>6129124021R18</v>
          </cell>
          <cell r="B96" t="str">
            <v>6129</v>
          </cell>
          <cell r="C96" t="str">
            <v>124021R</v>
          </cell>
          <cell r="D96" t="str">
            <v>124021R</v>
          </cell>
          <cell r="E96" t="str">
            <v>NS8 PRO 4/8GB INT</v>
          </cell>
          <cell r="F96">
            <v>18</v>
          </cell>
          <cell r="G96">
            <v>2007.15</v>
          </cell>
          <cell r="J96">
            <v>3</v>
          </cell>
          <cell r="K96">
            <v>6021.44</v>
          </cell>
          <cell r="L96">
            <v>2007.15</v>
          </cell>
          <cell r="O96">
            <v>2000</v>
          </cell>
          <cell r="P96">
            <v>6000</v>
          </cell>
        </row>
        <row r="97">
          <cell r="A97" t="str">
            <v>6129124021X19</v>
          </cell>
          <cell r="B97" t="str">
            <v>6129</v>
          </cell>
          <cell r="C97" t="str">
            <v>124021X</v>
          </cell>
          <cell r="D97" t="str">
            <v>124021X</v>
          </cell>
          <cell r="E97" t="str">
            <v>NS8 PRO 4/8GB INT 500KB/SEC.</v>
          </cell>
          <cell r="F97">
            <v>19</v>
          </cell>
          <cell r="G97">
            <v>0</v>
          </cell>
          <cell r="J97">
            <v>1</v>
          </cell>
          <cell r="L97">
            <v>0</v>
          </cell>
          <cell r="O97">
            <v>2000</v>
          </cell>
          <cell r="P97">
            <v>2000</v>
          </cell>
        </row>
        <row r="98">
          <cell r="A98" t="str">
            <v>616 GHACASE + PS SAM13604318</v>
          </cell>
          <cell r="B98" t="str">
            <v>616 GHACASE + PS SAM</v>
          </cell>
          <cell r="C98" t="str">
            <v>136043</v>
          </cell>
          <cell r="D98" t="str">
            <v>136042</v>
          </cell>
          <cell r="E98" t="str">
            <v>616 GHACASE + PS SAMPLE</v>
          </cell>
          <cell r="F98">
            <v>18</v>
          </cell>
          <cell r="G98">
            <v>7.49</v>
          </cell>
          <cell r="J98">
            <v>24</v>
          </cell>
          <cell r="K98">
            <v>179.76</v>
          </cell>
          <cell r="L98">
            <v>7.49</v>
          </cell>
          <cell r="N98">
            <v>7.49</v>
          </cell>
          <cell r="O98">
            <v>0</v>
          </cell>
          <cell r="P98">
            <v>0</v>
          </cell>
        </row>
        <row r="99">
          <cell r="A99" t="str">
            <v>616SA136020X19</v>
          </cell>
          <cell r="B99" t="str">
            <v>616SA</v>
          </cell>
          <cell r="C99" t="str">
            <v>136020X</v>
          </cell>
          <cell r="D99" t="str">
            <v>136020X</v>
          </cell>
          <cell r="E99" t="str">
            <v>VESTA CROWN ATX CABINET 180W</v>
          </cell>
          <cell r="F99">
            <v>19</v>
          </cell>
          <cell r="G99">
            <v>0</v>
          </cell>
          <cell r="J99">
            <v>3</v>
          </cell>
          <cell r="L99">
            <v>0</v>
          </cell>
          <cell r="O99">
            <v>0</v>
          </cell>
          <cell r="P99">
            <v>0</v>
          </cell>
        </row>
        <row r="100">
          <cell r="A100" t="str">
            <v>616SA136020X59</v>
          </cell>
          <cell r="B100" t="str">
            <v>616SA</v>
          </cell>
          <cell r="C100" t="str">
            <v>136020X</v>
          </cell>
          <cell r="D100" t="str">
            <v>136020X</v>
          </cell>
          <cell r="E100" t="str">
            <v>VESTA CROWN ATX CABINET 180W</v>
          </cell>
          <cell r="F100">
            <v>59</v>
          </cell>
          <cell r="G100">
            <v>0</v>
          </cell>
          <cell r="J100">
            <v>16</v>
          </cell>
          <cell r="L100">
            <v>0</v>
          </cell>
          <cell r="O100">
            <v>0</v>
          </cell>
          <cell r="P100">
            <v>0</v>
          </cell>
        </row>
        <row r="101">
          <cell r="A101" t="str">
            <v>616SD13601918</v>
          </cell>
          <cell r="B101" t="str">
            <v>616SD</v>
          </cell>
          <cell r="C101" t="str">
            <v>136019</v>
          </cell>
          <cell r="D101" t="str">
            <v>136019</v>
          </cell>
          <cell r="E101" t="str">
            <v>VESTA CROWN BABY AT CABINET.**</v>
          </cell>
          <cell r="F101">
            <v>18</v>
          </cell>
          <cell r="G101">
            <v>724.76</v>
          </cell>
          <cell r="H101">
            <v>1</v>
          </cell>
          <cell r="I101">
            <v>724.76</v>
          </cell>
          <cell r="J101">
            <v>1</v>
          </cell>
          <cell r="K101">
            <v>724.76</v>
          </cell>
          <cell r="L101">
            <v>724.76</v>
          </cell>
          <cell r="M101">
            <v>676.11348814229245</v>
          </cell>
          <cell r="N101">
            <v>724.76</v>
          </cell>
          <cell r="O101">
            <v>720</v>
          </cell>
          <cell r="P101">
            <v>1440</v>
          </cell>
        </row>
        <row r="102">
          <cell r="A102" t="str">
            <v>616SD136019X59</v>
          </cell>
          <cell r="B102" t="str">
            <v>616SD</v>
          </cell>
          <cell r="C102" t="str">
            <v>136019X</v>
          </cell>
          <cell r="D102" t="str">
            <v>136019X</v>
          </cell>
          <cell r="E102" t="str">
            <v>VESTA CROWN BABY AT CABINET.**</v>
          </cell>
          <cell r="F102">
            <v>59</v>
          </cell>
          <cell r="G102">
            <v>0</v>
          </cell>
          <cell r="J102">
            <v>22</v>
          </cell>
          <cell r="L102">
            <v>0</v>
          </cell>
          <cell r="O102">
            <v>0</v>
          </cell>
          <cell r="P102">
            <v>0</v>
          </cell>
        </row>
        <row r="103">
          <cell r="A103" t="str">
            <v>6214124006R18</v>
          </cell>
          <cell r="B103" t="str">
            <v>6214</v>
          </cell>
          <cell r="C103" t="str">
            <v>124006R</v>
          </cell>
          <cell r="D103" t="str">
            <v>124006R</v>
          </cell>
          <cell r="E103" t="str">
            <v>SLR24  12/24GB INT,TAPE DRIVE</v>
          </cell>
          <cell r="F103">
            <v>18</v>
          </cell>
          <cell r="G103">
            <v>0.57999999999999996</v>
          </cell>
          <cell r="J103">
            <v>9</v>
          </cell>
          <cell r="K103">
            <v>5.26</v>
          </cell>
          <cell r="L103">
            <v>0.57999999999999996</v>
          </cell>
          <cell r="O103">
            <v>7000</v>
          </cell>
          <cell r="P103">
            <v>63000</v>
          </cell>
        </row>
        <row r="104">
          <cell r="A104" t="str">
            <v>6230124028R18</v>
          </cell>
          <cell r="B104" t="str">
            <v>6230</v>
          </cell>
          <cell r="C104" t="str">
            <v>124028R</v>
          </cell>
          <cell r="D104" t="str">
            <v>124028R</v>
          </cell>
          <cell r="E104" t="str">
            <v>NS20 PRO 10/20GB INT</v>
          </cell>
          <cell r="F104">
            <v>18</v>
          </cell>
          <cell r="G104">
            <v>0.59</v>
          </cell>
          <cell r="J104">
            <v>3</v>
          </cell>
          <cell r="K104">
            <v>1.76</v>
          </cell>
          <cell r="L104">
            <v>0.59</v>
          </cell>
          <cell r="O104">
            <v>4500</v>
          </cell>
          <cell r="P104">
            <v>13500</v>
          </cell>
        </row>
        <row r="105">
          <cell r="A105" t="str">
            <v>6290MC12407348</v>
          </cell>
          <cell r="B105" t="str">
            <v>6290MC</v>
          </cell>
          <cell r="C105" t="str">
            <v>124073</v>
          </cell>
          <cell r="D105" t="str">
            <v>124073</v>
          </cell>
          <cell r="E105" t="str">
            <v>SLR24, 8CART. AUTOLOADER EXT.</v>
          </cell>
          <cell r="F105">
            <v>48</v>
          </cell>
          <cell r="G105">
            <v>131552.38</v>
          </cell>
          <cell r="J105">
            <v>1</v>
          </cell>
          <cell r="K105">
            <v>131552.38</v>
          </cell>
          <cell r="L105">
            <v>131552.38</v>
          </cell>
          <cell r="N105">
            <v>131552.38</v>
          </cell>
          <cell r="O105">
            <v>131550</v>
          </cell>
          <cell r="P105">
            <v>131550</v>
          </cell>
        </row>
        <row r="106">
          <cell r="A106" t="str">
            <v>6328EL124063R18</v>
          </cell>
          <cell r="B106" t="str">
            <v>6328EL</v>
          </cell>
          <cell r="C106" t="str">
            <v>124063R</v>
          </cell>
          <cell r="D106" t="str">
            <v>124063R</v>
          </cell>
          <cell r="E106" t="str">
            <v>TR-4 4/8GB BARE DRIVE IN ATAPI</v>
          </cell>
          <cell r="F106">
            <v>18</v>
          </cell>
          <cell r="G106">
            <v>1063.3900000000001</v>
          </cell>
          <cell r="J106">
            <v>4</v>
          </cell>
          <cell r="K106">
            <v>4253.55</v>
          </cell>
          <cell r="L106">
            <v>1063.3900000000001</v>
          </cell>
          <cell r="O106">
            <v>2500</v>
          </cell>
          <cell r="P106">
            <v>10000</v>
          </cell>
        </row>
        <row r="107">
          <cell r="A107" t="str">
            <v>6328EL124063X19</v>
          </cell>
          <cell r="B107" t="str">
            <v>6328EL</v>
          </cell>
          <cell r="C107" t="str">
            <v>124063X</v>
          </cell>
          <cell r="D107" t="str">
            <v>124063X</v>
          </cell>
          <cell r="E107" t="str">
            <v>TR-4 R/8GB BARE DRIVE IN ATAPI</v>
          </cell>
          <cell r="F107">
            <v>19</v>
          </cell>
          <cell r="G107">
            <v>0</v>
          </cell>
          <cell r="H107">
            <v>1</v>
          </cell>
          <cell r="L107">
            <v>0</v>
          </cell>
          <cell r="O107">
            <v>2500</v>
          </cell>
          <cell r="P107">
            <v>2500</v>
          </cell>
        </row>
        <row r="108">
          <cell r="A108" t="str">
            <v>6332124083X19</v>
          </cell>
          <cell r="B108" t="str">
            <v>6332</v>
          </cell>
          <cell r="C108" t="str">
            <v>124083X</v>
          </cell>
          <cell r="D108" t="str">
            <v>124083X</v>
          </cell>
          <cell r="E108" t="str">
            <v>DLT 4000 INT BARE 20/40GB.*.**</v>
          </cell>
          <cell r="F108">
            <v>19</v>
          </cell>
          <cell r="G108">
            <v>0</v>
          </cell>
          <cell r="J108">
            <v>1</v>
          </cell>
          <cell r="L108">
            <v>0</v>
          </cell>
          <cell r="O108">
            <v>25000</v>
          </cell>
          <cell r="P108">
            <v>25000</v>
          </cell>
        </row>
        <row r="109">
          <cell r="A109" t="str">
            <v>6342EE124075R58</v>
          </cell>
          <cell r="B109" t="str">
            <v>6342EE</v>
          </cell>
          <cell r="C109" t="str">
            <v>124075R</v>
          </cell>
          <cell r="D109" t="str">
            <v>124075R</v>
          </cell>
          <cell r="E109" t="str">
            <v>DLT 8000 40 / 80 GB EXTERNAL</v>
          </cell>
          <cell r="F109">
            <v>58</v>
          </cell>
          <cell r="G109">
            <v>20.010000000000002</v>
          </cell>
          <cell r="H109">
            <v>1</v>
          </cell>
          <cell r="I109">
            <v>20</v>
          </cell>
          <cell r="L109">
            <v>20.010000000000002</v>
          </cell>
          <cell r="O109">
            <v>25000</v>
          </cell>
          <cell r="P109">
            <v>25000</v>
          </cell>
        </row>
        <row r="110">
          <cell r="A110" t="str">
            <v>6372124084R18</v>
          </cell>
          <cell r="B110" t="str">
            <v>6372</v>
          </cell>
          <cell r="C110" t="str">
            <v>124084R</v>
          </cell>
          <cell r="D110" t="str">
            <v>124084R</v>
          </cell>
          <cell r="E110" t="str">
            <v>DLT8000 A'LOADER,7CART,TABLETOP</v>
          </cell>
          <cell r="F110">
            <v>18</v>
          </cell>
          <cell r="G110">
            <v>23014.01</v>
          </cell>
          <cell r="J110">
            <v>1</v>
          </cell>
          <cell r="K110">
            <v>23014</v>
          </cell>
          <cell r="L110">
            <v>23014.01</v>
          </cell>
          <cell r="O110">
            <v>23000</v>
          </cell>
          <cell r="P110">
            <v>23000</v>
          </cell>
        </row>
        <row r="111">
          <cell r="A111" t="str">
            <v>64 MD SD RAM134018TN18</v>
          </cell>
          <cell r="B111" t="str">
            <v>64 MD SD RAM</v>
          </cell>
          <cell r="C111" t="str">
            <v>134018TN</v>
          </cell>
          <cell r="D111" t="str">
            <v>134018TN</v>
          </cell>
          <cell r="E111" t="str">
            <v>MX 64MB 70 PIN/PC-133</v>
          </cell>
          <cell r="F111">
            <v>18</v>
          </cell>
          <cell r="G111">
            <v>700</v>
          </cell>
          <cell r="J111">
            <v>2</v>
          </cell>
          <cell r="K111">
            <v>1400</v>
          </cell>
          <cell r="L111">
            <v>700</v>
          </cell>
          <cell r="N111">
            <v>700</v>
          </cell>
          <cell r="O111">
            <v>700</v>
          </cell>
          <cell r="P111">
            <v>1400</v>
          </cell>
        </row>
        <row r="112">
          <cell r="A112" t="str">
            <v>654-00103116279R18</v>
          </cell>
          <cell r="B112" t="str">
            <v>654-00103</v>
          </cell>
          <cell r="C112" t="str">
            <v>116279R</v>
          </cell>
          <cell r="D112" t="str">
            <v>116279R</v>
          </cell>
          <cell r="E112" t="str">
            <v>REF MS MOUSE PS/2</v>
          </cell>
          <cell r="F112">
            <v>18</v>
          </cell>
          <cell r="G112">
            <v>0.74</v>
          </cell>
          <cell r="J112">
            <v>3</v>
          </cell>
          <cell r="K112">
            <v>2.2200000000000002</v>
          </cell>
          <cell r="L112">
            <v>0.74</v>
          </cell>
          <cell r="O112">
            <v>400</v>
          </cell>
          <cell r="P112">
            <v>1200</v>
          </cell>
        </row>
        <row r="113">
          <cell r="A113" t="str">
            <v>673-00283116283R18</v>
          </cell>
          <cell r="B113" t="str">
            <v>673-00283</v>
          </cell>
          <cell r="C113" t="str">
            <v>116283R</v>
          </cell>
          <cell r="D113" t="str">
            <v>116283R</v>
          </cell>
          <cell r="E113" t="str">
            <v>REF INTELLI PS/2 MOUSE</v>
          </cell>
          <cell r="F113">
            <v>18</v>
          </cell>
          <cell r="G113">
            <v>0.68</v>
          </cell>
          <cell r="J113">
            <v>19</v>
          </cell>
          <cell r="K113">
            <v>12.91</v>
          </cell>
          <cell r="L113">
            <v>0.68</v>
          </cell>
          <cell r="O113">
            <v>400</v>
          </cell>
          <cell r="P113">
            <v>7600</v>
          </cell>
        </row>
        <row r="114">
          <cell r="A114" t="str">
            <v>673-00283116283X19</v>
          </cell>
          <cell r="B114" t="str">
            <v>673-00283</v>
          </cell>
          <cell r="C114" t="str">
            <v>116283X</v>
          </cell>
          <cell r="D114" t="str">
            <v>116283X</v>
          </cell>
          <cell r="E114" t="str">
            <v>MOUSE INTELLI PS/2</v>
          </cell>
          <cell r="F114">
            <v>19</v>
          </cell>
          <cell r="G114">
            <v>0</v>
          </cell>
          <cell r="J114">
            <v>5</v>
          </cell>
          <cell r="L114">
            <v>0</v>
          </cell>
          <cell r="O114">
            <v>0</v>
          </cell>
          <cell r="P114">
            <v>0</v>
          </cell>
        </row>
        <row r="115">
          <cell r="A115" t="str">
            <v>80525PY500512110292X19</v>
          </cell>
          <cell r="B115" t="str">
            <v>80525PY500512</v>
          </cell>
          <cell r="C115" t="str">
            <v>110292X</v>
          </cell>
          <cell r="D115" t="str">
            <v>110292X</v>
          </cell>
          <cell r="E115" t="str">
            <v>TRAY PENTIUM 500MHZ DESKTOP</v>
          </cell>
          <cell r="F115">
            <v>19</v>
          </cell>
          <cell r="G115">
            <v>0</v>
          </cell>
          <cell r="J115">
            <v>6</v>
          </cell>
          <cell r="L115">
            <v>0</v>
          </cell>
          <cell r="O115">
            <v>7500</v>
          </cell>
          <cell r="P115">
            <v>45000</v>
          </cell>
        </row>
        <row r="116">
          <cell r="A116" t="str">
            <v>80525PY550512110297X19</v>
          </cell>
          <cell r="B116" t="str">
            <v>80525PY550512</v>
          </cell>
          <cell r="C116" t="str">
            <v>110297X</v>
          </cell>
          <cell r="D116" t="str">
            <v>110297X</v>
          </cell>
          <cell r="E116" t="str">
            <v>TRAY PENTIUM III 550MHZ DESKTOP</v>
          </cell>
          <cell r="F116">
            <v>19</v>
          </cell>
          <cell r="G116">
            <v>0</v>
          </cell>
          <cell r="J116">
            <v>16</v>
          </cell>
          <cell r="L116">
            <v>0</v>
          </cell>
          <cell r="O116">
            <v>6000</v>
          </cell>
          <cell r="P116">
            <v>96000</v>
          </cell>
        </row>
        <row r="117">
          <cell r="A117" t="str">
            <v>80526PY550256110257X19</v>
          </cell>
          <cell r="B117" t="str">
            <v>80526PY550256</v>
          </cell>
          <cell r="C117" t="str">
            <v>110257X</v>
          </cell>
          <cell r="D117" t="str">
            <v>110257X</v>
          </cell>
          <cell r="E117" t="str">
            <v>TRAY PENTIUM III 550 MHZ</v>
          </cell>
          <cell r="F117">
            <v>19</v>
          </cell>
          <cell r="G117">
            <v>0</v>
          </cell>
          <cell r="J117">
            <v>1</v>
          </cell>
          <cell r="L117">
            <v>0</v>
          </cell>
          <cell r="O117">
            <v>7500</v>
          </cell>
          <cell r="P117">
            <v>7500</v>
          </cell>
        </row>
        <row r="118">
          <cell r="A118" t="str">
            <v>810EBS1 - 925119012X19</v>
          </cell>
          <cell r="B118" t="str">
            <v>810EBS1 - 925</v>
          </cell>
          <cell r="C118" t="str">
            <v>119012X</v>
          </cell>
          <cell r="D118" t="str">
            <v>119012X</v>
          </cell>
          <cell r="E118" t="str">
            <v>PC PARTNER P 700</v>
          </cell>
          <cell r="F118">
            <v>19</v>
          </cell>
          <cell r="G118">
            <v>0</v>
          </cell>
          <cell r="J118">
            <v>20</v>
          </cell>
          <cell r="L118">
            <v>0</v>
          </cell>
          <cell r="M118">
            <v>604.59459459459458</v>
          </cell>
          <cell r="N118">
            <v>4355.1099999999997</v>
          </cell>
          <cell r="O118">
            <v>1900</v>
          </cell>
          <cell r="P118">
            <v>38000</v>
          </cell>
        </row>
        <row r="119">
          <cell r="A119" t="str">
            <v>810EBS1 - 925119012X49</v>
          </cell>
          <cell r="B119" t="str">
            <v>810EBS1 - 925</v>
          </cell>
          <cell r="C119" t="str">
            <v>119012X</v>
          </cell>
          <cell r="D119" t="str">
            <v>119012X</v>
          </cell>
          <cell r="E119" t="str">
            <v>PC PARTNER P 700</v>
          </cell>
          <cell r="F119">
            <v>49</v>
          </cell>
          <cell r="G119">
            <v>0</v>
          </cell>
          <cell r="J119">
            <v>7</v>
          </cell>
          <cell r="L119">
            <v>0</v>
          </cell>
          <cell r="M119">
            <v>604.59459459459458</v>
          </cell>
          <cell r="N119">
            <v>4355.1099999999997</v>
          </cell>
          <cell r="O119">
            <v>1900</v>
          </cell>
          <cell r="P119">
            <v>13300</v>
          </cell>
        </row>
        <row r="120">
          <cell r="A120" t="str">
            <v>810EBS1 - 925119012X59</v>
          </cell>
          <cell r="B120" t="str">
            <v>810EBS1 - 925</v>
          </cell>
          <cell r="C120" t="str">
            <v>119012X</v>
          </cell>
          <cell r="D120" t="str">
            <v>119012X</v>
          </cell>
          <cell r="E120" t="str">
            <v>PC PARTNER P 700</v>
          </cell>
          <cell r="F120">
            <v>59</v>
          </cell>
          <cell r="G120">
            <v>0</v>
          </cell>
          <cell r="J120">
            <v>1</v>
          </cell>
          <cell r="L120">
            <v>0</v>
          </cell>
          <cell r="M120">
            <v>604.59459459459458</v>
          </cell>
          <cell r="N120">
            <v>4355.1099999999997</v>
          </cell>
          <cell r="O120">
            <v>1900</v>
          </cell>
          <cell r="P120">
            <v>1900</v>
          </cell>
        </row>
        <row r="121">
          <cell r="A121" t="str">
            <v>810EBS1-92511901218</v>
          </cell>
          <cell r="B121" t="str">
            <v>810EBS1-925</v>
          </cell>
          <cell r="C121" t="str">
            <v>119012</v>
          </cell>
          <cell r="D121" t="str">
            <v>119012</v>
          </cell>
          <cell r="E121" t="str">
            <v>PC PARTNER P 700</v>
          </cell>
          <cell r="F121">
            <v>18</v>
          </cell>
          <cell r="G121">
            <v>4355.1099999999997</v>
          </cell>
          <cell r="J121">
            <v>7</v>
          </cell>
          <cell r="K121">
            <v>30485.74</v>
          </cell>
          <cell r="L121">
            <v>4355.1099999999997</v>
          </cell>
          <cell r="M121">
            <v>2491.546511627907</v>
          </cell>
          <cell r="N121">
            <v>4355.1099999999997</v>
          </cell>
          <cell r="O121">
            <v>1900</v>
          </cell>
          <cell r="P121">
            <v>13300</v>
          </cell>
        </row>
        <row r="122">
          <cell r="A122" t="str">
            <v>810EBS1-92511901248</v>
          </cell>
          <cell r="B122" t="str">
            <v>810EBS1-925</v>
          </cell>
          <cell r="C122" t="str">
            <v>119012</v>
          </cell>
          <cell r="D122" t="str">
            <v>119012</v>
          </cell>
          <cell r="E122" t="str">
            <v>PC PARTNER P 700</v>
          </cell>
          <cell r="F122">
            <v>48</v>
          </cell>
          <cell r="G122">
            <v>4355.1099999999997</v>
          </cell>
          <cell r="J122">
            <v>2</v>
          </cell>
          <cell r="K122">
            <v>8710.2099999999991</v>
          </cell>
          <cell r="L122">
            <v>4355.1099999999997</v>
          </cell>
          <cell r="M122">
            <v>2491.546511627907</v>
          </cell>
          <cell r="N122">
            <v>4355.1099999999997</v>
          </cell>
          <cell r="O122">
            <v>1900</v>
          </cell>
          <cell r="P122">
            <v>3800</v>
          </cell>
        </row>
        <row r="123">
          <cell r="A123" t="str">
            <v>810EBS1-92511901258</v>
          </cell>
          <cell r="B123" t="str">
            <v>810EBS1-925</v>
          </cell>
          <cell r="C123" t="str">
            <v>119012</v>
          </cell>
          <cell r="D123" t="str">
            <v>119012</v>
          </cell>
          <cell r="E123" t="str">
            <v>PC PARTNER P 700</v>
          </cell>
          <cell r="F123">
            <v>58</v>
          </cell>
          <cell r="G123">
            <v>4355.1099999999997</v>
          </cell>
          <cell r="H123">
            <v>3</v>
          </cell>
          <cell r="I123">
            <v>13065.31</v>
          </cell>
          <cell r="L123">
            <v>4355.1099999999997</v>
          </cell>
          <cell r="M123">
            <v>2491.546511627907</v>
          </cell>
          <cell r="N123">
            <v>4355.1099999999997</v>
          </cell>
          <cell r="O123">
            <v>1900</v>
          </cell>
          <cell r="P123">
            <v>5700</v>
          </cell>
        </row>
        <row r="124">
          <cell r="A124" t="str">
            <v>810EBS1-92511901268</v>
          </cell>
          <cell r="B124" t="str">
            <v>810EBS1-925</v>
          </cell>
          <cell r="C124" t="str">
            <v>119012</v>
          </cell>
          <cell r="D124" t="str">
            <v>119012</v>
          </cell>
          <cell r="E124" t="str">
            <v>PC PARTNER P 700</v>
          </cell>
          <cell r="F124">
            <v>68</v>
          </cell>
          <cell r="G124">
            <v>4355.1099999999997</v>
          </cell>
          <cell r="J124">
            <v>2</v>
          </cell>
          <cell r="K124">
            <v>8710.2099999999991</v>
          </cell>
          <cell r="L124">
            <v>4355.1099999999997</v>
          </cell>
          <cell r="M124">
            <v>2491.546511627907</v>
          </cell>
          <cell r="N124">
            <v>4355.1099999999997</v>
          </cell>
          <cell r="O124">
            <v>1900</v>
          </cell>
          <cell r="P124">
            <v>3800</v>
          </cell>
        </row>
        <row r="125">
          <cell r="A125" t="str">
            <v>810EBS1-925119012R58</v>
          </cell>
          <cell r="B125" t="str">
            <v>810EBS1-925</v>
          </cell>
          <cell r="C125" t="str">
            <v>119012R</v>
          </cell>
          <cell r="D125" t="str">
            <v>119012R</v>
          </cell>
          <cell r="E125" t="str">
            <v>PC PARTNER P 700</v>
          </cell>
          <cell r="F125">
            <v>58</v>
          </cell>
          <cell r="G125">
            <v>85.58</v>
          </cell>
          <cell r="J125">
            <v>5</v>
          </cell>
          <cell r="K125">
            <v>427.89</v>
          </cell>
          <cell r="L125">
            <v>85.58</v>
          </cell>
          <cell r="M125">
            <v>1772.7272727272727</v>
          </cell>
          <cell r="N125">
            <v>4355.1099999999997</v>
          </cell>
          <cell r="O125">
            <v>1900</v>
          </cell>
          <cell r="P125">
            <v>9500</v>
          </cell>
        </row>
        <row r="126">
          <cell r="A126" t="str">
            <v>810EBS1-925119012R68</v>
          </cell>
          <cell r="B126" t="str">
            <v>810EBS1-925</v>
          </cell>
          <cell r="C126" t="str">
            <v>119012R</v>
          </cell>
          <cell r="D126" t="str">
            <v>119012R</v>
          </cell>
          <cell r="E126" t="str">
            <v>PC PARTNER P 700</v>
          </cell>
          <cell r="F126">
            <v>68</v>
          </cell>
          <cell r="G126">
            <v>85.58</v>
          </cell>
          <cell r="J126">
            <v>8</v>
          </cell>
          <cell r="K126">
            <v>684.63</v>
          </cell>
          <cell r="L126">
            <v>85.58</v>
          </cell>
          <cell r="M126">
            <v>1772.7272727272727</v>
          </cell>
          <cell r="N126">
            <v>4355.1099999999997</v>
          </cell>
          <cell r="O126">
            <v>1900</v>
          </cell>
          <cell r="P126">
            <v>15200</v>
          </cell>
        </row>
        <row r="127">
          <cell r="A127" t="str">
            <v>810EBS3 - C924119019X19</v>
          </cell>
          <cell r="B127" t="str">
            <v>810EBS3 - C924</v>
          </cell>
          <cell r="C127" t="str">
            <v>119019X</v>
          </cell>
          <cell r="D127" t="str">
            <v>119019X</v>
          </cell>
          <cell r="E127" t="str">
            <v>INTEL 810E CHIPSET SOCKET 370</v>
          </cell>
          <cell r="F127">
            <v>19</v>
          </cell>
          <cell r="G127">
            <v>0</v>
          </cell>
          <cell r="H127">
            <v>1</v>
          </cell>
          <cell r="J127">
            <v>201</v>
          </cell>
          <cell r="L127">
            <v>0</v>
          </cell>
          <cell r="M127">
            <v>1000</v>
          </cell>
          <cell r="O127">
            <v>3500</v>
          </cell>
          <cell r="P127">
            <v>707000</v>
          </cell>
        </row>
        <row r="128">
          <cell r="A128" t="str">
            <v>810EBS3 - C924119019X49</v>
          </cell>
          <cell r="B128" t="str">
            <v>810EBS3 - C924</v>
          </cell>
          <cell r="C128" t="str">
            <v>119019X</v>
          </cell>
          <cell r="D128" t="str">
            <v>119019X</v>
          </cell>
          <cell r="E128" t="str">
            <v>INTEL 810E CHIPSET SOCKET 370</v>
          </cell>
          <cell r="F128">
            <v>49</v>
          </cell>
          <cell r="G128">
            <v>0</v>
          </cell>
          <cell r="J128">
            <v>3</v>
          </cell>
          <cell r="L128">
            <v>0</v>
          </cell>
          <cell r="M128">
            <v>1000</v>
          </cell>
          <cell r="O128">
            <v>3500</v>
          </cell>
          <cell r="P128">
            <v>10500</v>
          </cell>
        </row>
        <row r="129">
          <cell r="A129" t="str">
            <v>810EBS3 - C924119019X39</v>
          </cell>
          <cell r="B129" t="str">
            <v>810EBS3 - C924</v>
          </cell>
          <cell r="C129" t="str">
            <v>119019X</v>
          </cell>
          <cell r="D129" t="str">
            <v>119019X</v>
          </cell>
          <cell r="E129" t="str">
            <v>INTEL 810E CHIPSET SOCKET 370</v>
          </cell>
          <cell r="F129">
            <v>39</v>
          </cell>
          <cell r="G129">
            <v>0</v>
          </cell>
          <cell r="L129">
            <v>0</v>
          </cell>
          <cell r="O129">
            <v>3500</v>
          </cell>
          <cell r="P129">
            <v>0</v>
          </cell>
        </row>
        <row r="130">
          <cell r="A130" t="str">
            <v>810EBS3-C924119019R18</v>
          </cell>
          <cell r="B130" t="str">
            <v>810EBS3-C924</v>
          </cell>
          <cell r="C130" t="str">
            <v>119019R</v>
          </cell>
          <cell r="D130" t="str">
            <v>119019R</v>
          </cell>
          <cell r="E130" t="str">
            <v>INTEL 810E CHIPSET SOCKET 370*</v>
          </cell>
          <cell r="F130">
            <v>18</v>
          </cell>
          <cell r="G130">
            <v>179.28</v>
          </cell>
          <cell r="H130">
            <v>1</v>
          </cell>
          <cell r="I130">
            <v>179.27</v>
          </cell>
          <cell r="J130">
            <v>121</v>
          </cell>
          <cell r="K130">
            <v>21692.69</v>
          </cell>
          <cell r="L130">
            <v>179.28</v>
          </cell>
          <cell r="O130">
            <v>2500</v>
          </cell>
          <cell r="P130">
            <v>305000</v>
          </cell>
        </row>
        <row r="131">
          <cell r="A131" t="str">
            <v>810EBS3-C924119019R48</v>
          </cell>
          <cell r="B131" t="str">
            <v>810EBS3-C924</v>
          </cell>
          <cell r="C131" t="str">
            <v>119019R</v>
          </cell>
          <cell r="D131" t="str">
            <v>119019R</v>
          </cell>
          <cell r="E131" t="str">
            <v>INTEL 810E CHIPSET SOCKET 370*</v>
          </cell>
          <cell r="F131">
            <v>48</v>
          </cell>
          <cell r="G131">
            <v>179.28</v>
          </cell>
          <cell r="J131">
            <v>37</v>
          </cell>
          <cell r="K131">
            <v>6633.3</v>
          </cell>
          <cell r="L131">
            <v>179.28</v>
          </cell>
          <cell r="O131">
            <v>2500</v>
          </cell>
          <cell r="P131">
            <v>92500</v>
          </cell>
        </row>
        <row r="132">
          <cell r="A132" t="str">
            <v>810EBS3-C924119019R58</v>
          </cell>
          <cell r="B132" t="str">
            <v>810EBS3-C924</v>
          </cell>
          <cell r="C132" t="str">
            <v>119019R</v>
          </cell>
          <cell r="D132" t="str">
            <v>119019R</v>
          </cell>
          <cell r="E132" t="str">
            <v>INTEL 810E CHIPSET SOCKET 370*</v>
          </cell>
          <cell r="F132">
            <v>58</v>
          </cell>
          <cell r="G132">
            <v>179.28</v>
          </cell>
          <cell r="J132">
            <v>39</v>
          </cell>
          <cell r="K132">
            <v>6991.86</v>
          </cell>
          <cell r="L132">
            <v>179.28</v>
          </cell>
          <cell r="O132">
            <v>2500</v>
          </cell>
          <cell r="P132">
            <v>97500</v>
          </cell>
        </row>
        <row r="133">
          <cell r="A133" t="str">
            <v>810EBS3-C924119019R68</v>
          </cell>
          <cell r="B133" t="str">
            <v>810EBS3-C924</v>
          </cell>
          <cell r="C133" t="str">
            <v>119019R</v>
          </cell>
          <cell r="D133" t="str">
            <v>119019R</v>
          </cell>
          <cell r="E133" t="str">
            <v>INTEL 810E CHIPSET SOCKET 370*</v>
          </cell>
          <cell r="F133">
            <v>68</v>
          </cell>
          <cell r="G133">
            <v>179.28</v>
          </cell>
          <cell r="J133">
            <v>20</v>
          </cell>
          <cell r="K133">
            <v>3585.57</v>
          </cell>
          <cell r="L133">
            <v>179.28</v>
          </cell>
          <cell r="O133">
            <v>2500</v>
          </cell>
          <cell r="P133">
            <v>50000</v>
          </cell>
        </row>
        <row r="134">
          <cell r="A134" t="str">
            <v>92657116281R18</v>
          </cell>
          <cell r="B134" t="str">
            <v>92657</v>
          </cell>
          <cell r="C134" t="str">
            <v>116281R</v>
          </cell>
          <cell r="D134" t="str">
            <v>116281R</v>
          </cell>
          <cell r="E134" t="str">
            <v>REF INTELLI MOUSE</v>
          </cell>
          <cell r="F134">
            <v>18</v>
          </cell>
          <cell r="G134">
            <v>0.01</v>
          </cell>
          <cell r="J134">
            <v>5</v>
          </cell>
          <cell r="K134">
            <v>0.05</v>
          </cell>
          <cell r="L134">
            <v>0.01</v>
          </cell>
          <cell r="O134">
            <v>400</v>
          </cell>
          <cell r="P134">
            <v>2000</v>
          </cell>
        </row>
        <row r="135">
          <cell r="A135" t="str">
            <v>959 4HACASE + PS SAM13604218</v>
          </cell>
          <cell r="B135" t="str">
            <v>959 4HACASE + PS SAM</v>
          </cell>
          <cell r="C135" t="str">
            <v>136042</v>
          </cell>
          <cell r="D135" t="str">
            <v>136041</v>
          </cell>
          <cell r="E135" t="str">
            <v>959 4HACASE + PS SAMPLE</v>
          </cell>
          <cell r="F135">
            <v>18</v>
          </cell>
          <cell r="G135">
            <v>137</v>
          </cell>
          <cell r="J135">
            <v>1</v>
          </cell>
          <cell r="K135">
            <v>137</v>
          </cell>
          <cell r="L135">
            <v>137</v>
          </cell>
          <cell r="N135">
            <v>137</v>
          </cell>
          <cell r="O135">
            <v>0</v>
          </cell>
          <cell r="P135">
            <v>0</v>
          </cell>
        </row>
        <row r="136">
          <cell r="A136" t="str">
            <v>959SA13601818</v>
          </cell>
          <cell r="B136" t="str">
            <v>959SA</v>
          </cell>
          <cell r="C136" t="str">
            <v>136018</v>
          </cell>
          <cell r="D136" t="str">
            <v>136018</v>
          </cell>
          <cell r="E136" t="str">
            <v>VESTA ROBOT ATX CABINET ***.**</v>
          </cell>
          <cell r="F136">
            <v>18</v>
          </cell>
          <cell r="G136">
            <v>921.36</v>
          </cell>
          <cell r="H136">
            <v>2</v>
          </cell>
          <cell r="I136">
            <v>1842.72</v>
          </cell>
          <cell r="J136">
            <v>1</v>
          </cell>
          <cell r="K136">
            <v>921.36</v>
          </cell>
          <cell r="L136">
            <v>921.36</v>
          </cell>
          <cell r="M136">
            <v>996.0920052268948</v>
          </cell>
          <cell r="N136">
            <v>921.36</v>
          </cell>
          <cell r="O136">
            <v>900</v>
          </cell>
          <cell r="P136">
            <v>2700</v>
          </cell>
        </row>
        <row r="137">
          <cell r="A137" t="str">
            <v>959SA13601859</v>
          </cell>
          <cell r="B137" t="str">
            <v>959SA</v>
          </cell>
          <cell r="C137" t="str">
            <v>136018</v>
          </cell>
          <cell r="D137" t="str">
            <v>136018</v>
          </cell>
          <cell r="E137" t="str">
            <v>VESTA ROBOT ATX CABINET ***.**</v>
          </cell>
          <cell r="F137">
            <v>59</v>
          </cell>
          <cell r="G137">
            <v>921.36</v>
          </cell>
          <cell r="J137">
            <v>7</v>
          </cell>
          <cell r="K137">
            <v>6449.52</v>
          </cell>
          <cell r="L137">
            <v>921.36</v>
          </cell>
          <cell r="M137">
            <v>996.0920052268948</v>
          </cell>
          <cell r="N137">
            <v>921.36</v>
          </cell>
          <cell r="O137">
            <v>900</v>
          </cell>
          <cell r="P137">
            <v>6300</v>
          </cell>
        </row>
        <row r="138">
          <cell r="A138" t="str">
            <v>959SA136018X19</v>
          </cell>
          <cell r="B138" t="str">
            <v>959SA</v>
          </cell>
          <cell r="C138" t="str">
            <v>136018X</v>
          </cell>
          <cell r="D138" t="str">
            <v>136018X</v>
          </cell>
          <cell r="E138" t="str">
            <v>VESTA ROBOT ATX CABINET ***.**</v>
          </cell>
          <cell r="F138">
            <v>19</v>
          </cell>
          <cell r="G138">
            <v>0</v>
          </cell>
          <cell r="J138">
            <v>16</v>
          </cell>
          <cell r="L138">
            <v>0</v>
          </cell>
          <cell r="M138">
            <v>250</v>
          </cell>
          <cell r="N138">
            <v>921.36</v>
          </cell>
          <cell r="O138">
            <v>0</v>
          </cell>
          <cell r="P138">
            <v>0</v>
          </cell>
        </row>
        <row r="139">
          <cell r="A139" t="str">
            <v>959SA136018X59</v>
          </cell>
          <cell r="B139" t="str">
            <v>959SA</v>
          </cell>
          <cell r="C139" t="str">
            <v>136018X</v>
          </cell>
          <cell r="D139" t="str">
            <v>136018X</v>
          </cell>
          <cell r="E139" t="str">
            <v>VESTA ROBOT ATX CABINET ***.**</v>
          </cell>
          <cell r="F139">
            <v>59</v>
          </cell>
          <cell r="G139">
            <v>0</v>
          </cell>
          <cell r="J139">
            <v>6</v>
          </cell>
          <cell r="L139">
            <v>0</v>
          </cell>
          <cell r="M139">
            <v>250</v>
          </cell>
          <cell r="N139">
            <v>921.36</v>
          </cell>
          <cell r="O139">
            <v>0</v>
          </cell>
          <cell r="P139">
            <v>0</v>
          </cell>
        </row>
        <row r="140">
          <cell r="A140" t="str">
            <v>959SD13601718</v>
          </cell>
          <cell r="B140" t="str">
            <v>959SD</v>
          </cell>
          <cell r="C140" t="str">
            <v>136017</v>
          </cell>
          <cell r="D140" t="str">
            <v>136017</v>
          </cell>
          <cell r="E140" t="str">
            <v>VESTA ROBOT BABY AT CABINET 150</v>
          </cell>
          <cell r="F140">
            <v>18</v>
          </cell>
          <cell r="G140">
            <v>693.26</v>
          </cell>
          <cell r="J140">
            <v>1</v>
          </cell>
          <cell r="K140">
            <v>693.26</v>
          </cell>
          <cell r="L140">
            <v>693.26</v>
          </cell>
          <cell r="M140">
            <v>666.79782847718525</v>
          </cell>
          <cell r="N140">
            <v>693.26</v>
          </cell>
          <cell r="O140">
            <v>690</v>
          </cell>
          <cell r="P140">
            <v>690</v>
          </cell>
        </row>
        <row r="141">
          <cell r="A141" t="str">
            <v>959SD136017X19</v>
          </cell>
          <cell r="B141" t="str">
            <v>959SD</v>
          </cell>
          <cell r="C141" t="str">
            <v>136017X</v>
          </cell>
          <cell r="D141" t="str">
            <v>136017X</v>
          </cell>
          <cell r="E141" t="str">
            <v>VESTA ROBOT BABY AT CABINET.**</v>
          </cell>
          <cell r="F141">
            <v>19</v>
          </cell>
          <cell r="G141">
            <v>0</v>
          </cell>
          <cell r="J141">
            <v>2</v>
          </cell>
          <cell r="L141">
            <v>0</v>
          </cell>
          <cell r="M141">
            <v>150</v>
          </cell>
          <cell r="N141">
            <v>250</v>
          </cell>
          <cell r="O141">
            <v>0</v>
          </cell>
          <cell r="P141">
            <v>0</v>
          </cell>
        </row>
        <row r="142">
          <cell r="A142" t="str">
            <v>959SD136017X59</v>
          </cell>
          <cell r="B142" t="str">
            <v>959SD</v>
          </cell>
          <cell r="C142" t="str">
            <v>136017X</v>
          </cell>
          <cell r="D142" t="str">
            <v>136017X</v>
          </cell>
          <cell r="E142" t="str">
            <v>VESTA ROBOT BABY AT CABINET.**</v>
          </cell>
          <cell r="F142">
            <v>59</v>
          </cell>
          <cell r="G142">
            <v>0</v>
          </cell>
          <cell r="J142">
            <v>4</v>
          </cell>
          <cell r="L142">
            <v>0</v>
          </cell>
          <cell r="M142">
            <v>150</v>
          </cell>
          <cell r="N142">
            <v>250</v>
          </cell>
          <cell r="O142">
            <v>0</v>
          </cell>
          <cell r="P142">
            <v>0</v>
          </cell>
        </row>
        <row r="143">
          <cell r="A143" t="str">
            <v>959SD136017X69</v>
          </cell>
          <cell r="B143" t="str">
            <v>959SD</v>
          </cell>
          <cell r="C143" t="str">
            <v>136017X</v>
          </cell>
          <cell r="D143" t="str">
            <v>136017X</v>
          </cell>
          <cell r="E143" t="str">
            <v>VESTA ROBOT BABY AT CABINET.**</v>
          </cell>
          <cell r="F143">
            <v>69</v>
          </cell>
          <cell r="G143">
            <v>0</v>
          </cell>
          <cell r="J143">
            <v>1</v>
          </cell>
          <cell r="L143">
            <v>0</v>
          </cell>
          <cell r="M143">
            <v>150</v>
          </cell>
          <cell r="N143">
            <v>250</v>
          </cell>
          <cell r="O143">
            <v>0</v>
          </cell>
          <cell r="P143">
            <v>0</v>
          </cell>
        </row>
        <row r="144">
          <cell r="A144" t="str">
            <v>A-100121030R18</v>
          </cell>
          <cell r="B144" t="str">
            <v>A-100</v>
          </cell>
          <cell r="C144" t="str">
            <v>121030R</v>
          </cell>
          <cell r="D144" t="str">
            <v>121030R</v>
          </cell>
          <cell r="E144" t="str">
            <v>SAMSUNG MOBILE A-100</v>
          </cell>
          <cell r="F144">
            <v>18</v>
          </cell>
          <cell r="G144">
            <v>0.01</v>
          </cell>
          <cell r="J144">
            <v>1</v>
          </cell>
          <cell r="K144">
            <v>0.01</v>
          </cell>
          <cell r="L144">
            <v>0.01</v>
          </cell>
          <cell r="O144">
            <v>12000</v>
          </cell>
          <cell r="P144">
            <v>12000</v>
          </cell>
        </row>
        <row r="145">
          <cell r="A145" t="str">
            <v>A23-00022116269MU48</v>
          </cell>
          <cell r="B145" t="str">
            <v>A23-00022</v>
          </cell>
          <cell r="C145" t="str">
            <v>116269MU</v>
          </cell>
          <cell r="D145" t="str">
            <v>116269MU</v>
          </cell>
          <cell r="E145" t="str">
            <v>WINDOWS 95 V2.0 SINGLE</v>
          </cell>
          <cell r="F145">
            <v>48</v>
          </cell>
          <cell r="G145">
            <v>3457.45</v>
          </cell>
          <cell r="J145">
            <v>2</v>
          </cell>
          <cell r="K145">
            <v>6914.9</v>
          </cell>
          <cell r="L145">
            <v>3457.45</v>
          </cell>
          <cell r="N145">
            <v>3457.45</v>
          </cell>
          <cell r="O145">
            <v>0</v>
          </cell>
          <cell r="P145">
            <v>0</v>
          </cell>
        </row>
        <row r="146">
          <cell r="A146" t="str">
            <v>A50-00029116284R18</v>
          </cell>
          <cell r="B146" t="str">
            <v>A50-00029</v>
          </cell>
          <cell r="C146" t="str">
            <v>116284R</v>
          </cell>
          <cell r="D146" t="str">
            <v>116284R</v>
          </cell>
          <cell r="E146" t="str">
            <v>MICROSOFT TREKKER MOUSE PS/2</v>
          </cell>
          <cell r="F146">
            <v>18</v>
          </cell>
          <cell r="G146">
            <v>6.01</v>
          </cell>
          <cell r="J146">
            <v>3</v>
          </cell>
          <cell r="K146">
            <v>18.03</v>
          </cell>
          <cell r="L146">
            <v>6.01</v>
          </cell>
          <cell r="O146">
            <v>200</v>
          </cell>
          <cell r="P146">
            <v>600</v>
          </cell>
        </row>
        <row r="147">
          <cell r="A147" t="str">
            <v>A50-00029116284R48</v>
          </cell>
          <cell r="B147" t="str">
            <v>A50-00029</v>
          </cell>
          <cell r="C147" t="str">
            <v>116284R</v>
          </cell>
          <cell r="D147" t="str">
            <v>116284R</v>
          </cell>
          <cell r="E147" t="str">
            <v>MICROSOFT TREKKER MOUSE PS/2</v>
          </cell>
          <cell r="F147">
            <v>48</v>
          </cell>
          <cell r="G147">
            <v>6.01</v>
          </cell>
          <cell r="J147">
            <v>1</v>
          </cell>
          <cell r="K147">
            <v>6.01</v>
          </cell>
          <cell r="L147">
            <v>6.01</v>
          </cell>
          <cell r="O147">
            <v>200</v>
          </cell>
          <cell r="P147">
            <v>200</v>
          </cell>
        </row>
        <row r="148">
          <cell r="A148" t="str">
            <v>A50-00029116284X19</v>
          </cell>
          <cell r="B148" t="str">
            <v>A50-00029</v>
          </cell>
          <cell r="C148" t="str">
            <v>116284X</v>
          </cell>
          <cell r="D148" t="str">
            <v>116284X</v>
          </cell>
          <cell r="E148" t="str">
            <v>MICROSOFT TREKKER MOUSE PS/2</v>
          </cell>
          <cell r="F148">
            <v>19</v>
          </cell>
          <cell r="G148">
            <v>0</v>
          </cell>
          <cell r="J148">
            <v>10</v>
          </cell>
          <cell r="L148">
            <v>0</v>
          </cell>
          <cell r="O148">
            <v>200</v>
          </cell>
          <cell r="P148">
            <v>2000</v>
          </cell>
        </row>
        <row r="149">
          <cell r="A149" t="str">
            <v>A50-00029116284X48</v>
          </cell>
          <cell r="B149" t="str">
            <v>A50-00029</v>
          </cell>
          <cell r="C149" t="str">
            <v>116284X</v>
          </cell>
          <cell r="D149" t="str">
            <v>116284X</v>
          </cell>
          <cell r="E149" t="str">
            <v>MICROSOFT TREKKER MOUSE PS/2</v>
          </cell>
          <cell r="F149">
            <v>48</v>
          </cell>
          <cell r="G149">
            <v>0</v>
          </cell>
          <cell r="J149">
            <v>2</v>
          </cell>
          <cell r="L149">
            <v>0</v>
          </cell>
          <cell r="O149">
            <v>200</v>
          </cell>
          <cell r="P149">
            <v>400</v>
          </cell>
        </row>
        <row r="150">
          <cell r="A150" t="str">
            <v>A97-00062116272X19</v>
          </cell>
          <cell r="B150" t="str">
            <v>A97-00062</v>
          </cell>
          <cell r="C150" t="str">
            <v>116272X</v>
          </cell>
          <cell r="D150" t="str">
            <v>116272X</v>
          </cell>
          <cell r="E150" t="str">
            <v>VALUE PACK 104 KEYS ERGO WITH*</v>
          </cell>
          <cell r="F150">
            <v>19</v>
          </cell>
          <cell r="G150">
            <v>0</v>
          </cell>
          <cell r="J150">
            <v>3</v>
          </cell>
          <cell r="L150">
            <v>0</v>
          </cell>
          <cell r="O150">
            <v>1200</v>
          </cell>
          <cell r="P150">
            <v>3600</v>
          </cell>
        </row>
        <row r="151">
          <cell r="A151" t="str">
            <v>A97-00062116282R18</v>
          </cell>
          <cell r="B151" t="str">
            <v>A97-00062</v>
          </cell>
          <cell r="C151" t="str">
            <v>116282R</v>
          </cell>
          <cell r="D151" t="str">
            <v>116282R</v>
          </cell>
          <cell r="E151" t="str">
            <v>ELITE KEYBOARD</v>
          </cell>
          <cell r="F151">
            <v>18</v>
          </cell>
          <cell r="G151">
            <v>0.01</v>
          </cell>
          <cell r="J151">
            <v>17</v>
          </cell>
          <cell r="K151">
            <v>0.12</v>
          </cell>
          <cell r="L151">
            <v>0.01</v>
          </cell>
          <cell r="O151">
            <v>750</v>
          </cell>
          <cell r="P151">
            <v>12750</v>
          </cell>
        </row>
        <row r="152">
          <cell r="A152" t="str">
            <v>A97-00062116282X19</v>
          </cell>
          <cell r="B152" t="str">
            <v>A97-00062</v>
          </cell>
          <cell r="C152" t="str">
            <v>116282X</v>
          </cell>
          <cell r="D152" t="str">
            <v>116282X</v>
          </cell>
          <cell r="E152" t="str">
            <v>ELITE KEYBOARD</v>
          </cell>
          <cell r="F152">
            <v>19</v>
          </cell>
          <cell r="G152">
            <v>0</v>
          </cell>
          <cell r="J152">
            <v>5</v>
          </cell>
          <cell r="L152">
            <v>0</v>
          </cell>
          <cell r="O152">
            <v>1200</v>
          </cell>
          <cell r="P152">
            <v>6000</v>
          </cell>
        </row>
        <row r="153">
          <cell r="A153" t="str">
            <v>ADAPTER - FREE100227R18</v>
          </cell>
          <cell r="B153" t="str">
            <v>ADAPTER - FREE</v>
          </cell>
          <cell r="C153" t="str">
            <v>100227R</v>
          </cell>
          <cell r="D153" t="str">
            <v>100227R</v>
          </cell>
          <cell r="E153" t="str">
            <v>ADAPTER -FREE........*****.**.</v>
          </cell>
          <cell r="F153">
            <v>18</v>
          </cell>
          <cell r="G153">
            <v>0.47</v>
          </cell>
          <cell r="J153">
            <v>1</v>
          </cell>
          <cell r="K153">
            <v>0.47</v>
          </cell>
          <cell r="L153">
            <v>0.47</v>
          </cell>
          <cell r="O153">
            <v>0</v>
          </cell>
          <cell r="P153">
            <v>0</v>
          </cell>
        </row>
        <row r="154">
          <cell r="A154" t="str">
            <v>AL1912C01118008R18</v>
          </cell>
          <cell r="B154" t="str">
            <v>AL1912C01</v>
          </cell>
          <cell r="C154" t="str">
            <v>118008R</v>
          </cell>
          <cell r="D154" t="str">
            <v>118008R</v>
          </cell>
          <cell r="E154" t="str">
            <v>BS310 24T SWITCH 24X10BT 1X10</v>
          </cell>
          <cell r="F154">
            <v>18</v>
          </cell>
          <cell r="G154">
            <v>0</v>
          </cell>
          <cell r="J154">
            <v>2</v>
          </cell>
          <cell r="L154">
            <v>0</v>
          </cell>
          <cell r="O154">
            <v>25000</v>
          </cell>
          <cell r="P154">
            <v>50000</v>
          </cell>
        </row>
        <row r="155">
          <cell r="A155" t="str">
            <v>AL2012C14118033RR18</v>
          </cell>
          <cell r="B155" t="str">
            <v>AL2012C14</v>
          </cell>
          <cell r="C155" t="str">
            <v>118033RR</v>
          </cell>
          <cell r="D155" t="str">
            <v>118033RR</v>
          </cell>
          <cell r="E155" t="str">
            <v>BAYSTACK 450 24T 10/100 SWITCH</v>
          </cell>
          <cell r="F155">
            <v>18</v>
          </cell>
          <cell r="G155">
            <v>0.65</v>
          </cell>
          <cell r="J155">
            <v>3</v>
          </cell>
          <cell r="K155">
            <v>1.95</v>
          </cell>
          <cell r="L155">
            <v>0.65</v>
          </cell>
          <cell r="O155">
            <v>40000</v>
          </cell>
          <cell r="P155">
            <v>120000</v>
          </cell>
        </row>
        <row r="156">
          <cell r="A156" t="str">
            <v>AL2012C14118033X19</v>
          </cell>
          <cell r="B156" t="str">
            <v>AL2012C14</v>
          </cell>
          <cell r="C156" t="str">
            <v>118033X</v>
          </cell>
          <cell r="D156" t="str">
            <v>118033X</v>
          </cell>
          <cell r="E156" t="str">
            <v>BAYSTACK 450 24T 10/100 SWITCH</v>
          </cell>
          <cell r="F156">
            <v>19</v>
          </cell>
          <cell r="G156">
            <v>0</v>
          </cell>
          <cell r="J156">
            <v>2</v>
          </cell>
          <cell r="L156">
            <v>0</v>
          </cell>
          <cell r="O156">
            <v>60000</v>
          </cell>
          <cell r="P156">
            <v>120000</v>
          </cell>
        </row>
        <row r="157">
          <cell r="A157" t="str">
            <v>AL2033010118026R18</v>
          </cell>
          <cell r="B157" t="str">
            <v>AL2033010</v>
          </cell>
          <cell r="C157" t="str">
            <v>118026R</v>
          </cell>
          <cell r="D157" t="str">
            <v>118026R</v>
          </cell>
          <cell r="E157" t="str">
            <v>BS 400 ST1 CASCADE MODULE</v>
          </cell>
          <cell r="F157">
            <v>18</v>
          </cell>
          <cell r="G157">
            <v>0.13</v>
          </cell>
          <cell r="J157">
            <v>5</v>
          </cell>
          <cell r="K157">
            <v>0.65</v>
          </cell>
          <cell r="L157">
            <v>0.13</v>
          </cell>
          <cell r="O157">
            <v>7500</v>
          </cell>
          <cell r="P157">
            <v>37500</v>
          </cell>
        </row>
        <row r="158">
          <cell r="A158" t="str">
            <v>AL2033010118026X19</v>
          </cell>
          <cell r="B158" t="str">
            <v>AL2033010</v>
          </cell>
          <cell r="C158" t="str">
            <v>118026X</v>
          </cell>
          <cell r="D158" t="str">
            <v>118026X</v>
          </cell>
          <cell r="E158" t="str">
            <v>BS 400 ST1 CASCADE MODULE**.**</v>
          </cell>
          <cell r="F158">
            <v>19</v>
          </cell>
          <cell r="G158">
            <v>0</v>
          </cell>
          <cell r="J158">
            <v>1</v>
          </cell>
          <cell r="L158">
            <v>0</v>
          </cell>
          <cell r="O158">
            <v>12000</v>
          </cell>
          <cell r="P158">
            <v>12000</v>
          </cell>
        </row>
        <row r="159">
          <cell r="A159" t="str">
            <v>AP133BS1-C91811901318</v>
          </cell>
          <cell r="B159" t="str">
            <v>AP133BS1-C918</v>
          </cell>
          <cell r="C159" t="str">
            <v>119013</v>
          </cell>
          <cell r="D159" t="str">
            <v>119013</v>
          </cell>
          <cell r="E159" t="str">
            <v>APOLLO PRO PLUS SLOT 1</v>
          </cell>
          <cell r="F159">
            <v>18</v>
          </cell>
          <cell r="G159">
            <v>2926</v>
          </cell>
          <cell r="J159">
            <v>1</v>
          </cell>
          <cell r="K159">
            <v>2926</v>
          </cell>
          <cell r="L159">
            <v>2926</v>
          </cell>
          <cell r="M159">
            <v>753.22580645161293</v>
          </cell>
          <cell r="N159">
            <v>2926</v>
          </cell>
          <cell r="O159">
            <v>1800</v>
          </cell>
          <cell r="P159">
            <v>1800</v>
          </cell>
        </row>
        <row r="160">
          <cell r="A160" t="str">
            <v>AP133BS1-C91811901348</v>
          </cell>
          <cell r="B160" t="str">
            <v>AP133BS1-C918</v>
          </cell>
          <cell r="C160" t="str">
            <v>119013</v>
          </cell>
          <cell r="D160" t="str">
            <v>119013</v>
          </cell>
          <cell r="E160" t="str">
            <v>APOLLO PRO PLUS SLOT 1</v>
          </cell>
          <cell r="F160">
            <v>48</v>
          </cell>
          <cell r="G160">
            <v>2926</v>
          </cell>
          <cell r="J160">
            <v>7</v>
          </cell>
          <cell r="K160">
            <v>20482</v>
          </cell>
          <cell r="L160">
            <v>2926</v>
          </cell>
          <cell r="M160">
            <v>753.22580645161293</v>
          </cell>
          <cell r="N160">
            <v>2926</v>
          </cell>
          <cell r="O160">
            <v>1800</v>
          </cell>
          <cell r="P160">
            <v>12600</v>
          </cell>
        </row>
        <row r="161">
          <cell r="A161" t="str">
            <v>AP133BS1-C91811901358</v>
          </cell>
          <cell r="B161" t="str">
            <v>AP133BS1-C918</v>
          </cell>
          <cell r="C161" t="str">
            <v>119013</v>
          </cell>
          <cell r="D161" t="str">
            <v>119013</v>
          </cell>
          <cell r="E161" t="str">
            <v>APOLLO PRO PLUS SLOT 1</v>
          </cell>
          <cell r="F161">
            <v>58</v>
          </cell>
          <cell r="G161">
            <v>2926</v>
          </cell>
          <cell r="J161">
            <v>4</v>
          </cell>
          <cell r="K161">
            <v>11704</v>
          </cell>
          <cell r="L161">
            <v>2926</v>
          </cell>
          <cell r="M161">
            <v>753.22580645161293</v>
          </cell>
          <cell r="N161">
            <v>2926</v>
          </cell>
          <cell r="O161">
            <v>1800</v>
          </cell>
          <cell r="P161">
            <v>7200</v>
          </cell>
        </row>
        <row r="162">
          <cell r="A162" t="str">
            <v>AP133BS1-C918119013R48</v>
          </cell>
          <cell r="B162" t="str">
            <v>AP133BS1-C918</v>
          </cell>
          <cell r="C162" t="str">
            <v>119013R</v>
          </cell>
          <cell r="D162" t="str">
            <v>119013R</v>
          </cell>
          <cell r="E162" t="str">
            <v>APOLLO PRO PLUS SLOT 1</v>
          </cell>
          <cell r="F162">
            <v>48</v>
          </cell>
          <cell r="G162">
            <v>0.17</v>
          </cell>
          <cell r="J162">
            <v>1</v>
          </cell>
          <cell r="K162">
            <v>0.17</v>
          </cell>
          <cell r="L162">
            <v>0.17</v>
          </cell>
          <cell r="N162">
            <v>2926</v>
          </cell>
          <cell r="O162">
            <v>1800</v>
          </cell>
          <cell r="P162">
            <v>1800</v>
          </cell>
        </row>
        <row r="163">
          <cell r="A163" t="str">
            <v>AS20/SA/230/G703110312R18</v>
          </cell>
          <cell r="B163" t="str">
            <v>AS20/SA/230/G703</v>
          </cell>
          <cell r="C163" t="str">
            <v>110312R</v>
          </cell>
          <cell r="D163" t="str">
            <v>110312R</v>
          </cell>
          <cell r="E163" t="str">
            <v>AS20/SA/230/G703</v>
          </cell>
          <cell r="F163">
            <v>18</v>
          </cell>
          <cell r="G163">
            <v>0.01</v>
          </cell>
          <cell r="J163">
            <v>1</v>
          </cell>
          <cell r="K163">
            <v>0.01</v>
          </cell>
          <cell r="L163">
            <v>0.01</v>
          </cell>
          <cell r="O163">
            <v>25000</v>
          </cell>
          <cell r="P163">
            <v>25000</v>
          </cell>
        </row>
        <row r="164">
          <cell r="A164" t="str">
            <v>ASM31/SA/230/V35110309R18</v>
          </cell>
          <cell r="B164" t="str">
            <v>ASM31/SA/230/V35</v>
          </cell>
          <cell r="C164" t="str">
            <v>110309R</v>
          </cell>
          <cell r="D164" t="str">
            <v>110309R</v>
          </cell>
          <cell r="E164" t="str">
            <v>RAD ASM 31 V.35 INTERFACE</v>
          </cell>
          <cell r="F164">
            <v>18</v>
          </cell>
          <cell r="G164">
            <v>0.01</v>
          </cell>
          <cell r="J164">
            <v>1</v>
          </cell>
          <cell r="K164">
            <v>0.01</v>
          </cell>
          <cell r="L164">
            <v>0.01</v>
          </cell>
          <cell r="O164">
            <v>20000</v>
          </cell>
          <cell r="P164">
            <v>20000</v>
          </cell>
        </row>
        <row r="165">
          <cell r="A165" t="str">
            <v>AT I/O CARGO SPARES13615158</v>
          </cell>
          <cell r="B165" t="str">
            <v>AT I/O CARGO SPARES</v>
          </cell>
          <cell r="C165" t="str">
            <v>136151</v>
          </cell>
          <cell r="D165" t="str">
            <v>136151</v>
          </cell>
          <cell r="E165" t="str">
            <v>AT I/O CARGO SPARESAAAAA</v>
          </cell>
          <cell r="F165">
            <v>58</v>
          </cell>
          <cell r="G165">
            <v>8.02</v>
          </cell>
          <cell r="J165">
            <v>900</v>
          </cell>
          <cell r="K165">
            <v>7220.16</v>
          </cell>
          <cell r="L165">
            <v>8.02</v>
          </cell>
          <cell r="N165">
            <v>8.02</v>
          </cell>
          <cell r="O165">
            <v>10</v>
          </cell>
          <cell r="P165">
            <v>9000</v>
          </cell>
        </row>
        <row r="166">
          <cell r="A166" t="str">
            <v>AT3901C05118092X19</v>
          </cell>
          <cell r="B166" t="str">
            <v>AT3901C05</v>
          </cell>
          <cell r="C166" t="str">
            <v>118092X</v>
          </cell>
          <cell r="D166" t="str">
            <v>118092X</v>
          </cell>
          <cell r="E166" t="str">
            <v>BAYSTACK 60-16T 10BASE-T/100BAS</v>
          </cell>
          <cell r="F166">
            <v>19</v>
          </cell>
          <cell r="G166">
            <v>0</v>
          </cell>
          <cell r="J166">
            <v>2</v>
          </cell>
          <cell r="L166">
            <v>0</v>
          </cell>
          <cell r="O166">
            <v>10000</v>
          </cell>
          <cell r="P166">
            <v>20000</v>
          </cell>
        </row>
        <row r="167">
          <cell r="A167" t="str">
            <v>BSBS1 - 884119008X19</v>
          </cell>
          <cell r="B167" t="str">
            <v>BSBS1 - 884</v>
          </cell>
          <cell r="C167" t="str">
            <v>119008X</v>
          </cell>
          <cell r="D167" t="str">
            <v>119008X</v>
          </cell>
          <cell r="E167" t="str">
            <v>PC PARTNER P 700</v>
          </cell>
          <cell r="F167">
            <v>19</v>
          </cell>
          <cell r="G167">
            <v>0</v>
          </cell>
          <cell r="H167">
            <v>3</v>
          </cell>
          <cell r="J167">
            <v>3</v>
          </cell>
          <cell r="L167">
            <v>0</v>
          </cell>
          <cell r="M167">
            <v>692.84578696343397</v>
          </cell>
          <cell r="O167">
            <v>1350</v>
          </cell>
          <cell r="P167">
            <v>8100</v>
          </cell>
        </row>
        <row r="168">
          <cell r="A168" t="str">
            <v>BSBS1 - 884119008X49</v>
          </cell>
          <cell r="B168" t="str">
            <v>BSBS1 - 884</v>
          </cell>
          <cell r="C168" t="str">
            <v>119008X</v>
          </cell>
          <cell r="D168" t="str">
            <v>119008X</v>
          </cell>
          <cell r="E168" t="str">
            <v>PC PARTNER P 700</v>
          </cell>
          <cell r="F168">
            <v>49</v>
          </cell>
          <cell r="G168">
            <v>0</v>
          </cell>
          <cell r="J168">
            <v>8</v>
          </cell>
          <cell r="L168">
            <v>0</v>
          </cell>
          <cell r="M168">
            <v>692.84578696343397</v>
          </cell>
          <cell r="O168">
            <v>1350</v>
          </cell>
          <cell r="P168">
            <v>10800</v>
          </cell>
        </row>
        <row r="169">
          <cell r="A169" t="str">
            <v>BSBS1 - 884119008X59</v>
          </cell>
          <cell r="B169" t="str">
            <v>BSBS1 - 884</v>
          </cell>
          <cell r="C169" t="str">
            <v>119008X</v>
          </cell>
          <cell r="D169" t="str">
            <v>119008X</v>
          </cell>
          <cell r="E169" t="str">
            <v>PC PARTNER P 700</v>
          </cell>
          <cell r="F169">
            <v>59</v>
          </cell>
          <cell r="G169">
            <v>0</v>
          </cell>
          <cell r="J169">
            <v>1</v>
          </cell>
          <cell r="L169">
            <v>0</v>
          </cell>
          <cell r="M169">
            <v>692.84578696343397</v>
          </cell>
          <cell r="O169">
            <v>1350</v>
          </cell>
          <cell r="P169">
            <v>1350</v>
          </cell>
        </row>
        <row r="170">
          <cell r="A170" t="str">
            <v>BSBS1 - 884119008X49</v>
          </cell>
          <cell r="B170" t="str">
            <v>BSBS1 - 884</v>
          </cell>
          <cell r="C170" t="str">
            <v>119008X</v>
          </cell>
          <cell r="D170" t="str">
            <v>119008X</v>
          </cell>
          <cell r="E170" t="str">
            <v>PC PARTNER P 700</v>
          </cell>
          <cell r="F170">
            <v>49</v>
          </cell>
          <cell r="G170">
            <v>0</v>
          </cell>
          <cell r="J170">
            <v>8</v>
          </cell>
          <cell r="K170">
            <v>0</v>
          </cell>
          <cell r="L170">
            <v>0</v>
          </cell>
          <cell r="O170">
            <v>1350</v>
          </cell>
          <cell r="P170">
            <v>10800</v>
          </cell>
        </row>
        <row r="171">
          <cell r="A171" t="str">
            <v>BSBS1-884119008R18</v>
          </cell>
          <cell r="B171" t="str">
            <v>BSBS1-884</v>
          </cell>
          <cell r="C171" t="str">
            <v>119008R</v>
          </cell>
          <cell r="D171" t="str">
            <v>119008R</v>
          </cell>
          <cell r="E171" t="str">
            <v>PC PARTNER P 700</v>
          </cell>
          <cell r="F171">
            <v>18</v>
          </cell>
          <cell r="G171">
            <v>14.63</v>
          </cell>
          <cell r="J171">
            <v>2</v>
          </cell>
          <cell r="K171">
            <v>29.25</v>
          </cell>
          <cell r="L171">
            <v>14.63</v>
          </cell>
          <cell r="M171">
            <v>1350</v>
          </cell>
          <cell r="O171">
            <v>1350</v>
          </cell>
          <cell r="P171">
            <v>2700</v>
          </cell>
        </row>
        <row r="172">
          <cell r="A172" t="str">
            <v>BSBS1-884119008R48</v>
          </cell>
          <cell r="B172" t="str">
            <v>BSBS1-884</v>
          </cell>
          <cell r="C172" t="str">
            <v>119008R</v>
          </cell>
          <cell r="D172" t="str">
            <v>119008R</v>
          </cell>
          <cell r="E172" t="str">
            <v>PC PARTNER P 700</v>
          </cell>
          <cell r="F172">
            <v>48</v>
          </cell>
          <cell r="G172">
            <v>14.63</v>
          </cell>
          <cell r="J172">
            <v>2</v>
          </cell>
          <cell r="K172">
            <v>29.25</v>
          </cell>
          <cell r="L172">
            <v>14.63</v>
          </cell>
          <cell r="M172">
            <v>1350</v>
          </cell>
          <cell r="O172">
            <v>1350</v>
          </cell>
          <cell r="P172">
            <v>2700</v>
          </cell>
        </row>
        <row r="173">
          <cell r="A173" t="str">
            <v>BSBS1-884119008R58</v>
          </cell>
          <cell r="B173" t="str">
            <v>BSBS1-884</v>
          </cell>
          <cell r="C173" t="str">
            <v>119008R</v>
          </cell>
          <cell r="D173" t="str">
            <v>119008R</v>
          </cell>
          <cell r="E173" t="str">
            <v>PC PARTNER P 700</v>
          </cell>
          <cell r="F173">
            <v>58</v>
          </cell>
          <cell r="G173">
            <v>14.63</v>
          </cell>
          <cell r="J173">
            <v>2</v>
          </cell>
          <cell r="K173">
            <v>29.25</v>
          </cell>
          <cell r="L173">
            <v>14.63</v>
          </cell>
          <cell r="M173">
            <v>1350</v>
          </cell>
          <cell r="O173">
            <v>1350</v>
          </cell>
          <cell r="P173">
            <v>2700</v>
          </cell>
        </row>
        <row r="174">
          <cell r="A174" t="str">
            <v>BSBS3 - C871119007R18</v>
          </cell>
          <cell r="B174" t="str">
            <v>BSBS3 - C871</v>
          </cell>
          <cell r="C174" t="str">
            <v>119007R</v>
          </cell>
          <cell r="D174" t="str">
            <v>119007R</v>
          </cell>
          <cell r="E174" t="str">
            <v>PC PARTNER P/C 700</v>
          </cell>
          <cell r="F174">
            <v>18</v>
          </cell>
          <cell r="G174">
            <v>176.88</v>
          </cell>
          <cell r="J174">
            <v>111</v>
          </cell>
          <cell r="K174">
            <v>19633.689999999999</v>
          </cell>
          <cell r="L174">
            <v>176.88</v>
          </cell>
          <cell r="O174">
            <v>2200</v>
          </cell>
          <cell r="P174">
            <v>244200</v>
          </cell>
        </row>
        <row r="175">
          <cell r="A175" t="str">
            <v>BSBS3 - C871119007R48</v>
          </cell>
          <cell r="B175" t="str">
            <v>BSBS3 - C871</v>
          </cell>
          <cell r="C175" t="str">
            <v>119007R</v>
          </cell>
          <cell r="D175" t="str">
            <v>119007R</v>
          </cell>
          <cell r="E175" t="str">
            <v>PC PARTNER P/C 700</v>
          </cell>
          <cell r="F175">
            <v>48</v>
          </cell>
          <cell r="G175">
            <v>176.88</v>
          </cell>
          <cell r="J175">
            <v>101</v>
          </cell>
          <cell r="K175">
            <v>17864.89</v>
          </cell>
          <cell r="L175">
            <v>176.88</v>
          </cell>
          <cell r="O175">
            <v>2200</v>
          </cell>
          <cell r="P175">
            <v>222200</v>
          </cell>
        </row>
        <row r="176">
          <cell r="A176" t="str">
            <v>BSBS3 - C871119007R58</v>
          </cell>
          <cell r="B176" t="str">
            <v>BSBS3 - C871</v>
          </cell>
          <cell r="C176" t="str">
            <v>119007R</v>
          </cell>
          <cell r="D176" t="str">
            <v>119007R</v>
          </cell>
          <cell r="E176" t="str">
            <v>PC PARTNER P/C 700</v>
          </cell>
          <cell r="F176">
            <v>58</v>
          </cell>
          <cell r="G176">
            <v>176.88</v>
          </cell>
          <cell r="J176">
            <v>26</v>
          </cell>
          <cell r="K176">
            <v>4598.88</v>
          </cell>
          <cell r="L176">
            <v>176.88</v>
          </cell>
          <cell r="O176">
            <v>2200</v>
          </cell>
          <cell r="P176">
            <v>57200</v>
          </cell>
        </row>
        <row r="177">
          <cell r="A177" t="str">
            <v>BSBS3 - C871119007R68</v>
          </cell>
          <cell r="B177" t="str">
            <v>BSBS3 - C871</v>
          </cell>
          <cell r="C177" t="str">
            <v>119007R</v>
          </cell>
          <cell r="D177" t="str">
            <v>119007R</v>
          </cell>
          <cell r="E177" t="str">
            <v>PC PARTNER P/C 700</v>
          </cell>
          <cell r="F177">
            <v>68</v>
          </cell>
          <cell r="G177">
            <v>176.88</v>
          </cell>
          <cell r="J177">
            <v>44</v>
          </cell>
          <cell r="K177">
            <v>7782.72</v>
          </cell>
          <cell r="L177">
            <v>176.88</v>
          </cell>
          <cell r="O177">
            <v>2200</v>
          </cell>
          <cell r="P177">
            <v>96800</v>
          </cell>
        </row>
        <row r="178">
          <cell r="A178" t="str">
            <v>BSBS3 - C871119007X19</v>
          </cell>
          <cell r="B178" t="str">
            <v>BSBS3 - C871</v>
          </cell>
          <cell r="C178" t="str">
            <v>119007X</v>
          </cell>
          <cell r="D178" t="str">
            <v>119007X</v>
          </cell>
          <cell r="E178" t="str">
            <v>PC PARTNER P/C 700</v>
          </cell>
          <cell r="F178">
            <v>19</v>
          </cell>
          <cell r="G178">
            <v>0</v>
          </cell>
          <cell r="H178">
            <v>1</v>
          </cell>
          <cell r="J178">
            <v>211</v>
          </cell>
          <cell r="L178">
            <v>0</v>
          </cell>
          <cell r="M178">
            <v>946.85258964143429</v>
          </cell>
          <cell r="O178">
            <v>2200</v>
          </cell>
          <cell r="P178">
            <v>466400</v>
          </cell>
        </row>
        <row r="179">
          <cell r="A179" t="str">
            <v>BSBS3 - C871119007X49</v>
          </cell>
          <cell r="B179" t="str">
            <v>BSBS3 - C871</v>
          </cell>
          <cell r="C179" t="str">
            <v>119007X</v>
          </cell>
          <cell r="D179" t="str">
            <v>119007X</v>
          </cell>
          <cell r="E179" t="str">
            <v>PC PARTNER P/C 700</v>
          </cell>
          <cell r="F179">
            <v>49</v>
          </cell>
          <cell r="G179">
            <v>0</v>
          </cell>
          <cell r="J179">
            <v>4</v>
          </cell>
          <cell r="L179">
            <v>0</v>
          </cell>
          <cell r="M179">
            <v>946.85258964143429</v>
          </cell>
          <cell r="O179">
            <v>2200</v>
          </cell>
          <cell r="P179">
            <v>8800</v>
          </cell>
        </row>
        <row r="180">
          <cell r="A180" t="str">
            <v>BSBS3 - C871119007X39</v>
          </cell>
          <cell r="B180" t="str">
            <v>BSBS3 - C871</v>
          </cell>
          <cell r="C180" t="str">
            <v>119007X</v>
          </cell>
          <cell r="D180" t="str">
            <v>119007X</v>
          </cell>
          <cell r="E180" t="str">
            <v>PC PARTNER P/C 700</v>
          </cell>
          <cell r="F180">
            <v>39</v>
          </cell>
          <cell r="G180">
            <v>0</v>
          </cell>
          <cell r="J180">
            <v>8</v>
          </cell>
          <cell r="K180">
            <v>0</v>
          </cell>
          <cell r="O180">
            <v>2200</v>
          </cell>
          <cell r="P180">
            <v>17600</v>
          </cell>
        </row>
        <row r="181">
          <cell r="A181" t="str">
            <v>BX 80526F667128110325X19</v>
          </cell>
          <cell r="B181" t="str">
            <v>BX 80526F667128</v>
          </cell>
          <cell r="C181" t="str">
            <v>110325X</v>
          </cell>
          <cell r="D181" t="str">
            <v>110325X</v>
          </cell>
          <cell r="E181" t="str">
            <v>BOX CELERON 667 MHZ FCPGA**.**</v>
          </cell>
          <cell r="F181">
            <v>19</v>
          </cell>
          <cell r="G181">
            <v>0</v>
          </cell>
          <cell r="J181">
            <v>1</v>
          </cell>
          <cell r="L181">
            <v>0</v>
          </cell>
          <cell r="O181">
            <v>2700</v>
          </cell>
          <cell r="P181">
            <v>2700</v>
          </cell>
        </row>
        <row r="182">
          <cell r="A182" t="str">
            <v>BX80524R266000110180R18</v>
          </cell>
          <cell r="B182" t="str">
            <v>BX80524R266000</v>
          </cell>
          <cell r="C182" t="str">
            <v>110180R</v>
          </cell>
          <cell r="D182" t="str">
            <v>110180R</v>
          </cell>
          <cell r="E182" t="str">
            <v>BOX CELERON 266 MHZ SLOT 1</v>
          </cell>
          <cell r="F182">
            <v>18</v>
          </cell>
          <cell r="G182">
            <v>0.01</v>
          </cell>
          <cell r="J182">
            <v>1</v>
          </cell>
          <cell r="K182">
            <v>0.01</v>
          </cell>
          <cell r="L182">
            <v>0.01</v>
          </cell>
          <cell r="O182">
            <v>2500</v>
          </cell>
          <cell r="P182">
            <v>2500</v>
          </cell>
        </row>
        <row r="183">
          <cell r="A183" t="str">
            <v>BX80526C600256E11026818</v>
          </cell>
          <cell r="B183" t="str">
            <v>BX80526C600256E</v>
          </cell>
          <cell r="C183" t="str">
            <v>110268</v>
          </cell>
          <cell r="D183" t="str">
            <v>110268</v>
          </cell>
          <cell r="E183" t="str">
            <v>PIII 600 MHZ 133FSB FCPGA**.**</v>
          </cell>
          <cell r="F183">
            <v>18</v>
          </cell>
          <cell r="G183">
            <v>10603.87</v>
          </cell>
          <cell r="J183">
            <v>3</v>
          </cell>
          <cell r="K183">
            <v>31811.62</v>
          </cell>
          <cell r="L183">
            <v>10603.87</v>
          </cell>
          <cell r="M183">
            <v>6693.75</v>
          </cell>
          <cell r="N183">
            <v>10603.87</v>
          </cell>
          <cell r="O183">
            <v>5000</v>
          </cell>
          <cell r="P183">
            <v>15000</v>
          </cell>
        </row>
        <row r="184">
          <cell r="A184" t="str">
            <v>BX80526C600256E110268X19</v>
          </cell>
          <cell r="B184" t="str">
            <v>BX80526C600256E</v>
          </cell>
          <cell r="C184" t="str">
            <v>110268X</v>
          </cell>
          <cell r="D184" t="str">
            <v>110268X</v>
          </cell>
          <cell r="E184" t="str">
            <v>PIII 600 MHZ 133FSB FCPGA</v>
          </cell>
          <cell r="F184">
            <v>19</v>
          </cell>
          <cell r="G184">
            <v>0</v>
          </cell>
          <cell r="J184">
            <v>1</v>
          </cell>
          <cell r="L184">
            <v>0</v>
          </cell>
          <cell r="N184">
            <v>10603.87</v>
          </cell>
          <cell r="O184">
            <v>6000</v>
          </cell>
          <cell r="P184">
            <v>6000</v>
          </cell>
        </row>
        <row r="185">
          <cell r="A185" t="str">
            <v>BX80526C800256E110316(N)58</v>
          </cell>
          <cell r="B185" t="str">
            <v>BX80526C800256E</v>
          </cell>
          <cell r="C185" t="str">
            <v>110316(N)</v>
          </cell>
          <cell r="D185" t="str">
            <v>110316(N)</v>
          </cell>
          <cell r="E185" t="str">
            <v>PII 800 MHZ FCPGA 133 MHZ**.**</v>
          </cell>
          <cell r="F185">
            <v>58</v>
          </cell>
          <cell r="G185">
            <v>7758.61</v>
          </cell>
          <cell r="H185">
            <v>1</v>
          </cell>
          <cell r="I185">
            <v>7758.61</v>
          </cell>
          <cell r="L185">
            <v>7758.61</v>
          </cell>
          <cell r="M185">
            <v>7643.6854925373136</v>
          </cell>
          <cell r="N185">
            <v>7758.61</v>
          </cell>
          <cell r="O185">
            <v>7500</v>
          </cell>
          <cell r="P185">
            <v>7500</v>
          </cell>
        </row>
        <row r="186">
          <cell r="A186" t="str">
            <v>BX80526C800256E110316X59</v>
          </cell>
          <cell r="B186" t="str">
            <v>BX80526C800256E</v>
          </cell>
          <cell r="C186" t="str">
            <v>110316X</v>
          </cell>
          <cell r="D186" t="str">
            <v>110316X</v>
          </cell>
          <cell r="E186" t="str">
            <v>PIII 800MHZ FCPGA 133MHZ</v>
          </cell>
          <cell r="F186">
            <v>59</v>
          </cell>
          <cell r="G186">
            <v>0</v>
          </cell>
          <cell r="J186">
            <v>1</v>
          </cell>
          <cell r="L186">
            <v>0</v>
          </cell>
          <cell r="N186">
            <v>7758.61</v>
          </cell>
          <cell r="O186">
            <v>7500</v>
          </cell>
          <cell r="P186">
            <v>7500</v>
          </cell>
        </row>
        <row r="187">
          <cell r="A187" t="str">
            <v>BX80526C866256E110340X19</v>
          </cell>
          <cell r="B187" t="str">
            <v>BX80526C866256E</v>
          </cell>
          <cell r="C187" t="str">
            <v>110340X</v>
          </cell>
          <cell r="D187" t="str">
            <v>110340X</v>
          </cell>
          <cell r="E187" t="str">
            <v>PIII 866 MHZ FCPGA 133 MHZ*.**</v>
          </cell>
          <cell r="F187">
            <v>19</v>
          </cell>
          <cell r="G187">
            <v>0</v>
          </cell>
          <cell r="J187">
            <v>4</v>
          </cell>
          <cell r="L187">
            <v>0</v>
          </cell>
          <cell r="O187">
            <v>9700</v>
          </cell>
          <cell r="P187">
            <v>38800</v>
          </cell>
        </row>
        <row r="188">
          <cell r="A188" t="str">
            <v>BX80526C933256E11032858</v>
          </cell>
          <cell r="B188" t="str">
            <v>BX80526C933256E</v>
          </cell>
          <cell r="C188" t="str">
            <v>110328</v>
          </cell>
          <cell r="D188" t="str">
            <v>110328</v>
          </cell>
          <cell r="E188" t="str">
            <v>BOX PENTIUM III 933 MHZ FCPGA</v>
          </cell>
          <cell r="F188">
            <v>58</v>
          </cell>
          <cell r="G188">
            <v>9675.39</v>
          </cell>
          <cell r="H188">
            <v>1</v>
          </cell>
          <cell r="I188">
            <v>9675.3799999999992</v>
          </cell>
          <cell r="L188">
            <v>9675.39</v>
          </cell>
          <cell r="M188">
            <v>9688.150099923143</v>
          </cell>
          <cell r="N188">
            <v>9675.39</v>
          </cell>
          <cell r="O188">
            <v>9600</v>
          </cell>
          <cell r="P188">
            <v>9600</v>
          </cell>
        </row>
        <row r="189">
          <cell r="A189" t="str">
            <v>BX80526C933256E110328X19</v>
          </cell>
          <cell r="B189" t="str">
            <v>BX80526C933256E</v>
          </cell>
          <cell r="C189" t="str">
            <v>110328X</v>
          </cell>
          <cell r="D189" t="str">
            <v>110328X</v>
          </cell>
          <cell r="E189" t="str">
            <v>BOX PENTIUM III 933 MHZ FCPGA.</v>
          </cell>
          <cell r="F189">
            <v>19</v>
          </cell>
          <cell r="G189">
            <v>0</v>
          </cell>
          <cell r="J189">
            <v>1</v>
          </cell>
          <cell r="L189">
            <v>0</v>
          </cell>
          <cell r="N189">
            <v>9675.39</v>
          </cell>
          <cell r="O189">
            <v>9600</v>
          </cell>
          <cell r="P189">
            <v>9600</v>
          </cell>
        </row>
        <row r="190">
          <cell r="A190" t="str">
            <v>BX80526C933256E110328X59</v>
          </cell>
          <cell r="B190" t="str">
            <v>BX80526C933256E</v>
          </cell>
          <cell r="C190" t="str">
            <v>110328X</v>
          </cell>
          <cell r="D190" t="str">
            <v>110328X</v>
          </cell>
          <cell r="E190" t="str">
            <v>BOX PENTIUM III 933 MHZ FCPGA.</v>
          </cell>
          <cell r="F190">
            <v>59</v>
          </cell>
          <cell r="G190">
            <v>0</v>
          </cell>
          <cell r="J190">
            <v>1</v>
          </cell>
          <cell r="L190">
            <v>0</v>
          </cell>
          <cell r="N190">
            <v>9675.39</v>
          </cell>
          <cell r="O190">
            <v>9600</v>
          </cell>
          <cell r="P190">
            <v>9600</v>
          </cell>
        </row>
        <row r="191">
          <cell r="A191" t="str">
            <v>BX80526F600128110299R18</v>
          </cell>
          <cell r="B191" t="str">
            <v>BX80526F600128</v>
          </cell>
          <cell r="C191" t="str">
            <v>110299R</v>
          </cell>
          <cell r="D191" t="str">
            <v>110299R</v>
          </cell>
          <cell r="E191" t="str">
            <v>BOX CEL 600 MHZ FCPGA.*****.**</v>
          </cell>
          <cell r="F191">
            <v>18</v>
          </cell>
          <cell r="G191">
            <v>0.57999999999999996</v>
          </cell>
          <cell r="J191">
            <v>1</v>
          </cell>
          <cell r="K191">
            <v>0.57999999999999996</v>
          </cell>
          <cell r="L191">
            <v>0.57999999999999996</v>
          </cell>
          <cell r="O191">
            <v>3500</v>
          </cell>
          <cell r="P191">
            <v>3500</v>
          </cell>
        </row>
        <row r="192">
          <cell r="A192" t="str">
            <v>BX80526F667256E11028618</v>
          </cell>
          <cell r="B192" t="str">
            <v>BX80526F667256E</v>
          </cell>
          <cell r="C192" t="str">
            <v>110286</v>
          </cell>
          <cell r="D192" t="str">
            <v>110286</v>
          </cell>
          <cell r="E192" t="str">
            <v>PIII 667 133 MHZ FC-PGA****.**</v>
          </cell>
          <cell r="F192">
            <v>18</v>
          </cell>
          <cell r="G192">
            <v>7027.47</v>
          </cell>
          <cell r="J192">
            <v>1</v>
          </cell>
          <cell r="K192">
            <v>7027.47</v>
          </cell>
          <cell r="L192">
            <v>7027.47</v>
          </cell>
          <cell r="M192">
            <v>6368.5692641199921</v>
          </cell>
          <cell r="N192">
            <v>7027.47</v>
          </cell>
          <cell r="O192">
            <v>7000</v>
          </cell>
          <cell r="P192">
            <v>7000</v>
          </cell>
        </row>
        <row r="193">
          <cell r="A193" t="str">
            <v>BX80526F700128110317X19</v>
          </cell>
          <cell r="B193" t="str">
            <v>BX80526F700128</v>
          </cell>
          <cell r="C193" t="str">
            <v>110317X</v>
          </cell>
          <cell r="D193" t="str">
            <v>110317X</v>
          </cell>
          <cell r="E193" t="str">
            <v>BOX CELERON 700 MHZ FCPGA</v>
          </cell>
          <cell r="F193">
            <v>19</v>
          </cell>
          <cell r="G193">
            <v>0</v>
          </cell>
          <cell r="J193">
            <v>1</v>
          </cell>
          <cell r="L193">
            <v>0</v>
          </cell>
          <cell r="O193">
            <v>2700</v>
          </cell>
          <cell r="P193">
            <v>2700</v>
          </cell>
        </row>
        <row r="194">
          <cell r="A194" t="str">
            <v>BX80526F750256E110315X19</v>
          </cell>
          <cell r="B194" t="str">
            <v>BX80526F750256E</v>
          </cell>
          <cell r="C194" t="str">
            <v>110315X</v>
          </cell>
          <cell r="D194" t="str">
            <v>110315X</v>
          </cell>
          <cell r="E194" t="str">
            <v>PIII 750 100 MHZ FCPGA*****.**</v>
          </cell>
          <cell r="F194">
            <v>19</v>
          </cell>
          <cell r="G194">
            <v>0</v>
          </cell>
          <cell r="J194">
            <v>1</v>
          </cell>
          <cell r="L194">
            <v>0</v>
          </cell>
          <cell r="O194">
            <v>3000</v>
          </cell>
          <cell r="P194">
            <v>3000</v>
          </cell>
        </row>
        <row r="195">
          <cell r="A195" t="str">
            <v>BX80526F766128110501X19</v>
          </cell>
          <cell r="B195" t="str">
            <v>BX80526F766128</v>
          </cell>
          <cell r="C195" t="str">
            <v>110501X</v>
          </cell>
          <cell r="D195" t="str">
            <v>110501X</v>
          </cell>
          <cell r="E195" t="str">
            <v>BOX CELERON 766 MHZ FCPGA**.**</v>
          </cell>
          <cell r="F195">
            <v>19</v>
          </cell>
          <cell r="G195">
            <v>0</v>
          </cell>
          <cell r="J195">
            <v>2</v>
          </cell>
          <cell r="L195">
            <v>0</v>
          </cell>
          <cell r="O195">
            <v>250</v>
          </cell>
          <cell r="P195">
            <v>500</v>
          </cell>
        </row>
        <row r="196">
          <cell r="A196" t="str">
            <v>BX80526F850256E11032618</v>
          </cell>
          <cell r="B196" t="str">
            <v>BX80526F850256E</v>
          </cell>
          <cell r="C196" t="str">
            <v>110326</v>
          </cell>
          <cell r="D196" t="str">
            <v>110326</v>
          </cell>
          <cell r="E196" t="str">
            <v>BOX PENTIUM III 850 MHZ FCPGA</v>
          </cell>
          <cell r="F196">
            <v>18</v>
          </cell>
          <cell r="G196">
            <v>8827.23</v>
          </cell>
          <cell r="J196">
            <v>2</v>
          </cell>
          <cell r="K196">
            <v>17654.46</v>
          </cell>
          <cell r="L196">
            <v>8827.23</v>
          </cell>
          <cell r="M196">
            <v>9235.3573353124066</v>
          </cell>
          <cell r="N196">
            <v>8827.23</v>
          </cell>
          <cell r="O196">
            <v>8000</v>
          </cell>
          <cell r="P196">
            <v>16000</v>
          </cell>
        </row>
        <row r="197">
          <cell r="A197" t="str">
            <v>BX80528JK130GR110341X18</v>
          </cell>
          <cell r="B197" t="str">
            <v>BX80528JK130GR</v>
          </cell>
          <cell r="C197" t="str">
            <v>110341X</v>
          </cell>
          <cell r="D197" t="str">
            <v>110341X</v>
          </cell>
          <cell r="E197" t="str">
            <v>PENTIUM 4.1.3GHZ PROCESSOR*.**</v>
          </cell>
          <cell r="F197">
            <v>18</v>
          </cell>
          <cell r="G197">
            <v>0</v>
          </cell>
          <cell r="J197">
            <v>1</v>
          </cell>
          <cell r="L197">
            <v>0</v>
          </cell>
          <cell r="O197">
            <v>12000</v>
          </cell>
          <cell r="P197">
            <v>12000</v>
          </cell>
        </row>
        <row r="198">
          <cell r="A198" t="str">
            <v>C1599A107028CR18</v>
          </cell>
          <cell r="B198" t="str">
            <v>C1599A</v>
          </cell>
          <cell r="C198" t="str">
            <v>107028CR</v>
          </cell>
          <cell r="D198" t="str">
            <v>107028CR</v>
          </cell>
          <cell r="E198" t="str">
            <v>BARE 8GB DAT 4/8GB INT 3.25HH</v>
          </cell>
          <cell r="F198">
            <v>18</v>
          </cell>
          <cell r="G198">
            <v>0.01</v>
          </cell>
          <cell r="J198">
            <v>1</v>
          </cell>
          <cell r="K198">
            <v>0.01</v>
          </cell>
          <cell r="L198">
            <v>0.01</v>
          </cell>
          <cell r="N198">
            <v>21911.05</v>
          </cell>
          <cell r="O198">
            <v>9000</v>
          </cell>
          <cell r="P198">
            <v>9000</v>
          </cell>
        </row>
        <row r="199">
          <cell r="A199" t="str">
            <v>C4245A107086X19</v>
          </cell>
          <cell r="B199" t="str">
            <v>C4245A</v>
          </cell>
          <cell r="C199" t="str">
            <v>107086X</v>
          </cell>
          <cell r="D199" t="str">
            <v>107086X</v>
          </cell>
          <cell r="E199" t="str">
            <v>LJ 6L GOLD LAS 600DPI ASIZE PA</v>
          </cell>
          <cell r="F199">
            <v>19</v>
          </cell>
          <cell r="G199">
            <v>0</v>
          </cell>
          <cell r="J199">
            <v>2</v>
          </cell>
          <cell r="L199">
            <v>0</v>
          </cell>
          <cell r="O199">
            <v>5000</v>
          </cell>
          <cell r="P199">
            <v>10000</v>
          </cell>
        </row>
        <row r="200">
          <cell r="A200" t="str">
            <v>C4358A107056B18</v>
          </cell>
          <cell r="B200" t="str">
            <v>C4358A</v>
          </cell>
          <cell r="C200" t="str">
            <v>107056B</v>
          </cell>
          <cell r="D200" t="str">
            <v>107056B</v>
          </cell>
          <cell r="E200" t="str">
            <v>SURESTORE CD WRITER 7100E</v>
          </cell>
          <cell r="F200">
            <v>18</v>
          </cell>
          <cell r="G200">
            <v>0.01</v>
          </cell>
          <cell r="J200">
            <v>4</v>
          </cell>
          <cell r="K200">
            <v>0.04</v>
          </cell>
          <cell r="L200">
            <v>0.01</v>
          </cell>
          <cell r="N200">
            <v>0.01</v>
          </cell>
          <cell r="O200">
            <v>2000</v>
          </cell>
          <cell r="P200">
            <v>8000</v>
          </cell>
        </row>
        <row r="201">
          <cell r="A201" t="str">
            <v>C4380A107049C18</v>
          </cell>
          <cell r="B201" t="str">
            <v>C4380A</v>
          </cell>
          <cell r="C201" t="str">
            <v>107049C</v>
          </cell>
          <cell r="D201" t="str">
            <v>107049C</v>
          </cell>
          <cell r="E201" t="str">
            <v>SURESTORE CD WRITER 7200I</v>
          </cell>
          <cell r="F201">
            <v>18</v>
          </cell>
          <cell r="G201">
            <v>0.01</v>
          </cell>
          <cell r="J201">
            <v>1</v>
          </cell>
          <cell r="K201">
            <v>0.01</v>
          </cell>
          <cell r="L201">
            <v>0.01</v>
          </cell>
          <cell r="N201">
            <v>0.01</v>
          </cell>
          <cell r="O201">
            <v>2000</v>
          </cell>
          <cell r="P201">
            <v>2000</v>
          </cell>
        </row>
        <row r="202">
          <cell r="A202" t="str">
            <v>C59-00090116361X19</v>
          </cell>
          <cell r="B202" t="str">
            <v>C59-00090</v>
          </cell>
          <cell r="C202" t="str">
            <v>116361X</v>
          </cell>
          <cell r="D202" t="str">
            <v>116361X</v>
          </cell>
          <cell r="E202" t="str">
            <v>INTERNET HARWARE VALUE PACK.**</v>
          </cell>
          <cell r="F202">
            <v>19</v>
          </cell>
          <cell r="G202">
            <v>0</v>
          </cell>
          <cell r="J202">
            <v>1</v>
          </cell>
          <cell r="L202">
            <v>0</v>
          </cell>
          <cell r="O202">
            <v>1500</v>
          </cell>
          <cell r="P202">
            <v>1500</v>
          </cell>
        </row>
        <row r="203">
          <cell r="A203" t="str">
            <v>C6450A107103M19</v>
          </cell>
          <cell r="B203" t="str">
            <v>C6450A</v>
          </cell>
          <cell r="C203" t="str">
            <v>107103M</v>
          </cell>
          <cell r="D203" t="str">
            <v>107103M</v>
          </cell>
          <cell r="E203" t="str">
            <v>DJ 610C INKJET 600DPI ASIZE PA</v>
          </cell>
          <cell r="F203">
            <v>19</v>
          </cell>
          <cell r="G203">
            <v>4673.45</v>
          </cell>
          <cell r="J203">
            <v>1</v>
          </cell>
          <cell r="K203">
            <v>4673.4399999999996</v>
          </cell>
          <cell r="L203">
            <v>4673.45</v>
          </cell>
          <cell r="M203">
            <v>2210.625</v>
          </cell>
          <cell r="N203">
            <v>4673.45</v>
          </cell>
          <cell r="O203">
            <v>2500</v>
          </cell>
          <cell r="P203">
            <v>2500</v>
          </cell>
        </row>
        <row r="204">
          <cell r="A204" t="str">
            <v>C6450A107103R49</v>
          </cell>
          <cell r="B204" t="str">
            <v>C6450A</v>
          </cell>
          <cell r="C204" t="str">
            <v>107103R</v>
          </cell>
          <cell r="D204" t="str">
            <v>107103R</v>
          </cell>
          <cell r="E204" t="str">
            <v>DJ 610C INKJET 600DPI ASIZE PA</v>
          </cell>
          <cell r="F204">
            <v>49</v>
          </cell>
          <cell r="G204">
            <v>5628</v>
          </cell>
          <cell r="J204">
            <v>1</v>
          </cell>
          <cell r="K204">
            <v>5628</v>
          </cell>
          <cell r="L204">
            <v>5628</v>
          </cell>
          <cell r="N204">
            <v>4673.45</v>
          </cell>
          <cell r="O204">
            <v>2500</v>
          </cell>
          <cell r="P204">
            <v>2500</v>
          </cell>
        </row>
        <row r="205">
          <cell r="A205" t="str">
            <v>C7697A107175CR18</v>
          </cell>
          <cell r="B205" t="str">
            <v>C7697A</v>
          </cell>
          <cell r="C205" t="str">
            <v>107175CR</v>
          </cell>
          <cell r="D205" t="str">
            <v>107175CR</v>
          </cell>
          <cell r="E205" t="str">
            <v>SCANJET 5300C FLATBED 600DPI</v>
          </cell>
          <cell r="F205">
            <v>18</v>
          </cell>
          <cell r="G205">
            <v>0.01</v>
          </cell>
          <cell r="J205">
            <v>1</v>
          </cell>
          <cell r="K205">
            <v>0.01</v>
          </cell>
          <cell r="L205">
            <v>0.01</v>
          </cell>
          <cell r="O205">
            <v>6000</v>
          </cell>
          <cell r="P205">
            <v>6000</v>
          </cell>
        </row>
        <row r="206">
          <cell r="A206" t="str">
            <v>CG1001C13118062R18</v>
          </cell>
          <cell r="B206" t="str">
            <v>CG1001C13</v>
          </cell>
          <cell r="C206" t="str">
            <v>118062R</v>
          </cell>
          <cell r="D206" t="str">
            <v>118062R</v>
          </cell>
          <cell r="E206" t="str">
            <v>BAYSTACK152 10BASE-T HUB/NMM</v>
          </cell>
          <cell r="F206">
            <v>18</v>
          </cell>
          <cell r="G206">
            <v>0.01</v>
          </cell>
          <cell r="J206">
            <v>2</v>
          </cell>
          <cell r="K206">
            <v>0.01</v>
          </cell>
          <cell r="L206">
            <v>0.01</v>
          </cell>
          <cell r="O206">
            <v>6000</v>
          </cell>
          <cell r="P206">
            <v>12000</v>
          </cell>
        </row>
        <row r="207">
          <cell r="A207" t="str">
            <v>CHIC-601L13601348</v>
          </cell>
          <cell r="B207" t="str">
            <v>CHIC-601L</v>
          </cell>
          <cell r="C207" t="str">
            <v>136013</v>
          </cell>
          <cell r="D207" t="str">
            <v>136013</v>
          </cell>
          <cell r="E207" t="str">
            <v>VESTA 120W MAX PMPO ACTIVE SPKS</v>
          </cell>
          <cell r="F207">
            <v>48</v>
          </cell>
          <cell r="G207">
            <v>250</v>
          </cell>
          <cell r="J207">
            <v>3</v>
          </cell>
          <cell r="K207">
            <v>750</v>
          </cell>
          <cell r="L207">
            <v>250</v>
          </cell>
          <cell r="M207">
            <v>257.18199149969644</v>
          </cell>
          <cell r="N207">
            <v>250</v>
          </cell>
          <cell r="O207">
            <v>250</v>
          </cell>
          <cell r="P207">
            <v>750</v>
          </cell>
        </row>
        <row r="208">
          <cell r="A208" t="str">
            <v>CHIC-601L13601358</v>
          </cell>
          <cell r="B208" t="str">
            <v>CHIC-601L</v>
          </cell>
          <cell r="C208" t="str">
            <v>136013</v>
          </cell>
          <cell r="D208" t="str">
            <v>136013</v>
          </cell>
          <cell r="E208" t="str">
            <v>VESTA 120W MAX PMPO ACTIVE SPKS</v>
          </cell>
          <cell r="F208">
            <v>58</v>
          </cell>
          <cell r="G208">
            <v>250</v>
          </cell>
          <cell r="J208">
            <v>3</v>
          </cell>
          <cell r="K208">
            <v>750</v>
          </cell>
          <cell r="L208">
            <v>250</v>
          </cell>
          <cell r="M208">
            <v>257.18199149969644</v>
          </cell>
          <cell r="N208">
            <v>250</v>
          </cell>
          <cell r="O208">
            <v>250</v>
          </cell>
          <cell r="P208">
            <v>750</v>
          </cell>
        </row>
        <row r="209">
          <cell r="A209" t="str">
            <v>CHIC-601L13601368</v>
          </cell>
          <cell r="B209" t="str">
            <v>CHIC-601L</v>
          </cell>
          <cell r="C209" t="str">
            <v>136013</v>
          </cell>
          <cell r="D209" t="str">
            <v>136013</v>
          </cell>
          <cell r="E209" t="str">
            <v>VESTA 120W MAX PMPO ACTIVE SPKS</v>
          </cell>
          <cell r="F209">
            <v>68</v>
          </cell>
          <cell r="G209">
            <v>250</v>
          </cell>
          <cell r="J209">
            <v>4</v>
          </cell>
          <cell r="K209">
            <v>1000</v>
          </cell>
          <cell r="L209">
            <v>250</v>
          </cell>
          <cell r="M209">
            <v>257.18199149969644</v>
          </cell>
          <cell r="N209">
            <v>250</v>
          </cell>
          <cell r="O209">
            <v>250</v>
          </cell>
          <cell r="P209">
            <v>1000</v>
          </cell>
        </row>
        <row r="210">
          <cell r="A210" t="str">
            <v>CHIC-601L136013R18</v>
          </cell>
          <cell r="B210" t="str">
            <v>CHIC-601L</v>
          </cell>
          <cell r="C210" t="str">
            <v>136013R</v>
          </cell>
          <cell r="D210" t="str">
            <v>136013R</v>
          </cell>
          <cell r="E210" t="str">
            <v>VESTA 120W MAX PMPO ACTIVE SPKS</v>
          </cell>
          <cell r="F210">
            <v>18</v>
          </cell>
          <cell r="G210">
            <v>0.67</v>
          </cell>
          <cell r="J210">
            <v>4</v>
          </cell>
          <cell r="K210">
            <v>2.69</v>
          </cell>
          <cell r="L210">
            <v>0.67</v>
          </cell>
          <cell r="N210">
            <v>250</v>
          </cell>
          <cell r="O210">
            <v>250</v>
          </cell>
          <cell r="P210">
            <v>1000</v>
          </cell>
        </row>
        <row r="211">
          <cell r="A211" t="str">
            <v>CHIC-601L136013R48</v>
          </cell>
          <cell r="B211" t="str">
            <v>CHIC-601L</v>
          </cell>
          <cell r="C211" t="str">
            <v>136013R</v>
          </cell>
          <cell r="D211" t="str">
            <v>136013R</v>
          </cell>
          <cell r="E211" t="str">
            <v>VESTA 120W MAX PMPO ACTIVE SPKS</v>
          </cell>
          <cell r="F211">
            <v>48</v>
          </cell>
          <cell r="G211">
            <v>0.67</v>
          </cell>
          <cell r="J211">
            <v>2</v>
          </cell>
          <cell r="K211">
            <v>1.34</v>
          </cell>
          <cell r="L211">
            <v>0.67</v>
          </cell>
          <cell r="N211">
            <v>250</v>
          </cell>
          <cell r="O211">
            <v>250</v>
          </cell>
          <cell r="P211">
            <v>500</v>
          </cell>
        </row>
        <row r="212">
          <cell r="A212" t="str">
            <v>CHIC-601L136013X18</v>
          </cell>
          <cell r="B212" t="str">
            <v>CHIC-601L</v>
          </cell>
          <cell r="C212" t="str">
            <v>136013X</v>
          </cell>
          <cell r="D212" t="str">
            <v>136013X</v>
          </cell>
          <cell r="E212" t="str">
            <v>VESTA 120W MAX PMPO ACTIVE SPKS</v>
          </cell>
          <cell r="F212">
            <v>18</v>
          </cell>
          <cell r="G212">
            <v>0</v>
          </cell>
          <cell r="J212">
            <v>2</v>
          </cell>
          <cell r="L212">
            <v>0</v>
          </cell>
          <cell r="N212">
            <v>250</v>
          </cell>
          <cell r="O212">
            <v>250</v>
          </cell>
          <cell r="P212">
            <v>500</v>
          </cell>
        </row>
        <row r="213">
          <cell r="A213" t="str">
            <v>CHIC-601L136013X19</v>
          </cell>
          <cell r="B213" t="str">
            <v>CHIC-601L</v>
          </cell>
          <cell r="C213" t="str">
            <v>136013X</v>
          </cell>
          <cell r="D213" t="str">
            <v>136013X</v>
          </cell>
          <cell r="E213" t="str">
            <v>VESTA 120W MAX PMPO ACTIVE SPKS</v>
          </cell>
          <cell r="F213">
            <v>19</v>
          </cell>
          <cell r="G213">
            <v>0</v>
          </cell>
          <cell r="J213">
            <v>1</v>
          </cell>
          <cell r="L213">
            <v>0</v>
          </cell>
          <cell r="N213">
            <v>250</v>
          </cell>
          <cell r="O213">
            <v>250</v>
          </cell>
          <cell r="P213">
            <v>250</v>
          </cell>
        </row>
        <row r="214">
          <cell r="A214" t="str">
            <v>CHIC-720136007G48</v>
          </cell>
          <cell r="B214" t="str">
            <v>CHIC-720</v>
          </cell>
          <cell r="C214" t="str">
            <v>136007G</v>
          </cell>
          <cell r="D214" t="str">
            <v>136007G</v>
          </cell>
          <cell r="E214" t="str">
            <v>VESTA SCROLL MICE WIN 98 / NT*</v>
          </cell>
          <cell r="F214">
            <v>48</v>
          </cell>
          <cell r="G214">
            <v>43.13</v>
          </cell>
          <cell r="J214">
            <v>5</v>
          </cell>
          <cell r="K214">
            <v>215.65</v>
          </cell>
          <cell r="L214">
            <v>43.13</v>
          </cell>
          <cell r="M214">
            <v>0.01</v>
          </cell>
          <cell r="N214">
            <v>43.13</v>
          </cell>
          <cell r="O214">
            <v>150</v>
          </cell>
          <cell r="P214">
            <v>750</v>
          </cell>
        </row>
        <row r="215">
          <cell r="A215" t="str">
            <v>CHIC-720136007X19</v>
          </cell>
          <cell r="B215" t="str">
            <v>CHIC-720</v>
          </cell>
          <cell r="C215" t="str">
            <v>136007X</v>
          </cell>
          <cell r="D215" t="str">
            <v>136007X</v>
          </cell>
          <cell r="E215" t="str">
            <v>VESTA SCROLL MICE WIN 98/NT BOX</v>
          </cell>
          <cell r="F215">
            <v>19</v>
          </cell>
          <cell r="G215">
            <v>0</v>
          </cell>
          <cell r="H215">
            <v>6</v>
          </cell>
          <cell r="J215">
            <v>5</v>
          </cell>
          <cell r="L215">
            <v>0</v>
          </cell>
          <cell r="N215">
            <v>110</v>
          </cell>
          <cell r="O215">
            <v>100</v>
          </cell>
          <cell r="P215">
            <v>1100</v>
          </cell>
        </row>
        <row r="216">
          <cell r="A216" t="str">
            <v>CHIC-720136007X59</v>
          </cell>
          <cell r="B216" t="str">
            <v>CHIC-720</v>
          </cell>
          <cell r="C216" t="str">
            <v>136007X</v>
          </cell>
          <cell r="D216" t="str">
            <v>136007X</v>
          </cell>
          <cell r="E216" t="str">
            <v>VESTA SCROLL MICE WIN 98/NT BOX</v>
          </cell>
          <cell r="F216">
            <v>59</v>
          </cell>
          <cell r="G216">
            <v>0</v>
          </cell>
          <cell r="J216">
            <v>1</v>
          </cell>
          <cell r="L216">
            <v>0</v>
          </cell>
          <cell r="N216">
            <v>110</v>
          </cell>
          <cell r="O216">
            <v>100</v>
          </cell>
          <cell r="P216">
            <v>100</v>
          </cell>
        </row>
        <row r="217">
          <cell r="A217" t="str">
            <v>CHIC-720136007X39</v>
          </cell>
          <cell r="B217" t="str">
            <v>CHIC-720</v>
          </cell>
          <cell r="C217" t="str">
            <v>136007X</v>
          </cell>
          <cell r="D217" t="str">
            <v>136007X</v>
          </cell>
          <cell r="E217" t="str">
            <v>VESTA SCROLL MICE WIN 98/NT BOX</v>
          </cell>
          <cell r="F217">
            <v>39</v>
          </cell>
          <cell r="G217">
            <v>0</v>
          </cell>
          <cell r="J217">
            <v>5</v>
          </cell>
          <cell r="K217">
            <v>0</v>
          </cell>
          <cell r="O217">
            <v>100</v>
          </cell>
          <cell r="P217">
            <v>500</v>
          </cell>
        </row>
        <row r="218">
          <cell r="A218" t="str">
            <v>CHIC-77013600918</v>
          </cell>
          <cell r="B218" t="str">
            <v>CHIC-770</v>
          </cell>
          <cell r="C218" t="str">
            <v>136009</v>
          </cell>
          <cell r="D218" t="str">
            <v>136009</v>
          </cell>
          <cell r="E218" t="str">
            <v>VESTA NOTE BOOK MICE BLACK</v>
          </cell>
          <cell r="F218">
            <v>18</v>
          </cell>
          <cell r="G218">
            <v>300</v>
          </cell>
          <cell r="J218">
            <v>5</v>
          </cell>
          <cell r="K218">
            <v>1500</v>
          </cell>
          <cell r="L218">
            <v>300</v>
          </cell>
          <cell r="M218">
            <v>338.29113924050631</v>
          </cell>
          <cell r="N218">
            <v>300</v>
          </cell>
          <cell r="O218">
            <v>300</v>
          </cell>
          <cell r="P218">
            <v>1500</v>
          </cell>
        </row>
        <row r="219">
          <cell r="A219" t="str">
            <v>CHIC-77013600968</v>
          </cell>
          <cell r="B219" t="str">
            <v>CHIC-770</v>
          </cell>
          <cell r="C219" t="str">
            <v>136009</v>
          </cell>
          <cell r="D219" t="str">
            <v>136009</v>
          </cell>
          <cell r="E219" t="str">
            <v>VESTA NOTE BOOK MICE BLACK</v>
          </cell>
          <cell r="F219">
            <v>68</v>
          </cell>
          <cell r="G219">
            <v>300</v>
          </cell>
          <cell r="J219">
            <v>3</v>
          </cell>
          <cell r="K219">
            <v>900</v>
          </cell>
          <cell r="L219">
            <v>300</v>
          </cell>
          <cell r="M219">
            <v>338.29113924050631</v>
          </cell>
          <cell r="N219">
            <v>300</v>
          </cell>
          <cell r="O219">
            <v>300</v>
          </cell>
          <cell r="P219">
            <v>900</v>
          </cell>
        </row>
        <row r="220">
          <cell r="A220" t="str">
            <v>CHIC-770136009R18</v>
          </cell>
          <cell r="B220" t="str">
            <v>CHIC-770</v>
          </cell>
          <cell r="C220" t="str">
            <v>136009R</v>
          </cell>
          <cell r="D220" t="str">
            <v>136009R</v>
          </cell>
          <cell r="E220" t="str">
            <v>VESTA NOTE BOOK MICE BLACK</v>
          </cell>
          <cell r="F220">
            <v>18</v>
          </cell>
          <cell r="G220">
            <v>0.68</v>
          </cell>
          <cell r="J220">
            <v>1</v>
          </cell>
          <cell r="K220">
            <v>0.67</v>
          </cell>
          <cell r="L220">
            <v>0.68</v>
          </cell>
          <cell r="N220">
            <v>300</v>
          </cell>
          <cell r="O220">
            <v>300</v>
          </cell>
          <cell r="P220">
            <v>300</v>
          </cell>
        </row>
        <row r="221">
          <cell r="A221" t="str">
            <v>CHIC-80013600818</v>
          </cell>
          <cell r="B221" t="str">
            <v>CHIC-800</v>
          </cell>
          <cell r="C221" t="str">
            <v>136008</v>
          </cell>
          <cell r="D221" t="str">
            <v>136008</v>
          </cell>
          <cell r="E221" t="str">
            <v>VESTA AUTO BROWSER MICE*600 DPI</v>
          </cell>
          <cell r="F221">
            <v>18</v>
          </cell>
          <cell r="G221">
            <v>350</v>
          </cell>
          <cell r="J221">
            <v>9</v>
          </cell>
          <cell r="K221">
            <v>3150</v>
          </cell>
          <cell r="L221">
            <v>350</v>
          </cell>
          <cell r="M221">
            <v>325.92592592592592</v>
          </cell>
          <cell r="N221">
            <v>350</v>
          </cell>
          <cell r="O221">
            <v>350</v>
          </cell>
          <cell r="P221">
            <v>3150</v>
          </cell>
        </row>
        <row r="222">
          <cell r="A222" t="str">
            <v>CHIC-800136008G18</v>
          </cell>
          <cell r="B222" t="str">
            <v>CHIC-800</v>
          </cell>
          <cell r="C222" t="str">
            <v>136008G</v>
          </cell>
          <cell r="D222" t="str">
            <v>136008G</v>
          </cell>
          <cell r="E222" t="str">
            <v>VESTA 600 DPI SCROLL MICE**.**</v>
          </cell>
          <cell r="F222">
            <v>18</v>
          </cell>
          <cell r="G222">
            <v>62.95</v>
          </cell>
          <cell r="J222">
            <v>1</v>
          </cell>
          <cell r="K222">
            <v>62.95</v>
          </cell>
          <cell r="L222">
            <v>62.95</v>
          </cell>
          <cell r="N222">
            <v>350</v>
          </cell>
          <cell r="O222">
            <v>350</v>
          </cell>
          <cell r="P222">
            <v>350</v>
          </cell>
        </row>
        <row r="223">
          <cell r="A223" t="str">
            <v>CHIC-800136008R18</v>
          </cell>
          <cell r="B223" t="str">
            <v>CHIC-800</v>
          </cell>
          <cell r="C223" t="str">
            <v>136008R</v>
          </cell>
          <cell r="D223" t="str">
            <v>136008R</v>
          </cell>
          <cell r="E223" t="str">
            <v>VESTA AUTO BROWSER MICE*600 DPI</v>
          </cell>
          <cell r="F223">
            <v>18</v>
          </cell>
          <cell r="G223">
            <v>0.01</v>
          </cell>
          <cell r="J223">
            <v>6</v>
          </cell>
          <cell r="K223">
            <v>0.04</v>
          </cell>
          <cell r="L223">
            <v>0.01</v>
          </cell>
          <cell r="N223">
            <v>350</v>
          </cell>
          <cell r="O223">
            <v>100</v>
          </cell>
          <cell r="P223">
            <v>600</v>
          </cell>
        </row>
        <row r="224">
          <cell r="A224" t="str">
            <v>CHIC-800136008X19</v>
          </cell>
          <cell r="B224" t="str">
            <v>CHIC-800</v>
          </cell>
          <cell r="C224" t="str">
            <v>136008X</v>
          </cell>
          <cell r="D224" t="str">
            <v>136008X</v>
          </cell>
          <cell r="E224" t="str">
            <v>VESTA AUTO BROWSER MICE 600 DPI</v>
          </cell>
          <cell r="F224">
            <v>19</v>
          </cell>
          <cell r="G224">
            <v>0</v>
          </cell>
          <cell r="H224">
            <v>1</v>
          </cell>
          <cell r="L224">
            <v>0</v>
          </cell>
          <cell r="N224">
            <v>350</v>
          </cell>
          <cell r="O224">
            <v>300</v>
          </cell>
          <cell r="P224">
            <v>300</v>
          </cell>
        </row>
        <row r="225">
          <cell r="A225" t="str">
            <v>CHIC-82013600718</v>
          </cell>
          <cell r="B225" t="str">
            <v>CHIC-820</v>
          </cell>
          <cell r="C225" t="str">
            <v>136007</v>
          </cell>
          <cell r="D225" t="str">
            <v>136007</v>
          </cell>
          <cell r="E225" t="str">
            <v>VESTA SCROLL MICE WIN 98/NT.**</v>
          </cell>
          <cell r="F225">
            <v>18</v>
          </cell>
          <cell r="G225">
            <v>110</v>
          </cell>
          <cell r="J225">
            <v>6</v>
          </cell>
          <cell r="K225">
            <v>660</v>
          </cell>
          <cell r="L225">
            <v>110</v>
          </cell>
          <cell r="M225">
            <v>112.77586892263295</v>
          </cell>
          <cell r="N225">
            <v>110</v>
          </cell>
          <cell r="O225">
            <v>100</v>
          </cell>
          <cell r="P225">
            <v>600</v>
          </cell>
        </row>
        <row r="226">
          <cell r="A226" t="str">
            <v>CHIC-82013600758</v>
          </cell>
          <cell r="B226" t="str">
            <v>CHIC-820</v>
          </cell>
          <cell r="C226" t="str">
            <v>136007</v>
          </cell>
          <cell r="D226" t="str">
            <v>136007</v>
          </cell>
          <cell r="E226" t="str">
            <v>VESTA SCROLL MICE WIN 98/NT.**</v>
          </cell>
          <cell r="F226">
            <v>58</v>
          </cell>
          <cell r="G226">
            <v>110</v>
          </cell>
          <cell r="J226">
            <v>4</v>
          </cell>
          <cell r="K226">
            <v>440</v>
          </cell>
          <cell r="L226">
            <v>110</v>
          </cell>
          <cell r="M226">
            <v>112.77586892263295</v>
          </cell>
          <cell r="N226">
            <v>110</v>
          </cell>
          <cell r="O226">
            <v>100</v>
          </cell>
          <cell r="P226">
            <v>400</v>
          </cell>
        </row>
        <row r="227">
          <cell r="A227" t="str">
            <v>CHIC-820136007R18</v>
          </cell>
          <cell r="B227" t="str">
            <v>CHIC-820</v>
          </cell>
          <cell r="C227" t="str">
            <v>136007R</v>
          </cell>
          <cell r="D227" t="str">
            <v>136007R</v>
          </cell>
          <cell r="E227" t="str">
            <v>VESTA SCROLL MICE WIN 98/NT.**</v>
          </cell>
          <cell r="F227">
            <v>18</v>
          </cell>
          <cell r="G227">
            <v>0.63</v>
          </cell>
          <cell r="J227">
            <v>23</v>
          </cell>
          <cell r="K227">
            <v>14.46</v>
          </cell>
          <cell r="L227">
            <v>0.63</v>
          </cell>
          <cell r="N227">
            <v>110</v>
          </cell>
          <cell r="O227">
            <v>100</v>
          </cell>
          <cell r="P227">
            <v>2300</v>
          </cell>
        </row>
        <row r="228">
          <cell r="A228" t="str">
            <v>CHIC-820136007R58</v>
          </cell>
          <cell r="B228" t="str">
            <v>CHIC-820</v>
          </cell>
          <cell r="C228" t="str">
            <v>136007R</v>
          </cell>
          <cell r="D228" t="str">
            <v>136007R</v>
          </cell>
          <cell r="E228" t="str">
            <v>VESTA SCROLL MICE WIN 98/NT.**</v>
          </cell>
          <cell r="F228">
            <v>58</v>
          </cell>
          <cell r="G228">
            <v>0.63</v>
          </cell>
          <cell r="J228">
            <v>6</v>
          </cell>
          <cell r="K228">
            <v>3.77</v>
          </cell>
          <cell r="L228">
            <v>0.63</v>
          </cell>
          <cell r="N228">
            <v>110</v>
          </cell>
          <cell r="O228">
            <v>100</v>
          </cell>
          <cell r="P228">
            <v>600</v>
          </cell>
        </row>
        <row r="229">
          <cell r="A229" t="str">
            <v>CISCO261010400918</v>
          </cell>
          <cell r="B229" t="str">
            <v>CISCO2610</v>
          </cell>
          <cell r="C229" t="str">
            <v>104009</v>
          </cell>
          <cell r="D229" t="str">
            <v>104009</v>
          </cell>
          <cell r="E229" t="str">
            <v>2610 ENET MODULAR ROUTER W/ IP</v>
          </cell>
          <cell r="F229">
            <v>18</v>
          </cell>
          <cell r="G229">
            <v>85513.34</v>
          </cell>
          <cell r="J229">
            <v>1</v>
          </cell>
          <cell r="K229">
            <v>85513.34</v>
          </cell>
          <cell r="L229">
            <v>85513.34</v>
          </cell>
          <cell r="M229">
            <v>85694.742741935479</v>
          </cell>
          <cell r="N229">
            <v>85513.34</v>
          </cell>
          <cell r="O229">
            <v>87000</v>
          </cell>
          <cell r="P229">
            <v>87000</v>
          </cell>
        </row>
        <row r="230">
          <cell r="A230" t="str">
            <v>CISCO2610104009X19</v>
          </cell>
          <cell r="B230" t="str">
            <v>CISCO2610</v>
          </cell>
          <cell r="C230" t="str">
            <v>104009X</v>
          </cell>
          <cell r="D230" t="str">
            <v>104009X</v>
          </cell>
          <cell r="E230" t="str">
            <v>2610 ENET MODULAR ROUTER***.**</v>
          </cell>
          <cell r="F230">
            <v>19</v>
          </cell>
          <cell r="G230">
            <v>0</v>
          </cell>
          <cell r="J230">
            <v>1</v>
          </cell>
          <cell r="L230">
            <v>0</v>
          </cell>
          <cell r="N230">
            <v>85513.34</v>
          </cell>
          <cell r="O230">
            <v>60000</v>
          </cell>
          <cell r="P230">
            <v>60000</v>
          </cell>
        </row>
        <row r="231">
          <cell r="A231" t="str">
            <v>CISCO364010403418</v>
          </cell>
          <cell r="B231" t="str">
            <v>CISCO3640</v>
          </cell>
          <cell r="C231" t="str">
            <v>104034</v>
          </cell>
          <cell r="D231" t="str">
            <v>104034</v>
          </cell>
          <cell r="E231" t="str">
            <v>3640, 4 SLOT MODULAR ROUTER.</v>
          </cell>
          <cell r="F231">
            <v>18</v>
          </cell>
          <cell r="G231">
            <v>282682.90000000002</v>
          </cell>
          <cell r="J231">
            <v>1</v>
          </cell>
          <cell r="K231">
            <v>282682.90000000002</v>
          </cell>
          <cell r="L231">
            <v>282682.90000000002</v>
          </cell>
          <cell r="M231">
            <v>278940.73913043475</v>
          </cell>
          <cell r="N231">
            <v>282682.90000000002</v>
          </cell>
          <cell r="O231">
            <v>235000</v>
          </cell>
          <cell r="P231">
            <v>235000</v>
          </cell>
        </row>
        <row r="232">
          <cell r="A232" t="str">
            <v>CISCO364010403458</v>
          </cell>
          <cell r="B232" t="str">
            <v>CISCO3640</v>
          </cell>
          <cell r="C232" t="str">
            <v>104034</v>
          </cell>
          <cell r="D232" t="str">
            <v>104034</v>
          </cell>
          <cell r="E232" t="str">
            <v>3640, 4 SLOT MODULAR ROUTER.</v>
          </cell>
          <cell r="F232">
            <v>58</v>
          </cell>
          <cell r="G232">
            <v>282682.90000000002</v>
          </cell>
          <cell r="J232">
            <v>1</v>
          </cell>
          <cell r="K232">
            <v>282682.90000000002</v>
          </cell>
          <cell r="L232">
            <v>282682.90000000002</v>
          </cell>
          <cell r="M232">
            <v>278940.73913043475</v>
          </cell>
          <cell r="N232">
            <v>282682.90000000002</v>
          </cell>
          <cell r="O232">
            <v>235000</v>
          </cell>
          <cell r="P232">
            <v>235000</v>
          </cell>
        </row>
        <row r="233">
          <cell r="A233" t="str">
            <v>CISCO3640104034X19</v>
          </cell>
          <cell r="B233" t="str">
            <v>CISCO3640</v>
          </cell>
          <cell r="C233" t="str">
            <v>104034X</v>
          </cell>
          <cell r="D233" t="str">
            <v>104034X</v>
          </cell>
          <cell r="E233" t="str">
            <v>3640, 4 SLOT MODULAR ROUTER.**</v>
          </cell>
          <cell r="F233">
            <v>19</v>
          </cell>
          <cell r="G233">
            <v>0</v>
          </cell>
          <cell r="J233">
            <v>1</v>
          </cell>
          <cell r="L233">
            <v>0</v>
          </cell>
          <cell r="N233">
            <v>282682.90000000002</v>
          </cell>
          <cell r="O233">
            <v>0</v>
          </cell>
          <cell r="P233">
            <v>0</v>
          </cell>
        </row>
        <row r="234">
          <cell r="A234" t="str">
            <v>CREDIT NOTE11099919</v>
          </cell>
          <cell r="B234" t="str">
            <v>CREDIT NOTE</v>
          </cell>
          <cell r="C234" t="str">
            <v>110999</v>
          </cell>
          <cell r="D234" t="str">
            <v>110999</v>
          </cell>
          <cell r="E234" t="str">
            <v>CREDIT NOTE ( INTEL CPU)</v>
          </cell>
          <cell r="F234">
            <v>19</v>
          </cell>
          <cell r="G234">
            <v>1</v>
          </cell>
          <cell r="J234">
            <v>9</v>
          </cell>
          <cell r="K234">
            <v>9</v>
          </cell>
          <cell r="L234">
            <v>1</v>
          </cell>
          <cell r="N234">
            <v>1</v>
          </cell>
          <cell r="O234">
            <v>0</v>
          </cell>
          <cell r="P234">
            <v>0</v>
          </cell>
        </row>
        <row r="235">
          <cell r="A235" t="str">
            <v>CREDIT NOTE11199819</v>
          </cell>
          <cell r="B235" t="str">
            <v>CREDIT NOTE</v>
          </cell>
          <cell r="C235" t="str">
            <v>111998</v>
          </cell>
          <cell r="D235" t="str">
            <v>111998</v>
          </cell>
          <cell r="E235" t="str">
            <v>CREDIT NOTE (IOMEGA)</v>
          </cell>
          <cell r="F235">
            <v>19</v>
          </cell>
          <cell r="G235">
            <v>1</v>
          </cell>
          <cell r="J235">
            <v>2</v>
          </cell>
          <cell r="K235">
            <v>2</v>
          </cell>
          <cell r="L235">
            <v>1</v>
          </cell>
          <cell r="N235">
            <v>1</v>
          </cell>
          <cell r="O235">
            <v>0</v>
          </cell>
          <cell r="P235">
            <v>0</v>
          </cell>
        </row>
        <row r="236">
          <cell r="A236" t="str">
            <v>CREDIT NOTE11999919</v>
          </cell>
          <cell r="B236" t="str">
            <v>CREDIT NOTE</v>
          </cell>
          <cell r="C236" t="str">
            <v>119999</v>
          </cell>
          <cell r="D236" t="str">
            <v>119999</v>
          </cell>
          <cell r="E236" t="str">
            <v>CREDIT NOTE (PC PARTNER)</v>
          </cell>
          <cell r="F236">
            <v>19</v>
          </cell>
          <cell r="G236">
            <v>1</v>
          </cell>
          <cell r="J236">
            <v>1</v>
          </cell>
          <cell r="K236">
            <v>1</v>
          </cell>
          <cell r="L236">
            <v>1</v>
          </cell>
          <cell r="N236">
            <v>1</v>
          </cell>
          <cell r="O236">
            <v>0</v>
          </cell>
          <cell r="P236">
            <v>0</v>
          </cell>
        </row>
        <row r="237">
          <cell r="A237" t="str">
            <v>CREDIT NOTE12299919</v>
          </cell>
          <cell r="B237" t="str">
            <v>CREDIT NOTE</v>
          </cell>
          <cell r="C237" t="str">
            <v>122999</v>
          </cell>
          <cell r="D237" t="str">
            <v>122999</v>
          </cell>
          <cell r="E237" t="str">
            <v>CREDIT NOTE (SEAGATE)</v>
          </cell>
          <cell r="F237">
            <v>19</v>
          </cell>
          <cell r="G237">
            <v>1</v>
          </cell>
          <cell r="J237">
            <v>1</v>
          </cell>
          <cell r="K237">
            <v>1</v>
          </cell>
          <cell r="L237">
            <v>1</v>
          </cell>
          <cell r="N237">
            <v>1</v>
          </cell>
          <cell r="O237">
            <v>0</v>
          </cell>
          <cell r="P237">
            <v>0</v>
          </cell>
        </row>
        <row r="238">
          <cell r="A238" t="str">
            <v>CREDIT NOTE13699919</v>
          </cell>
          <cell r="B238" t="str">
            <v>CREDIT NOTE</v>
          </cell>
          <cell r="C238" t="str">
            <v>136999</v>
          </cell>
          <cell r="D238" t="str">
            <v>136999</v>
          </cell>
          <cell r="E238" t="str">
            <v>CREDIT NOTE (VESTA)</v>
          </cell>
          <cell r="F238">
            <v>19</v>
          </cell>
          <cell r="G238">
            <v>1</v>
          </cell>
          <cell r="J238">
            <v>1</v>
          </cell>
          <cell r="K238">
            <v>1</v>
          </cell>
          <cell r="L238">
            <v>1</v>
          </cell>
          <cell r="N238">
            <v>1</v>
          </cell>
          <cell r="O238">
            <v>0</v>
          </cell>
          <cell r="P238">
            <v>0</v>
          </cell>
        </row>
        <row r="239">
          <cell r="A239" t="str">
            <v>D359M3117001R18</v>
          </cell>
          <cell r="B239" t="str">
            <v>D359M3</v>
          </cell>
          <cell r="C239" t="str">
            <v>117001R</v>
          </cell>
          <cell r="D239" t="str">
            <v>117001R</v>
          </cell>
          <cell r="E239" t="str">
            <v>MITSUMI 1.44 MB  IBM COLOUR</v>
          </cell>
          <cell r="F239">
            <v>18</v>
          </cell>
          <cell r="G239">
            <v>77.83</v>
          </cell>
          <cell r="J239">
            <v>64</v>
          </cell>
          <cell r="K239">
            <v>4981.26</v>
          </cell>
          <cell r="L239">
            <v>77.83</v>
          </cell>
          <cell r="M239">
            <v>260.15625</v>
          </cell>
          <cell r="N239">
            <v>458.27</v>
          </cell>
          <cell r="O239">
            <v>300</v>
          </cell>
          <cell r="P239">
            <v>19200</v>
          </cell>
        </row>
        <row r="240">
          <cell r="A240" t="str">
            <v>D359M3117001R48</v>
          </cell>
          <cell r="B240" t="str">
            <v>D359M3</v>
          </cell>
          <cell r="C240" t="str">
            <v>117001R</v>
          </cell>
          <cell r="D240" t="str">
            <v>117001R</v>
          </cell>
          <cell r="E240" t="str">
            <v>MITSUMI 1.44 MB  IBM COLOUR</v>
          </cell>
          <cell r="F240">
            <v>48</v>
          </cell>
          <cell r="G240">
            <v>77.83</v>
          </cell>
          <cell r="J240">
            <v>8</v>
          </cell>
          <cell r="K240">
            <v>622.65</v>
          </cell>
          <cell r="L240">
            <v>77.83</v>
          </cell>
          <cell r="M240">
            <v>260.15625</v>
          </cell>
          <cell r="N240">
            <v>458.27</v>
          </cell>
          <cell r="O240">
            <v>300</v>
          </cell>
          <cell r="P240">
            <v>2400</v>
          </cell>
        </row>
        <row r="241">
          <cell r="A241" t="str">
            <v>D359M3117001R58</v>
          </cell>
          <cell r="B241" t="str">
            <v>D359M3</v>
          </cell>
          <cell r="C241" t="str">
            <v>117001R</v>
          </cell>
          <cell r="D241" t="str">
            <v>117001R</v>
          </cell>
          <cell r="E241" t="str">
            <v>MITSUMI 1.44 MB  IBM COLOUR</v>
          </cell>
          <cell r="F241">
            <v>58</v>
          </cell>
          <cell r="G241">
            <v>77.83</v>
          </cell>
          <cell r="H241">
            <v>1</v>
          </cell>
          <cell r="I241">
            <v>77.83</v>
          </cell>
          <cell r="J241">
            <v>15</v>
          </cell>
          <cell r="K241">
            <v>1167.48</v>
          </cell>
          <cell r="L241">
            <v>77.83</v>
          </cell>
          <cell r="M241">
            <v>260.15625</v>
          </cell>
          <cell r="N241">
            <v>458.27</v>
          </cell>
          <cell r="O241">
            <v>300</v>
          </cell>
          <cell r="P241">
            <v>4800</v>
          </cell>
        </row>
        <row r="242">
          <cell r="A242" t="str">
            <v>D359M3117001R68</v>
          </cell>
          <cell r="B242" t="str">
            <v>D359M3</v>
          </cell>
          <cell r="C242" t="str">
            <v>117001R</v>
          </cell>
          <cell r="D242" t="str">
            <v>117001R</v>
          </cell>
          <cell r="E242" t="str">
            <v>MITSUMI 1.44 MB  IBM COLOUR</v>
          </cell>
          <cell r="F242">
            <v>68</v>
          </cell>
          <cell r="G242">
            <v>77.83</v>
          </cell>
          <cell r="J242">
            <v>2</v>
          </cell>
          <cell r="K242">
            <v>155.66</v>
          </cell>
          <cell r="L242">
            <v>77.83</v>
          </cell>
          <cell r="M242">
            <v>260.15625</v>
          </cell>
          <cell r="N242">
            <v>458.27</v>
          </cell>
          <cell r="O242">
            <v>300</v>
          </cell>
          <cell r="P242">
            <v>600</v>
          </cell>
        </row>
        <row r="243">
          <cell r="A243" t="str">
            <v>D359M3117001X19</v>
          </cell>
          <cell r="B243" t="str">
            <v>D359M3</v>
          </cell>
          <cell r="C243" t="str">
            <v>117001X</v>
          </cell>
          <cell r="D243" t="str">
            <v>117001X</v>
          </cell>
          <cell r="E243" t="str">
            <v>MITSUMI 1.44MB IBM COLOUR</v>
          </cell>
          <cell r="F243">
            <v>19</v>
          </cell>
          <cell r="G243">
            <v>0</v>
          </cell>
          <cell r="H243">
            <v>1</v>
          </cell>
          <cell r="J243">
            <v>166</v>
          </cell>
          <cell r="L243">
            <v>0</v>
          </cell>
          <cell r="M243">
            <v>40</v>
          </cell>
          <cell r="N243">
            <v>458.27</v>
          </cell>
          <cell r="O243">
            <v>250</v>
          </cell>
          <cell r="P243">
            <v>41750</v>
          </cell>
        </row>
        <row r="244">
          <cell r="A244" t="str">
            <v>D359M3117001X59</v>
          </cell>
          <cell r="B244" t="str">
            <v>D359M3</v>
          </cell>
          <cell r="C244" t="str">
            <v>117001X</v>
          </cell>
          <cell r="D244" t="str">
            <v>117001X</v>
          </cell>
          <cell r="E244" t="str">
            <v>MITSUMI 1.44MB IBM COLOUR</v>
          </cell>
          <cell r="F244">
            <v>59</v>
          </cell>
          <cell r="G244">
            <v>0</v>
          </cell>
          <cell r="J244">
            <v>1</v>
          </cell>
          <cell r="L244">
            <v>0</v>
          </cell>
          <cell r="M244">
            <v>40</v>
          </cell>
          <cell r="N244">
            <v>458.27</v>
          </cell>
          <cell r="O244">
            <v>250</v>
          </cell>
          <cell r="P244">
            <v>250</v>
          </cell>
        </row>
        <row r="245">
          <cell r="A245" t="str">
            <v>D359M3-D11700118</v>
          </cell>
          <cell r="B245" t="str">
            <v>D359M3-D</v>
          </cell>
          <cell r="C245" t="str">
            <v>117001</v>
          </cell>
          <cell r="D245" t="str">
            <v>117001</v>
          </cell>
          <cell r="E245" t="str">
            <v>MITSUMI 1.44 MB  IBM COLOUR</v>
          </cell>
          <cell r="F245">
            <v>18</v>
          </cell>
          <cell r="G245">
            <v>458.27</v>
          </cell>
          <cell r="J245">
            <v>36</v>
          </cell>
          <cell r="K245">
            <v>16497.61</v>
          </cell>
          <cell r="L245">
            <v>458.27</v>
          </cell>
          <cell r="M245">
            <v>522.31518941987747</v>
          </cell>
          <cell r="N245">
            <v>458.27</v>
          </cell>
          <cell r="O245">
            <v>490</v>
          </cell>
          <cell r="P245">
            <v>17640</v>
          </cell>
        </row>
        <row r="246">
          <cell r="A246" t="str">
            <v>D359M3-D11700168</v>
          </cell>
          <cell r="B246" t="str">
            <v>D359M3-D</v>
          </cell>
          <cell r="C246" t="str">
            <v>117001</v>
          </cell>
          <cell r="D246" t="str">
            <v>117001</v>
          </cell>
          <cell r="E246" t="str">
            <v>MITSUMI 1.44 MB  IBM COLOUR</v>
          </cell>
          <cell r="F246">
            <v>68</v>
          </cell>
          <cell r="G246">
            <v>458.27</v>
          </cell>
          <cell r="J246">
            <v>1</v>
          </cell>
          <cell r="K246">
            <v>458.26</v>
          </cell>
          <cell r="L246">
            <v>458.27</v>
          </cell>
          <cell r="M246">
            <v>522.31518941987747</v>
          </cell>
          <cell r="N246">
            <v>458.27</v>
          </cell>
          <cell r="O246">
            <v>490</v>
          </cell>
          <cell r="P246">
            <v>490</v>
          </cell>
        </row>
        <row r="247">
          <cell r="A247" t="str">
            <v>DDRS34560108002R18</v>
          </cell>
          <cell r="B247" t="str">
            <v>DDRS34560</v>
          </cell>
          <cell r="C247" t="str">
            <v>108002R</v>
          </cell>
          <cell r="D247" t="str">
            <v>108002R</v>
          </cell>
          <cell r="E247" t="str">
            <v>IBM PCI DIFFERENCIAL..*****.**</v>
          </cell>
          <cell r="F247">
            <v>18</v>
          </cell>
          <cell r="G247">
            <v>0.01</v>
          </cell>
          <cell r="J247">
            <v>3</v>
          </cell>
          <cell r="K247">
            <v>0.03</v>
          </cell>
          <cell r="L247">
            <v>0.01</v>
          </cell>
          <cell r="N247">
            <v>3954.44</v>
          </cell>
          <cell r="O247">
            <v>0</v>
          </cell>
          <cell r="P247">
            <v>0</v>
          </cell>
        </row>
        <row r="248">
          <cell r="A248" t="str">
            <v>ECM-S3101117005R18</v>
          </cell>
          <cell r="B248" t="str">
            <v>ECM-S3101</v>
          </cell>
          <cell r="C248" t="str">
            <v>117005R</v>
          </cell>
          <cell r="D248" t="str">
            <v>117005R</v>
          </cell>
          <cell r="E248" t="str">
            <v>MITSUMI REF SERIAL MOUSE</v>
          </cell>
          <cell r="F248">
            <v>18</v>
          </cell>
          <cell r="G248">
            <v>0.01</v>
          </cell>
          <cell r="J248">
            <v>12</v>
          </cell>
          <cell r="K248">
            <v>0.12</v>
          </cell>
          <cell r="L248">
            <v>0.01</v>
          </cell>
          <cell r="O248">
            <v>0</v>
          </cell>
          <cell r="P248">
            <v>0</v>
          </cell>
        </row>
        <row r="249">
          <cell r="A249" t="str">
            <v>FRONT PANEL 616SD136025X19</v>
          </cell>
          <cell r="B249" t="str">
            <v>FRONT PANEL 616SD</v>
          </cell>
          <cell r="C249" t="str">
            <v>136025X</v>
          </cell>
          <cell r="D249" t="str">
            <v>136025X</v>
          </cell>
          <cell r="E249" t="str">
            <v>FRONT PANELS FOR VESTA 616SD</v>
          </cell>
          <cell r="F249">
            <v>19</v>
          </cell>
          <cell r="G249">
            <v>0</v>
          </cell>
          <cell r="J249">
            <v>6</v>
          </cell>
          <cell r="L249">
            <v>0</v>
          </cell>
          <cell r="O249">
            <v>0</v>
          </cell>
          <cell r="P249">
            <v>0</v>
          </cell>
        </row>
        <row r="250">
          <cell r="A250" t="str">
            <v>FRONT PANEL 959SA136026X19</v>
          </cell>
          <cell r="B250" t="str">
            <v>FRONT PANEL 959SA</v>
          </cell>
          <cell r="C250" t="str">
            <v>136026X</v>
          </cell>
          <cell r="D250" t="str">
            <v>136026X</v>
          </cell>
          <cell r="E250" t="str">
            <v>FRONT PANELS FOR VESTA 959SA</v>
          </cell>
          <cell r="F250">
            <v>19</v>
          </cell>
          <cell r="G250">
            <v>0</v>
          </cell>
          <cell r="J250">
            <v>20</v>
          </cell>
          <cell r="L250">
            <v>0</v>
          </cell>
          <cell r="O250">
            <v>0</v>
          </cell>
          <cell r="P250">
            <v>0</v>
          </cell>
        </row>
        <row r="251">
          <cell r="A251" t="str">
            <v>FRONT PANEL 959SA136026X59</v>
          </cell>
          <cell r="B251" t="str">
            <v>FRONT PANEL 959SA</v>
          </cell>
          <cell r="C251" t="str">
            <v>136026X</v>
          </cell>
          <cell r="D251" t="str">
            <v>136026X</v>
          </cell>
          <cell r="E251" t="str">
            <v>FRONT PANELS FOR VESTA 959SA</v>
          </cell>
          <cell r="F251">
            <v>59</v>
          </cell>
          <cell r="G251">
            <v>0</v>
          </cell>
          <cell r="J251">
            <v>3</v>
          </cell>
          <cell r="L251">
            <v>0</v>
          </cell>
          <cell r="O251">
            <v>0</v>
          </cell>
          <cell r="P251">
            <v>0</v>
          </cell>
        </row>
        <row r="252">
          <cell r="A252" t="str">
            <v>FRONT PANEL13603818</v>
          </cell>
          <cell r="B252" t="str">
            <v>FRONT PANEL</v>
          </cell>
          <cell r="C252" t="str">
            <v>136038</v>
          </cell>
          <cell r="D252" t="str">
            <v>136038</v>
          </cell>
          <cell r="E252" t="str">
            <v>FRONT PANEL FOR VESTA CABINETS</v>
          </cell>
          <cell r="F252">
            <v>18</v>
          </cell>
          <cell r="G252">
            <v>8.32</v>
          </cell>
          <cell r="J252">
            <v>220</v>
          </cell>
          <cell r="K252">
            <v>1830.97</v>
          </cell>
          <cell r="L252">
            <v>8.32</v>
          </cell>
          <cell r="N252">
            <v>8.32</v>
          </cell>
          <cell r="O252">
            <v>20</v>
          </cell>
          <cell r="P252">
            <v>4400</v>
          </cell>
        </row>
        <row r="253">
          <cell r="A253" t="str">
            <v>FRONT PANEL13603848</v>
          </cell>
          <cell r="B253" t="str">
            <v>FRONT PANEL</v>
          </cell>
          <cell r="C253" t="str">
            <v>136038</v>
          </cell>
          <cell r="D253" t="str">
            <v>136038</v>
          </cell>
          <cell r="E253" t="str">
            <v>FRONT PANEL FOR VESTA CABINETS</v>
          </cell>
          <cell r="F253">
            <v>48</v>
          </cell>
          <cell r="G253">
            <v>8.32</v>
          </cell>
          <cell r="J253">
            <v>15</v>
          </cell>
          <cell r="K253">
            <v>124.83</v>
          </cell>
          <cell r="L253">
            <v>8.32</v>
          </cell>
          <cell r="N253">
            <v>8.32</v>
          </cell>
          <cell r="O253">
            <v>20</v>
          </cell>
          <cell r="P253">
            <v>300</v>
          </cell>
        </row>
        <row r="254">
          <cell r="A254" t="str">
            <v>FRONT PANEL13603858</v>
          </cell>
          <cell r="B254" t="str">
            <v>FRONT PANEL</v>
          </cell>
          <cell r="C254" t="str">
            <v>136038</v>
          </cell>
          <cell r="D254" t="str">
            <v>136038</v>
          </cell>
          <cell r="E254" t="str">
            <v>FRONT PANEL FOR VESTA CABINETS</v>
          </cell>
          <cell r="F254">
            <v>58</v>
          </cell>
          <cell r="G254">
            <v>8.32</v>
          </cell>
          <cell r="J254">
            <v>138</v>
          </cell>
          <cell r="K254">
            <v>1148.51</v>
          </cell>
          <cell r="L254">
            <v>8.32</v>
          </cell>
          <cell r="N254">
            <v>8.32</v>
          </cell>
          <cell r="O254">
            <v>20</v>
          </cell>
          <cell r="P254">
            <v>2760</v>
          </cell>
        </row>
        <row r="255">
          <cell r="A255" t="str">
            <v>G-92213601548</v>
          </cell>
          <cell r="B255" t="str">
            <v>G-922</v>
          </cell>
          <cell r="C255" t="str">
            <v>136015</v>
          </cell>
          <cell r="D255" t="str">
            <v>136015</v>
          </cell>
          <cell r="E255" t="str">
            <v>VESTA 500W PMPO WOOFER SPKS.**</v>
          </cell>
          <cell r="F255">
            <v>48</v>
          </cell>
          <cell r="G255">
            <v>1367.03</v>
          </cell>
          <cell r="J255">
            <v>2</v>
          </cell>
          <cell r="K255">
            <v>2734.06</v>
          </cell>
          <cell r="L255">
            <v>1367.03</v>
          </cell>
          <cell r="M255">
            <v>1470.219512195122</v>
          </cell>
          <cell r="N255">
            <v>1367.03</v>
          </cell>
          <cell r="O255">
            <v>1300</v>
          </cell>
          <cell r="P255">
            <v>2600</v>
          </cell>
        </row>
        <row r="256">
          <cell r="A256" t="str">
            <v>G-92213601568</v>
          </cell>
          <cell r="B256" t="str">
            <v>G-922</v>
          </cell>
          <cell r="C256" t="str">
            <v>136015</v>
          </cell>
          <cell r="D256" t="str">
            <v>136015</v>
          </cell>
          <cell r="E256" t="str">
            <v>VESTA 500W PMPO WOOFER SPKS.**</v>
          </cell>
          <cell r="F256">
            <v>68</v>
          </cell>
          <cell r="G256">
            <v>1367.03</v>
          </cell>
          <cell r="J256">
            <v>2</v>
          </cell>
          <cell r="K256">
            <v>2734.06</v>
          </cell>
          <cell r="L256">
            <v>1367.03</v>
          </cell>
          <cell r="M256">
            <v>1470.219512195122</v>
          </cell>
          <cell r="N256">
            <v>1367.03</v>
          </cell>
          <cell r="O256">
            <v>1300</v>
          </cell>
          <cell r="P256">
            <v>2600</v>
          </cell>
        </row>
        <row r="257">
          <cell r="A257" t="str">
            <v>G-922136015A18</v>
          </cell>
          <cell r="B257" t="str">
            <v>G-922</v>
          </cell>
          <cell r="C257" t="str">
            <v>136015A</v>
          </cell>
          <cell r="D257" t="str">
            <v>136015A</v>
          </cell>
          <cell r="E257" t="str">
            <v>VESTA 500W PMPO WOOFER SPKS.**</v>
          </cell>
          <cell r="F257">
            <v>18</v>
          </cell>
          <cell r="G257">
            <v>1076.5</v>
          </cell>
          <cell r="J257">
            <v>1</v>
          </cell>
          <cell r="K257">
            <v>1076.5</v>
          </cell>
          <cell r="L257">
            <v>1076.5</v>
          </cell>
          <cell r="N257">
            <v>1076.5</v>
          </cell>
          <cell r="O257">
            <v>1300</v>
          </cell>
          <cell r="P257">
            <v>1300</v>
          </cell>
        </row>
        <row r="258">
          <cell r="A258" t="str">
            <v>G-922136015B18</v>
          </cell>
          <cell r="B258" t="str">
            <v>G-922</v>
          </cell>
          <cell r="C258" t="str">
            <v>136015B</v>
          </cell>
          <cell r="D258" t="str">
            <v>136015B</v>
          </cell>
          <cell r="E258" t="str">
            <v>VESTA 500W PMPO WOOFER SPKS.**</v>
          </cell>
          <cell r="F258">
            <v>18</v>
          </cell>
          <cell r="G258">
            <v>1076.5</v>
          </cell>
          <cell r="J258">
            <v>1</v>
          </cell>
          <cell r="K258">
            <v>1076.5</v>
          </cell>
          <cell r="L258">
            <v>1076.5</v>
          </cell>
          <cell r="N258">
            <v>1076.5</v>
          </cell>
          <cell r="O258">
            <v>1300</v>
          </cell>
          <cell r="P258">
            <v>1300</v>
          </cell>
        </row>
        <row r="259">
          <cell r="A259" t="str">
            <v>G-922136015C18</v>
          </cell>
          <cell r="B259" t="str">
            <v>G-922</v>
          </cell>
          <cell r="C259" t="str">
            <v>136015C</v>
          </cell>
          <cell r="D259" t="str">
            <v>136015C</v>
          </cell>
          <cell r="E259" t="str">
            <v>VESTA 500W PMPO WOOFER SPKS.**</v>
          </cell>
          <cell r="F259">
            <v>18</v>
          </cell>
          <cell r="G259">
            <v>1076.5</v>
          </cell>
          <cell r="J259">
            <v>1</v>
          </cell>
          <cell r="K259">
            <v>1076.5</v>
          </cell>
          <cell r="L259">
            <v>1076.5</v>
          </cell>
          <cell r="N259">
            <v>1076.5</v>
          </cell>
          <cell r="O259">
            <v>1300</v>
          </cell>
          <cell r="P259">
            <v>1300</v>
          </cell>
        </row>
        <row r="260">
          <cell r="A260" t="str">
            <v>G-922136015G58</v>
          </cell>
          <cell r="B260" t="str">
            <v>G-922</v>
          </cell>
          <cell r="C260" t="str">
            <v>136015G</v>
          </cell>
          <cell r="D260" t="str">
            <v>136015G</v>
          </cell>
          <cell r="E260" t="str">
            <v>VESTA 500W PMPO WOOFER SPKS.**</v>
          </cell>
          <cell r="F260">
            <v>58</v>
          </cell>
          <cell r="G260">
            <v>562.01</v>
          </cell>
          <cell r="J260">
            <v>2</v>
          </cell>
          <cell r="K260">
            <v>1124.02</v>
          </cell>
          <cell r="L260">
            <v>562.01</v>
          </cell>
          <cell r="N260">
            <v>562.01</v>
          </cell>
          <cell r="O260">
            <v>1300</v>
          </cell>
          <cell r="P260">
            <v>2600</v>
          </cell>
        </row>
        <row r="261">
          <cell r="A261" t="str">
            <v>G-922136015H18</v>
          </cell>
          <cell r="B261" t="str">
            <v>G-922</v>
          </cell>
          <cell r="C261" t="str">
            <v>136015H</v>
          </cell>
          <cell r="D261" t="str">
            <v>136015H</v>
          </cell>
          <cell r="E261" t="str">
            <v>VESTA 500W PMPO WOOFER SPKS.**</v>
          </cell>
          <cell r="F261">
            <v>18</v>
          </cell>
          <cell r="G261">
            <v>1076.5</v>
          </cell>
          <cell r="J261">
            <v>1</v>
          </cell>
          <cell r="K261">
            <v>1076.5</v>
          </cell>
          <cell r="L261">
            <v>1076.5</v>
          </cell>
          <cell r="N261">
            <v>1076.5</v>
          </cell>
          <cell r="O261">
            <v>1300</v>
          </cell>
          <cell r="P261">
            <v>1300</v>
          </cell>
        </row>
        <row r="262">
          <cell r="A262" t="str">
            <v>G-922136015I18</v>
          </cell>
          <cell r="B262" t="str">
            <v>G-922</v>
          </cell>
          <cell r="C262" t="str">
            <v>136015I</v>
          </cell>
          <cell r="D262" t="str">
            <v>136015I</v>
          </cell>
          <cell r="E262" t="str">
            <v>VESTA 500W PMPO WOOFER SPKS.**</v>
          </cell>
          <cell r="F262">
            <v>18</v>
          </cell>
          <cell r="G262">
            <v>1076.5</v>
          </cell>
          <cell r="J262">
            <v>1</v>
          </cell>
          <cell r="K262">
            <v>1076.5</v>
          </cell>
          <cell r="L262">
            <v>1076.5</v>
          </cell>
          <cell r="N262">
            <v>1076.5</v>
          </cell>
          <cell r="O262">
            <v>1300</v>
          </cell>
          <cell r="P262">
            <v>1300</v>
          </cell>
        </row>
        <row r="263">
          <cell r="A263" t="str">
            <v>G-922136015K18</v>
          </cell>
          <cell r="B263" t="str">
            <v>G-922</v>
          </cell>
          <cell r="C263" t="str">
            <v>136015K</v>
          </cell>
          <cell r="D263" t="str">
            <v>136015K</v>
          </cell>
          <cell r="E263" t="str">
            <v>VESTA 500W PMPO WOOFER SPKS.**</v>
          </cell>
          <cell r="F263">
            <v>18</v>
          </cell>
          <cell r="G263">
            <v>1076.5</v>
          </cell>
          <cell r="J263">
            <v>1</v>
          </cell>
          <cell r="K263">
            <v>1076.5</v>
          </cell>
          <cell r="L263">
            <v>1076.5</v>
          </cell>
          <cell r="N263">
            <v>1076.5</v>
          </cell>
          <cell r="O263">
            <v>1300</v>
          </cell>
          <cell r="P263">
            <v>1300</v>
          </cell>
        </row>
        <row r="264">
          <cell r="A264" t="str">
            <v>G-922136015L18</v>
          </cell>
          <cell r="B264" t="str">
            <v>G-922</v>
          </cell>
          <cell r="C264" t="str">
            <v>136015L</v>
          </cell>
          <cell r="D264" t="str">
            <v>136015L</v>
          </cell>
          <cell r="E264" t="str">
            <v>VESTA 500W PMPO WOOFER SPKS.**</v>
          </cell>
          <cell r="F264">
            <v>18</v>
          </cell>
          <cell r="G264">
            <v>1076.5</v>
          </cell>
          <cell r="J264">
            <v>1</v>
          </cell>
          <cell r="K264">
            <v>1076.5</v>
          </cell>
          <cell r="L264">
            <v>1076.5</v>
          </cell>
          <cell r="N264">
            <v>1076.5</v>
          </cell>
          <cell r="O264">
            <v>1300</v>
          </cell>
          <cell r="P264">
            <v>1300</v>
          </cell>
        </row>
        <row r="265">
          <cell r="A265" t="str">
            <v>G-922136015P18</v>
          </cell>
          <cell r="B265" t="str">
            <v>G-922</v>
          </cell>
          <cell r="C265" t="str">
            <v>136015P</v>
          </cell>
          <cell r="D265" t="str">
            <v>136015P</v>
          </cell>
          <cell r="E265" t="str">
            <v>VESTA 500W PMPO WOOFER SPKS.**</v>
          </cell>
          <cell r="F265">
            <v>18</v>
          </cell>
          <cell r="G265">
            <v>1076.5</v>
          </cell>
          <cell r="J265">
            <v>1</v>
          </cell>
          <cell r="K265">
            <v>1076.5</v>
          </cell>
          <cell r="L265">
            <v>1076.5</v>
          </cell>
          <cell r="N265">
            <v>1076.5</v>
          </cell>
          <cell r="O265">
            <v>1300</v>
          </cell>
          <cell r="P265">
            <v>1300</v>
          </cell>
        </row>
        <row r="266">
          <cell r="A266" t="str">
            <v>HN-333 / VSPK-20113602318</v>
          </cell>
          <cell r="B266" t="str">
            <v>HN-333 / VSPK-201</v>
          </cell>
          <cell r="C266" t="str">
            <v>136023</v>
          </cell>
          <cell r="D266" t="str">
            <v>136023</v>
          </cell>
          <cell r="E266" t="str">
            <v>VESTA 380W PMPO ACTIVE SPKS.**</v>
          </cell>
          <cell r="F266">
            <v>18</v>
          </cell>
          <cell r="G266">
            <v>326.25</v>
          </cell>
          <cell r="J266">
            <v>1</v>
          </cell>
          <cell r="K266">
            <v>326.25</v>
          </cell>
          <cell r="L266">
            <v>326.25</v>
          </cell>
          <cell r="M266">
            <v>389.69217140269444</v>
          </cell>
          <cell r="N266">
            <v>326.25</v>
          </cell>
          <cell r="O266">
            <v>350</v>
          </cell>
          <cell r="P266">
            <v>350</v>
          </cell>
        </row>
        <row r="267">
          <cell r="A267" t="str">
            <v>HN-333/VSPK 201136023G18</v>
          </cell>
          <cell r="B267" t="str">
            <v>HN-333/VSPK 201</v>
          </cell>
          <cell r="C267" t="str">
            <v>136023G</v>
          </cell>
          <cell r="D267" t="str">
            <v>136023G</v>
          </cell>
          <cell r="E267" t="str">
            <v>VESTA 300W PMPO ACTIVE SPKS.**</v>
          </cell>
          <cell r="F267">
            <v>18</v>
          </cell>
          <cell r="G267">
            <v>159.69999999999999</v>
          </cell>
          <cell r="J267">
            <v>21</v>
          </cell>
          <cell r="K267">
            <v>3353.7</v>
          </cell>
          <cell r="L267">
            <v>159.69999999999999</v>
          </cell>
          <cell r="N267">
            <v>159.69999999999999</v>
          </cell>
          <cell r="O267">
            <v>290</v>
          </cell>
          <cell r="P267">
            <v>6090</v>
          </cell>
        </row>
        <row r="268">
          <cell r="A268" t="str">
            <v>HN-333/VSPK 201136023G48</v>
          </cell>
          <cell r="B268" t="str">
            <v>HN-333/VSPK 201</v>
          </cell>
          <cell r="C268" t="str">
            <v>136023G</v>
          </cell>
          <cell r="D268" t="str">
            <v>136023G</v>
          </cell>
          <cell r="E268" t="str">
            <v>VESTA 300W PMPO ACTIVE SPKS.**</v>
          </cell>
          <cell r="F268">
            <v>48</v>
          </cell>
          <cell r="G268">
            <v>159.69999999999999</v>
          </cell>
          <cell r="J268">
            <v>2</v>
          </cell>
          <cell r="K268">
            <v>319.39999999999998</v>
          </cell>
          <cell r="L268">
            <v>159.69999999999999</v>
          </cell>
          <cell r="N268">
            <v>159.69999999999999</v>
          </cell>
          <cell r="O268">
            <v>290</v>
          </cell>
          <cell r="P268">
            <v>580</v>
          </cell>
        </row>
        <row r="269">
          <cell r="A269" t="str">
            <v>HN-333/VSPK 201136023G58</v>
          </cell>
          <cell r="B269" t="str">
            <v>HN-333/VSPK 201</v>
          </cell>
          <cell r="C269" t="str">
            <v>136023G</v>
          </cell>
          <cell r="D269" t="str">
            <v>136023G</v>
          </cell>
          <cell r="E269" t="str">
            <v>VESTA 300W PMPO ACTIVE SPKS.**</v>
          </cell>
          <cell r="F269">
            <v>58</v>
          </cell>
          <cell r="G269">
            <v>159.69999999999999</v>
          </cell>
          <cell r="J269">
            <v>6</v>
          </cell>
          <cell r="K269">
            <v>958.2</v>
          </cell>
          <cell r="L269">
            <v>159.69999999999999</v>
          </cell>
          <cell r="N269">
            <v>159.69999999999999</v>
          </cell>
          <cell r="O269">
            <v>290</v>
          </cell>
          <cell r="P269">
            <v>1740</v>
          </cell>
        </row>
        <row r="270">
          <cell r="A270" t="str">
            <v>HN-333136023A18</v>
          </cell>
          <cell r="B270" t="str">
            <v>HN-333</v>
          </cell>
          <cell r="C270" t="str">
            <v>136023A</v>
          </cell>
          <cell r="D270" t="str">
            <v>136023A</v>
          </cell>
          <cell r="E270" t="str">
            <v>VESTA 300W PMPO ACTIVE SPKS.**</v>
          </cell>
          <cell r="F270">
            <v>18</v>
          </cell>
          <cell r="G270">
            <v>296.04000000000002</v>
          </cell>
          <cell r="J270">
            <v>1</v>
          </cell>
          <cell r="K270">
            <v>296.04000000000002</v>
          </cell>
          <cell r="L270">
            <v>296.04000000000002</v>
          </cell>
          <cell r="N270">
            <v>296.04000000000002</v>
          </cell>
          <cell r="O270">
            <v>290</v>
          </cell>
          <cell r="P270">
            <v>290</v>
          </cell>
        </row>
        <row r="271">
          <cell r="A271" t="str">
            <v>HN-333136023B18</v>
          </cell>
          <cell r="B271" t="str">
            <v>HN-333</v>
          </cell>
          <cell r="C271" t="str">
            <v>136023B</v>
          </cell>
          <cell r="D271" t="str">
            <v>136023B</v>
          </cell>
          <cell r="E271" t="str">
            <v>VESTA 300W PMPO ACTIVE SPKS.**</v>
          </cell>
          <cell r="F271">
            <v>18</v>
          </cell>
          <cell r="G271">
            <v>296.04000000000002</v>
          </cell>
          <cell r="J271">
            <v>1</v>
          </cell>
          <cell r="K271">
            <v>296.04000000000002</v>
          </cell>
          <cell r="L271">
            <v>296.04000000000002</v>
          </cell>
          <cell r="N271">
            <v>296.04000000000002</v>
          </cell>
          <cell r="O271">
            <v>290</v>
          </cell>
          <cell r="P271">
            <v>290</v>
          </cell>
        </row>
        <row r="272">
          <cell r="A272" t="str">
            <v>HN-333136023C18</v>
          </cell>
          <cell r="B272" t="str">
            <v>HN-333</v>
          </cell>
          <cell r="C272" t="str">
            <v>136023C</v>
          </cell>
          <cell r="D272" t="str">
            <v>136023C</v>
          </cell>
          <cell r="E272" t="str">
            <v>VESTA 300W PMPO ACTIVE SPKS.**</v>
          </cell>
          <cell r="F272">
            <v>18</v>
          </cell>
          <cell r="G272">
            <v>296.04000000000002</v>
          </cell>
          <cell r="J272">
            <v>1</v>
          </cell>
          <cell r="K272">
            <v>296.04000000000002</v>
          </cell>
          <cell r="L272">
            <v>296.04000000000002</v>
          </cell>
          <cell r="N272">
            <v>296.04000000000002</v>
          </cell>
          <cell r="O272">
            <v>290</v>
          </cell>
          <cell r="P272">
            <v>290</v>
          </cell>
        </row>
        <row r="273">
          <cell r="A273" t="str">
            <v>HN-333136023H18</v>
          </cell>
          <cell r="B273" t="str">
            <v>HN-333</v>
          </cell>
          <cell r="C273" t="str">
            <v>136023H</v>
          </cell>
          <cell r="D273" t="str">
            <v>136023H</v>
          </cell>
          <cell r="E273" t="str">
            <v>VESTA 300W PMPO ACTIVE SPKS.**</v>
          </cell>
          <cell r="F273">
            <v>18</v>
          </cell>
          <cell r="G273">
            <v>296.04000000000002</v>
          </cell>
          <cell r="J273">
            <v>1</v>
          </cell>
          <cell r="K273">
            <v>296.04000000000002</v>
          </cell>
          <cell r="L273">
            <v>296.04000000000002</v>
          </cell>
          <cell r="N273">
            <v>296.04000000000002</v>
          </cell>
          <cell r="O273">
            <v>290</v>
          </cell>
          <cell r="P273">
            <v>290</v>
          </cell>
        </row>
        <row r="274">
          <cell r="A274" t="str">
            <v>HN-333136023I18</v>
          </cell>
          <cell r="B274" t="str">
            <v>HN-333</v>
          </cell>
          <cell r="C274" t="str">
            <v>136023I</v>
          </cell>
          <cell r="D274" t="str">
            <v>136023I</v>
          </cell>
          <cell r="E274" t="str">
            <v>VESTA 300W PMPO ACTIVE SPKS.**</v>
          </cell>
          <cell r="F274">
            <v>18</v>
          </cell>
          <cell r="G274">
            <v>296.04000000000002</v>
          </cell>
          <cell r="J274">
            <v>1</v>
          </cell>
          <cell r="K274">
            <v>296.04000000000002</v>
          </cell>
          <cell r="L274">
            <v>296.04000000000002</v>
          </cell>
          <cell r="N274">
            <v>296.04000000000002</v>
          </cell>
          <cell r="O274">
            <v>290</v>
          </cell>
          <cell r="P274">
            <v>290</v>
          </cell>
        </row>
        <row r="275">
          <cell r="A275" t="str">
            <v>HN-333136023K18</v>
          </cell>
          <cell r="B275" t="str">
            <v>HN-333</v>
          </cell>
          <cell r="C275" t="str">
            <v>136023K</v>
          </cell>
          <cell r="D275" t="str">
            <v>136023K</v>
          </cell>
          <cell r="E275" t="str">
            <v>VESTA 300W PMPO ACTIVE SPKS.**</v>
          </cell>
          <cell r="F275">
            <v>18</v>
          </cell>
          <cell r="G275">
            <v>296.04000000000002</v>
          </cell>
          <cell r="J275">
            <v>1</v>
          </cell>
          <cell r="K275">
            <v>296.04000000000002</v>
          </cell>
          <cell r="L275">
            <v>296.04000000000002</v>
          </cell>
          <cell r="N275">
            <v>296.04000000000002</v>
          </cell>
          <cell r="O275">
            <v>290</v>
          </cell>
          <cell r="P275">
            <v>290</v>
          </cell>
        </row>
        <row r="276">
          <cell r="A276" t="str">
            <v>HN-333136023L18</v>
          </cell>
          <cell r="B276" t="str">
            <v>HN-333</v>
          </cell>
          <cell r="C276" t="str">
            <v>136023L</v>
          </cell>
          <cell r="D276" t="str">
            <v>136023L</v>
          </cell>
          <cell r="E276" t="str">
            <v>VESTA 300W PMPO ACTIVE SPKS.**</v>
          </cell>
          <cell r="F276">
            <v>18</v>
          </cell>
          <cell r="G276">
            <v>296.04000000000002</v>
          </cell>
          <cell r="J276">
            <v>1</v>
          </cell>
          <cell r="K276">
            <v>296.04000000000002</v>
          </cell>
          <cell r="L276">
            <v>296.04000000000002</v>
          </cell>
          <cell r="N276">
            <v>296.04000000000002</v>
          </cell>
          <cell r="O276">
            <v>290</v>
          </cell>
          <cell r="P276">
            <v>290</v>
          </cell>
        </row>
        <row r="277">
          <cell r="A277" t="str">
            <v>HN-333136023P18</v>
          </cell>
          <cell r="B277" t="str">
            <v>HN-333</v>
          </cell>
          <cell r="C277" t="str">
            <v>136023P</v>
          </cell>
          <cell r="D277" t="str">
            <v>136023P</v>
          </cell>
          <cell r="E277" t="str">
            <v>VESTA 300W PMPO ACTIVE SPKS.**</v>
          </cell>
          <cell r="F277">
            <v>18</v>
          </cell>
          <cell r="G277">
            <v>296.04000000000002</v>
          </cell>
          <cell r="J277">
            <v>1</v>
          </cell>
          <cell r="K277">
            <v>296.04000000000002</v>
          </cell>
          <cell r="L277">
            <v>296.04000000000002</v>
          </cell>
          <cell r="N277">
            <v>296.04000000000002</v>
          </cell>
          <cell r="O277">
            <v>290</v>
          </cell>
          <cell r="P277">
            <v>290</v>
          </cell>
        </row>
        <row r="278">
          <cell r="A278" t="str">
            <v>HN-333136023R68</v>
          </cell>
          <cell r="B278" t="str">
            <v>HN-333</v>
          </cell>
          <cell r="C278" t="str">
            <v>136023R</v>
          </cell>
          <cell r="D278" t="str">
            <v>136023R</v>
          </cell>
          <cell r="E278" t="str">
            <v>VESTA 380W PMPO ACTIVE SPKS.**</v>
          </cell>
          <cell r="F278">
            <v>68</v>
          </cell>
          <cell r="G278">
            <v>0.57999999999999996</v>
          </cell>
          <cell r="J278">
            <v>1</v>
          </cell>
          <cell r="K278">
            <v>0.57999999999999996</v>
          </cell>
          <cell r="L278">
            <v>0.57999999999999996</v>
          </cell>
          <cell r="N278">
            <v>296.04000000000002</v>
          </cell>
          <cell r="O278">
            <v>290</v>
          </cell>
          <cell r="P278">
            <v>290</v>
          </cell>
        </row>
        <row r="279">
          <cell r="A279" t="str">
            <v>HN-333136023X19</v>
          </cell>
          <cell r="B279" t="str">
            <v>HN-333</v>
          </cell>
          <cell r="C279" t="str">
            <v>136023X</v>
          </cell>
          <cell r="D279" t="str">
            <v>136023X</v>
          </cell>
          <cell r="E279" t="str">
            <v>VESTA 300W PMPO ACTIVE SPKS.**</v>
          </cell>
          <cell r="F279">
            <v>19</v>
          </cell>
          <cell r="G279">
            <v>0</v>
          </cell>
          <cell r="H279">
            <v>1</v>
          </cell>
          <cell r="J279">
            <v>2</v>
          </cell>
          <cell r="L279">
            <v>0</v>
          </cell>
          <cell r="N279">
            <v>296.04000000000002</v>
          </cell>
          <cell r="O279">
            <v>200</v>
          </cell>
          <cell r="P279">
            <v>600</v>
          </cell>
        </row>
        <row r="280">
          <cell r="A280" t="str">
            <v>HN-333136023X59</v>
          </cell>
          <cell r="B280" t="str">
            <v>HN-333</v>
          </cell>
          <cell r="C280" t="str">
            <v>136023X</v>
          </cell>
          <cell r="D280" t="str">
            <v>136023X</v>
          </cell>
          <cell r="E280" t="str">
            <v>VESTA 300W PMPO ACTIVE SPKS.**</v>
          </cell>
          <cell r="F280">
            <v>59</v>
          </cell>
          <cell r="G280">
            <v>0</v>
          </cell>
          <cell r="J280">
            <v>2</v>
          </cell>
          <cell r="L280">
            <v>0</v>
          </cell>
          <cell r="N280">
            <v>296.04000000000002</v>
          </cell>
          <cell r="O280">
            <v>200</v>
          </cell>
          <cell r="P280">
            <v>400</v>
          </cell>
        </row>
        <row r="281">
          <cell r="A281" t="str">
            <v>HTU-E1/AC/V3511030458</v>
          </cell>
          <cell r="B281" t="str">
            <v>HTU-E1/AC/V35</v>
          </cell>
          <cell r="C281" t="str">
            <v>110304</v>
          </cell>
          <cell r="D281" t="str">
            <v>110304</v>
          </cell>
          <cell r="E281" t="str">
            <v>HIGH SPEED 2 MBPS MODEM****.**</v>
          </cell>
          <cell r="F281">
            <v>58</v>
          </cell>
          <cell r="G281">
            <v>66739.81</v>
          </cell>
          <cell r="J281">
            <v>1</v>
          </cell>
          <cell r="K281">
            <v>66739.81</v>
          </cell>
          <cell r="L281">
            <v>66739.81</v>
          </cell>
          <cell r="M281">
            <v>71255.21666666666</v>
          </cell>
          <cell r="N281">
            <v>66739.81</v>
          </cell>
          <cell r="O281">
            <v>45000</v>
          </cell>
          <cell r="P281">
            <v>45000</v>
          </cell>
        </row>
        <row r="282">
          <cell r="A282" t="str">
            <v>ISD-FDD-IDE10900219</v>
          </cell>
          <cell r="B282" t="str">
            <v>ISD-FDD-IDE</v>
          </cell>
          <cell r="C282" t="str">
            <v>109002</v>
          </cell>
          <cell r="D282" t="str">
            <v>109002</v>
          </cell>
          <cell r="E282" t="str">
            <v>3.5LP 120MB BEIGE FOR HP</v>
          </cell>
          <cell r="F282">
            <v>19</v>
          </cell>
          <cell r="G282">
            <v>3954.44</v>
          </cell>
          <cell r="J282">
            <v>5</v>
          </cell>
          <cell r="K282">
            <v>19772.189999999999</v>
          </cell>
          <cell r="L282">
            <v>3954.44</v>
          </cell>
          <cell r="N282">
            <v>3954.44</v>
          </cell>
          <cell r="O282">
            <v>1000</v>
          </cell>
          <cell r="P282">
            <v>5000</v>
          </cell>
        </row>
        <row r="283">
          <cell r="A283" t="str">
            <v>KB-981013601018</v>
          </cell>
          <cell r="B283" t="str">
            <v>KB-9810</v>
          </cell>
          <cell r="C283" t="str">
            <v>136010</v>
          </cell>
          <cell r="D283" t="str">
            <v>136010</v>
          </cell>
          <cell r="E283" t="str">
            <v>VESTA WINDOWS 98 MEMBRANE K/B*</v>
          </cell>
          <cell r="F283">
            <v>18</v>
          </cell>
          <cell r="G283">
            <v>217.06</v>
          </cell>
          <cell r="J283">
            <v>1</v>
          </cell>
          <cell r="K283">
            <v>217.06</v>
          </cell>
          <cell r="L283">
            <v>217.06</v>
          </cell>
          <cell r="M283">
            <v>225.39300778148325</v>
          </cell>
          <cell r="N283">
            <v>217.06</v>
          </cell>
          <cell r="O283">
            <v>220</v>
          </cell>
          <cell r="P283">
            <v>220</v>
          </cell>
        </row>
        <row r="284">
          <cell r="A284" t="str">
            <v>KB-9810136010A18</v>
          </cell>
          <cell r="B284" t="str">
            <v>KB-9810</v>
          </cell>
          <cell r="C284" t="str">
            <v>136010A</v>
          </cell>
          <cell r="D284" t="str">
            <v>136010A</v>
          </cell>
          <cell r="E284" t="str">
            <v>VESTA WINDOWS 98 MEMBRANE K/B*</v>
          </cell>
          <cell r="F284">
            <v>18</v>
          </cell>
          <cell r="G284">
            <v>226.74</v>
          </cell>
          <cell r="J284">
            <v>2</v>
          </cell>
          <cell r="K284">
            <v>453.48</v>
          </cell>
          <cell r="L284">
            <v>226.74</v>
          </cell>
          <cell r="N284">
            <v>226.74</v>
          </cell>
          <cell r="O284">
            <v>220</v>
          </cell>
          <cell r="P284">
            <v>440</v>
          </cell>
        </row>
        <row r="285">
          <cell r="A285" t="str">
            <v>KB-9810136010B18</v>
          </cell>
          <cell r="B285" t="str">
            <v>KB-9810</v>
          </cell>
          <cell r="C285" t="str">
            <v>136010B</v>
          </cell>
          <cell r="D285" t="str">
            <v>136010B</v>
          </cell>
          <cell r="E285" t="str">
            <v>VESTA WINDOWS 98 MEMBRANE K/B*</v>
          </cell>
          <cell r="F285">
            <v>18</v>
          </cell>
          <cell r="G285">
            <v>226.74</v>
          </cell>
          <cell r="J285">
            <v>2</v>
          </cell>
          <cell r="K285">
            <v>453.48</v>
          </cell>
          <cell r="L285">
            <v>226.74</v>
          </cell>
          <cell r="N285">
            <v>226.74</v>
          </cell>
          <cell r="O285">
            <v>220</v>
          </cell>
          <cell r="P285">
            <v>440</v>
          </cell>
        </row>
        <row r="286">
          <cell r="A286" t="str">
            <v>KB-9810136010C18</v>
          </cell>
          <cell r="B286" t="str">
            <v>KB-9810</v>
          </cell>
          <cell r="C286" t="str">
            <v>136010C</v>
          </cell>
          <cell r="D286" t="str">
            <v>136010C</v>
          </cell>
          <cell r="E286" t="str">
            <v>VESTA WINDOWS 98 MEMBRANE K/B*</v>
          </cell>
          <cell r="F286">
            <v>18</v>
          </cell>
          <cell r="G286">
            <v>226.74</v>
          </cell>
          <cell r="J286">
            <v>2</v>
          </cell>
          <cell r="K286">
            <v>453.48</v>
          </cell>
          <cell r="L286">
            <v>226.74</v>
          </cell>
          <cell r="N286">
            <v>226.74</v>
          </cell>
          <cell r="O286">
            <v>220</v>
          </cell>
          <cell r="P286">
            <v>440</v>
          </cell>
        </row>
        <row r="287">
          <cell r="A287" t="str">
            <v>KB-9810136010G48</v>
          </cell>
          <cell r="B287" t="str">
            <v>KB-9810</v>
          </cell>
          <cell r="C287" t="str">
            <v>136010G</v>
          </cell>
          <cell r="D287" t="str">
            <v>136010G</v>
          </cell>
          <cell r="E287" t="str">
            <v>VESTA WINDOWS 98 MEMBRANE K/B*</v>
          </cell>
          <cell r="F287">
            <v>48</v>
          </cell>
          <cell r="G287">
            <v>109.8</v>
          </cell>
          <cell r="J287">
            <v>4</v>
          </cell>
          <cell r="K287">
            <v>439.2</v>
          </cell>
          <cell r="L287">
            <v>109.8</v>
          </cell>
          <cell r="N287">
            <v>109.8</v>
          </cell>
          <cell r="O287">
            <v>220</v>
          </cell>
          <cell r="P287">
            <v>880</v>
          </cell>
        </row>
        <row r="288">
          <cell r="A288" t="str">
            <v>KB-9810136010G58</v>
          </cell>
          <cell r="B288" t="str">
            <v>KB-9810</v>
          </cell>
          <cell r="C288" t="str">
            <v>136010G</v>
          </cell>
          <cell r="D288" t="str">
            <v>136010G</v>
          </cell>
          <cell r="E288" t="str">
            <v>VESTA WINDOWS 98 MEMBRANE K/B*</v>
          </cell>
          <cell r="F288">
            <v>58</v>
          </cell>
          <cell r="G288">
            <v>109.8</v>
          </cell>
          <cell r="J288">
            <v>4</v>
          </cell>
          <cell r="K288">
            <v>439.2</v>
          </cell>
          <cell r="L288">
            <v>109.8</v>
          </cell>
          <cell r="N288">
            <v>109.8</v>
          </cell>
          <cell r="O288">
            <v>220</v>
          </cell>
          <cell r="P288">
            <v>880</v>
          </cell>
        </row>
        <row r="289">
          <cell r="A289" t="str">
            <v>KB-9810136010G68</v>
          </cell>
          <cell r="B289" t="str">
            <v>KB-9810</v>
          </cell>
          <cell r="C289" t="str">
            <v>136010G</v>
          </cell>
          <cell r="D289" t="str">
            <v>136010G</v>
          </cell>
          <cell r="E289" t="str">
            <v>VESTA WINDOWS 98 MEMBRANE K/B*</v>
          </cell>
          <cell r="F289">
            <v>68</v>
          </cell>
          <cell r="G289">
            <v>109.8</v>
          </cell>
          <cell r="J289">
            <v>3</v>
          </cell>
          <cell r="K289">
            <v>329.4</v>
          </cell>
          <cell r="L289">
            <v>109.8</v>
          </cell>
          <cell r="N289">
            <v>109.8</v>
          </cell>
          <cell r="O289">
            <v>220</v>
          </cell>
          <cell r="P289">
            <v>660</v>
          </cell>
        </row>
        <row r="290">
          <cell r="A290" t="str">
            <v>KB-9810136010H18</v>
          </cell>
          <cell r="B290" t="str">
            <v>KB-9810</v>
          </cell>
          <cell r="C290" t="str">
            <v>136010H</v>
          </cell>
          <cell r="D290" t="str">
            <v>136010H</v>
          </cell>
          <cell r="E290" t="str">
            <v>VESTA WINDOWS 98 MEMBRANE K/B*</v>
          </cell>
          <cell r="F290">
            <v>18</v>
          </cell>
          <cell r="G290">
            <v>226.74</v>
          </cell>
          <cell r="J290">
            <v>2</v>
          </cell>
          <cell r="K290">
            <v>453.48</v>
          </cell>
          <cell r="L290">
            <v>226.74</v>
          </cell>
          <cell r="N290">
            <v>226.74</v>
          </cell>
          <cell r="O290">
            <v>220</v>
          </cell>
          <cell r="P290">
            <v>440</v>
          </cell>
        </row>
        <row r="291">
          <cell r="A291" t="str">
            <v>KB-9810136010I18</v>
          </cell>
          <cell r="B291" t="str">
            <v>KB-9810</v>
          </cell>
          <cell r="C291" t="str">
            <v>136010I</v>
          </cell>
          <cell r="D291" t="str">
            <v>136010I</v>
          </cell>
          <cell r="E291" t="str">
            <v>VESTA WINDOWS 98 MEMBRANE K/B*</v>
          </cell>
          <cell r="F291">
            <v>18</v>
          </cell>
          <cell r="G291">
            <v>226.74</v>
          </cell>
          <cell r="J291">
            <v>2</v>
          </cell>
          <cell r="K291">
            <v>453.48</v>
          </cell>
          <cell r="L291">
            <v>226.74</v>
          </cell>
          <cell r="N291">
            <v>226.74</v>
          </cell>
          <cell r="O291">
            <v>220</v>
          </cell>
          <cell r="P291">
            <v>440</v>
          </cell>
        </row>
        <row r="292">
          <cell r="A292" t="str">
            <v>KB-9810136010K18</v>
          </cell>
          <cell r="B292" t="str">
            <v>KB-9810</v>
          </cell>
          <cell r="C292" t="str">
            <v>136010K</v>
          </cell>
          <cell r="D292" t="str">
            <v>136010K</v>
          </cell>
          <cell r="E292" t="str">
            <v>VESTA WINDOWS 98 MEMBRANE K/B*</v>
          </cell>
          <cell r="F292">
            <v>18</v>
          </cell>
          <cell r="G292">
            <v>226.74</v>
          </cell>
          <cell r="J292">
            <v>2</v>
          </cell>
          <cell r="K292">
            <v>453.48</v>
          </cell>
          <cell r="L292">
            <v>226.74</v>
          </cell>
          <cell r="N292">
            <v>226.74</v>
          </cell>
          <cell r="O292">
            <v>220</v>
          </cell>
          <cell r="P292">
            <v>440</v>
          </cell>
        </row>
        <row r="293">
          <cell r="A293" t="str">
            <v>KB-9810136010L18</v>
          </cell>
          <cell r="B293" t="str">
            <v>KB-9810</v>
          </cell>
          <cell r="C293" t="str">
            <v>136010L</v>
          </cell>
          <cell r="D293" t="str">
            <v>136010L</v>
          </cell>
          <cell r="E293" t="str">
            <v>VESTA WINDOWS 98 MEMBRANE K/B*</v>
          </cell>
          <cell r="F293">
            <v>18</v>
          </cell>
          <cell r="G293">
            <v>226.74</v>
          </cell>
          <cell r="J293">
            <v>2</v>
          </cell>
          <cell r="K293">
            <v>453.48</v>
          </cell>
          <cell r="L293">
            <v>226.74</v>
          </cell>
          <cell r="N293">
            <v>226.74</v>
          </cell>
          <cell r="O293">
            <v>220</v>
          </cell>
          <cell r="P293">
            <v>440</v>
          </cell>
        </row>
        <row r="294">
          <cell r="A294" t="str">
            <v>KB-9810136010P18</v>
          </cell>
          <cell r="B294" t="str">
            <v>KB-9810</v>
          </cell>
          <cell r="C294" t="str">
            <v>136010P</v>
          </cell>
          <cell r="D294" t="str">
            <v>136010P</v>
          </cell>
          <cell r="E294" t="str">
            <v>VESTA WINDOWS 98 MEMBRANE K/B*</v>
          </cell>
          <cell r="F294">
            <v>18</v>
          </cell>
          <cell r="G294">
            <v>226.74</v>
          </cell>
          <cell r="J294">
            <v>2</v>
          </cell>
          <cell r="K294">
            <v>453.48</v>
          </cell>
          <cell r="L294">
            <v>226.74</v>
          </cell>
          <cell r="N294">
            <v>226.74</v>
          </cell>
          <cell r="O294">
            <v>220</v>
          </cell>
          <cell r="P294">
            <v>440</v>
          </cell>
        </row>
        <row r="295">
          <cell r="A295" t="str">
            <v>KB-990813601248</v>
          </cell>
          <cell r="B295" t="str">
            <v>KB-9908</v>
          </cell>
          <cell r="C295" t="str">
            <v>136012</v>
          </cell>
          <cell r="D295" t="str">
            <v>136012</v>
          </cell>
          <cell r="E295" t="str">
            <v>VESTA WINDOWS 98 MEMBRANE K/B*</v>
          </cell>
          <cell r="F295">
            <v>48</v>
          </cell>
          <cell r="G295">
            <v>373.52</v>
          </cell>
          <cell r="J295">
            <v>1</v>
          </cell>
          <cell r="K295">
            <v>373.52</v>
          </cell>
          <cell r="L295">
            <v>373.52</v>
          </cell>
          <cell r="M295">
            <v>614.19708029197079</v>
          </cell>
          <cell r="N295">
            <v>373.52</v>
          </cell>
          <cell r="O295">
            <v>550</v>
          </cell>
          <cell r="P295">
            <v>550</v>
          </cell>
        </row>
        <row r="296">
          <cell r="A296" t="str">
            <v>KB-990813601258</v>
          </cell>
          <cell r="B296" t="str">
            <v>KB-9908</v>
          </cell>
          <cell r="C296" t="str">
            <v>136012</v>
          </cell>
          <cell r="D296" t="str">
            <v>136012</v>
          </cell>
          <cell r="E296" t="str">
            <v>VESTA WINDOWS 98 MEMBRANE K/B*</v>
          </cell>
          <cell r="F296">
            <v>58</v>
          </cell>
          <cell r="G296">
            <v>373.52</v>
          </cell>
          <cell r="J296">
            <v>2</v>
          </cell>
          <cell r="K296">
            <v>747.04</v>
          </cell>
          <cell r="L296">
            <v>373.52</v>
          </cell>
          <cell r="M296">
            <v>614.19708029197079</v>
          </cell>
          <cell r="N296">
            <v>373.52</v>
          </cell>
          <cell r="O296">
            <v>550</v>
          </cell>
          <cell r="P296">
            <v>1100</v>
          </cell>
        </row>
        <row r="297">
          <cell r="A297" t="str">
            <v>KB-990813601268</v>
          </cell>
          <cell r="B297" t="str">
            <v>KB-9908</v>
          </cell>
          <cell r="C297" t="str">
            <v>136012</v>
          </cell>
          <cell r="D297" t="str">
            <v>136012</v>
          </cell>
          <cell r="E297" t="str">
            <v>VESTA WINDOWS 98 MEMBRANE K/B*</v>
          </cell>
          <cell r="F297">
            <v>68</v>
          </cell>
          <cell r="G297">
            <v>373.52</v>
          </cell>
          <cell r="J297">
            <v>2</v>
          </cell>
          <cell r="K297">
            <v>747.04</v>
          </cell>
          <cell r="L297">
            <v>373.52</v>
          </cell>
          <cell r="M297">
            <v>614.19708029197079</v>
          </cell>
          <cell r="N297">
            <v>373.52</v>
          </cell>
          <cell r="O297">
            <v>550</v>
          </cell>
          <cell r="P297">
            <v>1100</v>
          </cell>
        </row>
        <row r="298">
          <cell r="A298" t="str">
            <v>KB-9943136012A18</v>
          </cell>
          <cell r="B298" t="str">
            <v>KB-9943</v>
          </cell>
          <cell r="C298" t="str">
            <v>136012A</v>
          </cell>
          <cell r="D298" t="str">
            <v>136012A</v>
          </cell>
          <cell r="E298" t="str">
            <v>VESTA WINDOWS 98 MEMBRANE K/B*</v>
          </cell>
          <cell r="F298">
            <v>18</v>
          </cell>
          <cell r="G298">
            <v>538.25</v>
          </cell>
          <cell r="J298">
            <v>1</v>
          </cell>
          <cell r="K298">
            <v>538.25</v>
          </cell>
          <cell r="L298">
            <v>538.25</v>
          </cell>
          <cell r="N298">
            <v>538.25</v>
          </cell>
          <cell r="O298">
            <v>550</v>
          </cell>
          <cell r="P298">
            <v>550</v>
          </cell>
        </row>
        <row r="299">
          <cell r="A299" t="str">
            <v>KB-9943136012B18</v>
          </cell>
          <cell r="B299" t="str">
            <v>KB-9943</v>
          </cell>
          <cell r="C299" t="str">
            <v>136012B</v>
          </cell>
          <cell r="D299" t="str">
            <v>136012B</v>
          </cell>
          <cell r="E299" t="str">
            <v>VESTA WINDOWS 98 MEMBRANE K/B*</v>
          </cell>
          <cell r="F299">
            <v>18</v>
          </cell>
          <cell r="G299">
            <v>538.25</v>
          </cell>
          <cell r="J299">
            <v>1</v>
          </cell>
          <cell r="K299">
            <v>538.25</v>
          </cell>
          <cell r="L299">
            <v>538.25</v>
          </cell>
          <cell r="N299">
            <v>538.25</v>
          </cell>
          <cell r="O299">
            <v>550</v>
          </cell>
          <cell r="P299">
            <v>550</v>
          </cell>
        </row>
        <row r="300">
          <cell r="A300" t="str">
            <v>KB-9943136012C18</v>
          </cell>
          <cell r="B300" t="str">
            <v>KB-9943</v>
          </cell>
          <cell r="C300" t="str">
            <v>136012C</v>
          </cell>
          <cell r="D300" t="str">
            <v>136012C</v>
          </cell>
          <cell r="E300" t="str">
            <v>VESTA WINDOWS 98 MEMBRANE K/B*</v>
          </cell>
          <cell r="F300">
            <v>18</v>
          </cell>
          <cell r="G300">
            <v>538.25</v>
          </cell>
          <cell r="J300">
            <v>1</v>
          </cell>
          <cell r="K300">
            <v>538.25</v>
          </cell>
          <cell r="L300">
            <v>538.25</v>
          </cell>
          <cell r="N300">
            <v>538.25</v>
          </cell>
          <cell r="O300">
            <v>550</v>
          </cell>
          <cell r="P300">
            <v>550</v>
          </cell>
        </row>
        <row r="301">
          <cell r="A301" t="str">
            <v>KB-9943136012H18</v>
          </cell>
          <cell r="B301" t="str">
            <v>KB-9943</v>
          </cell>
          <cell r="C301" t="str">
            <v>136012H</v>
          </cell>
          <cell r="D301" t="str">
            <v>136012H</v>
          </cell>
          <cell r="E301" t="str">
            <v>VESTA WINDOWS 98 MEMBRANE K/B*</v>
          </cell>
          <cell r="F301">
            <v>18</v>
          </cell>
          <cell r="G301">
            <v>538.25</v>
          </cell>
          <cell r="J301">
            <v>1</v>
          </cell>
          <cell r="K301">
            <v>538.25</v>
          </cell>
          <cell r="L301">
            <v>538.25</v>
          </cell>
          <cell r="N301">
            <v>538.25</v>
          </cell>
          <cell r="O301">
            <v>550</v>
          </cell>
          <cell r="P301">
            <v>550</v>
          </cell>
        </row>
        <row r="302">
          <cell r="A302" t="str">
            <v>KB-9943136012I18</v>
          </cell>
          <cell r="B302" t="str">
            <v>KB-9943</v>
          </cell>
          <cell r="C302" t="str">
            <v>136012I</v>
          </cell>
          <cell r="D302" t="str">
            <v>136012I</v>
          </cell>
          <cell r="E302" t="str">
            <v>VESTA WINDOWS 98 MEMBRANE K/B*</v>
          </cell>
          <cell r="F302">
            <v>18</v>
          </cell>
          <cell r="G302">
            <v>538.25</v>
          </cell>
          <cell r="J302">
            <v>1</v>
          </cell>
          <cell r="K302">
            <v>538.25</v>
          </cell>
          <cell r="L302">
            <v>538.25</v>
          </cell>
          <cell r="N302">
            <v>538.25</v>
          </cell>
          <cell r="O302">
            <v>550</v>
          </cell>
          <cell r="P302">
            <v>550</v>
          </cell>
        </row>
        <row r="303">
          <cell r="A303" t="str">
            <v>KB-9943136012K18</v>
          </cell>
          <cell r="B303" t="str">
            <v>KB-9943</v>
          </cell>
          <cell r="C303" t="str">
            <v>136012K</v>
          </cell>
          <cell r="D303" t="str">
            <v>136012K</v>
          </cell>
          <cell r="E303" t="str">
            <v>VESTA WINDOWS 98 MEMBRANE K/B*</v>
          </cell>
          <cell r="F303">
            <v>18</v>
          </cell>
          <cell r="G303">
            <v>538.25</v>
          </cell>
          <cell r="J303">
            <v>1</v>
          </cell>
          <cell r="K303">
            <v>538.25</v>
          </cell>
          <cell r="L303">
            <v>538.25</v>
          </cell>
          <cell r="N303">
            <v>538.25</v>
          </cell>
          <cell r="O303">
            <v>550</v>
          </cell>
          <cell r="P303">
            <v>550</v>
          </cell>
        </row>
        <row r="304">
          <cell r="A304" t="str">
            <v>KB-9943136012L18</v>
          </cell>
          <cell r="B304" t="str">
            <v>KB-9943</v>
          </cell>
          <cell r="C304" t="str">
            <v>136012L</v>
          </cell>
          <cell r="D304" t="str">
            <v>136012L</v>
          </cell>
          <cell r="E304" t="str">
            <v>VESTA WINDOWS 98 MEMBRANE K/B*</v>
          </cell>
          <cell r="F304">
            <v>18</v>
          </cell>
          <cell r="G304">
            <v>538.25</v>
          </cell>
          <cell r="J304">
            <v>1</v>
          </cell>
          <cell r="K304">
            <v>538.25</v>
          </cell>
          <cell r="L304">
            <v>538.25</v>
          </cell>
          <cell r="N304">
            <v>538.25</v>
          </cell>
          <cell r="O304">
            <v>550</v>
          </cell>
          <cell r="P304">
            <v>550</v>
          </cell>
        </row>
        <row r="305">
          <cell r="A305" t="str">
            <v>KB-9943136012P18</v>
          </cell>
          <cell r="B305" t="str">
            <v>KB-9943</v>
          </cell>
          <cell r="C305" t="str">
            <v>136012P</v>
          </cell>
          <cell r="D305" t="str">
            <v>136012P</v>
          </cell>
          <cell r="E305" t="str">
            <v>VESTA WINDOWS 98 MEMBRANE K/B*</v>
          </cell>
          <cell r="F305">
            <v>18</v>
          </cell>
          <cell r="G305">
            <v>538.25</v>
          </cell>
          <cell r="J305">
            <v>1</v>
          </cell>
          <cell r="K305">
            <v>538.25</v>
          </cell>
          <cell r="L305">
            <v>538.25</v>
          </cell>
          <cell r="N305">
            <v>538.25</v>
          </cell>
          <cell r="O305">
            <v>550</v>
          </cell>
          <cell r="P305">
            <v>550</v>
          </cell>
        </row>
        <row r="306">
          <cell r="A306" t="str">
            <v>KB-9943136012R48</v>
          </cell>
          <cell r="B306" t="str">
            <v>KB-9943</v>
          </cell>
          <cell r="C306" t="str">
            <v>136012R</v>
          </cell>
          <cell r="D306" t="str">
            <v>136012R</v>
          </cell>
          <cell r="E306" t="str">
            <v>VESTA WINDOWS 98 MEMBRANE K/B*</v>
          </cell>
          <cell r="F306">
            <v>48</v>
          </cell>
          <cell r="G306">
            <v>0.01</v>
          </cell>
          <cell r="J306">
            <v>2</v>
          </cell>
          <cell r="K306">
            <v>0.01</v>
          </cell>
          <cell r="L306">
            <v>0.01</v>
          </cell>
          <cell r="N306">
            <v>538.25</v>
          </cell>
          <cell r="O306">
            <v>100</v>
          </cell>
          <cell r="P306">
            <v>200</v>
          </cell>
        </row>
        <row r="307">
          <cell r="A307" t="str">
            <v>KBP-985013601118</v>
          </cell>
          <cell r="B307" t="str">
            <v>KBP-9850</v>
          </cell>
          <cell r="C307" t="str">
            <v>136011</v>
          </cell>
          <cell r="D307" t="str">
            <v>136011</v>
          </cell>
          <cell r="E307" t="str">
            <v>VESTA WINDOWS 98 MEMBRANE K/B*</v>
          </cell>
          <cell r="F307">
            <v>18</v>
          </cell>
          <cell r="G307">
            <v>260</v>
          </cell>
          <cell r="J307">
            <v>7</v>
          </cell>
          <cell r="K307">
            <v>1820.03</v>
          </cell>
          <cell r="L307">
            <v>260</v>
          </cell>
          <cell r="M307">
            <v>251.44692737430168</v>
          </cell>
          <cell r="N307">
            <v>260</v>
          </cell>
          <cell r="O307">
            <v>260</v>
          </cell>
          <cell r="P307">
            <v>1820</v>
          </cell>
        </row>
        <row r="308">
          <cell r="A308" t="str">
            <v>KBP-985013601148</v>
          </cell>
          <cell r="B308" t="str">
            <v>KBP-9850</v>
          </cell>
          <cell r="C308" t="str">
            <v>136011</v>
          </cell>
          <cell r="D308" t="str">
            <v>136011</v>
          </cell>
          <cell r="E308" t="str">
            <v>VESTA WINDOWS 98 MEMBRANE K/B*</v>
          </cell>
          <cell r="F308">
            <v>48</v>
          </cell>
          <cell r="G308">
            <v>260</v>
          </cell>
          <cell r="J308">
            <v>4</v>
          </cell>
          <cell r="K308">
            <v>1040.01</v>
          </cell>
          <cell r="L308">
            <v>260</v>
          </cell>
          <cell r="M308">
            <v>251.44692737430168</v>
          </cell>
          <cell r="N308">
            <v>260</v>
          </cell>
          <cell r="O308">
            <v>260</v>
          </cell>
          <cell r="P308">
            <v>1040</v>
          </cell>
        </row>
        <row r="309">
          <cell r="A309" t="str">
            <v>KBP-985013601158</v>
          </cell>
          <cell r="B309" t="str">
            <v>KBP-9850</v>
          </cell>
          <cell r="C309" t="str">
            <v>136011</v>
          </cell>
          <cell r="D309" t="str">
            <v>136011</v>
          </cell>
          <cell r="E309" t="str">
            <v>VESTA WINDOWS 98 MEMBRANE K/B*</v>
          </cell>
          <cell r="F309">
            <v>58</v>
          </cell>
          <cell r="G309">
            <v>260</v>
          </cell>
          <cell r="J309">
            <v>4</v>
          </cell>
          <cell r="K309">
            <v>1040.01</v>
          </cell>
          <cell r="L309">
            <v>260</v>
          </cell>
          <cell r="M309">
            <v>251.44692737430168</v>
          </cell>
          <cell r="N309">
            <v>260</v>
          </cell>
          <cell r="O309">
            <v>260</v>
          </cell>
          <cell r="P309">
            <v>1040</v>
          </cell>
        </row>
        <row r="310">
          <cell r="A310" t="str">
            <v>KBP-985013601168</v>
          </cell>
          <cell r="B310" t="str">
            <v>KBP-9850</v>
          </cell>
          <cell r="C310" t="str">
            <v>136011</v>
          </cell>
          <cell r="D310" t="str">
            <v>136011</v>
          </cell>
          <cell r="E310" t="str">
            <v>VESTA WINDOWS 98 MEMBRANE K/B*</v>
          </cell>
          <cell r="F310">
            <v>68</v>
          </cell>
          <cell r="G310">
            <v>260</v>
          </cell>
          <cell r="J310">
            <v>4</v>
          </cell>
          <cell r="K310">
            <v>1040.01</v>
          </cell>
          <cell r="L310">
            <v>260</v>
          </cell>
          <cell r="M310">
            <v>251.44692737430168</v>
          </cell>
          <cell r="N310">
            <v>260</v>
          </cell>
          <cell r="O310">
            <v>260</v>
          </cell>
          <cell r="P310">
            <v>1040</v>
          </cell>
        </row>
        <row r="311">
          <cell r="A311" t="str">
            <v>KBP-9850136011G18</v>
          </cell>
          <cell r="B311" t="str">
            <v>KBP-9850</v>
          </cell>
          <cell r="C311" t="str">
            <v>136011G</v>
          </cell>
          <cell r="D311" t="str">
            <v>136011G</v>
          </cell>
          <cell r="E311" t="str">
            <v>VESTA WINDOWS 98 MEMBRANE K/B*</v>
          </cell>
          <cell r="F311">
            <v>18</v>
          </cell>
          <cell r="G311">
            <v>116.08</v>
          </cell>
          <cell r="J311">
            <v>8</v>
          </cell>
          <cell r="K311">
            <v>928.64</v>
          </cell>
          <cell r="L311">
            <v>116.08</v>
          </cell>
          <cell r="N311">
            <v>116.08</v>
          </cell>
          <cell r="O311">
            <v>260</v>
          </cell>
          <cell r="P311">
            <v>2080</v>
          </cell>
        </row>
        <row r="312">
          <cell r="A312" t="str">
            <v>KWIK - 130 (PS2)136036X19</v>
          </cell>
          <cell r="B312" t="str">
            <v>KWIK - 130 (PS2)</v>
          </cell>
          <cell r="C312" t="str">
            <v>136036X</v>
          </cell>
          <cell r="D312" t="str">
            <v>136036X</v>
          </cell>
          <cell r="E312" t="str">
            <v>VESTA 3 BTN MICE BOX PACK**.**</v>
          </cell>
          <cell r="F312">
            <v>19</v>
          </cell>
          <cell r="G312">
            <v>0</v>
          </cell>
          <cell r="J312">
            <v>1</v>
          </cell>
          <cell r="L312">
            <v>0</v>
          </cell>
          <cell r="N312">
            <v>74.06</v>
          </cell>
          <cell r="O312">
            <v>74</v>
          </cell>
          <cell r="P312">
            <v>74</v>
          </cell>
        </row>
        <row r="313">
          <cell r="A313" t="str">
            <v>KWIK-130(PS2)13603618</v>
          </cell>
          <cell r="B313" t="str">
            <v>KWIK-130(PS2)</v>
          </cell>
          <cell r="C313" t="str">
            <v>136036</v>
          </cell>
          <cell r="D313" t="str">
            <v>136036</v>
          </cell>
          <cell r="E313" t="str">
            <v>VESTA 3 BTN MICE BOX PACK**.**</v>
          </cell>
          <cell r="F313">
            <v>18</v>
          </cell>
          <cell r="G313">
            <v>74.06</v>
          </cell>
          <cell r="J313">
            <v>7</v>
          </cell>
          <cell r="K313">
            <v>518.39</v>
          </cell>
          <cell r="L313">
            <v>74.06</v>
          </cell>
          <cell r="M313">
            <v>89.59659820282414</v>
          </cell>
          <cell r="N313">
            <v>74.06</v>
          </cell>
          <cell r="O313">
            <v>74</v>
          </cell>
          <cell r="P313">
            <v>518</v>
          </cell>
        </row>
        <row r="314">
          <cell r="A314" t="str">
            <v>KWIK-130(PS2)13603648</v>
          </cell>
          <cell r="B314" t="str">
            <v>KWIK-130(PS2)</v>
          </cell>
          <cell r="C314" t="str">
            <v>136036</v>
          </cell>
          <cell r="D314" t="str">
            <v>136036</v>
          </cell>
          <cell r="E314" t="str">
            <v>VESTA 3 BTN MICE BOX PACK**.**</v>
          </cell>
          <cell r="F314">
            <v>48</v>
          </cell>
          <cell r="G314">
            <v>74.06</v>
          </cell>
          <cell r="J314">
            <v>3</v>
          </cell>
          <cell r="K314">
            <v>222.16</v>
          </cell>
          <cell r="L314">
            <v>74.06</v>
          </cell>
          <cell r="M314">
            <v>89.59659820282414</v>
          </cell>
          <cell r="N314">
            <v>74.06</v>
          </cell>
          <cell r="O314">
            <v>74</v>
          </cell>
          <cell r="P314">
            <v>222</v>
          </cell>
        </row>
        <row r="315">
          <cell r="A315" t="str">
            <v>KWIK-130(PS2)13603658</v>
          </cell>
          <cell r="B315" t="str">
            <v>KWIK-130(PS2)</v>
          </cell>
          <cell r="C315" t="str">
            <v>136036</v>
          </cell>
          <cell r="D315" t="str">
            <v>136036</v>
          </cell>
          <cell r="E315" t="str">
            <v>VESTA 3 BTN MICE BOX PACK**.**</v>
          </cell>
          <cell r="F315">
            <v>58</v>
          </cell>
          <cell r="G315">
            <v>74.06</v>
          </cell>
          <cell r="J315">
            <v>1</v>
          </cell>
          <cell r="K315">
            <v>74.05</v>
          </cell>
          <cell r="L315">
            <v>74.06</v>
          </cell>
          <cell r="M315">
            <v>89.59659820282414</v>
          </cell>
          <cell r="N315">
            <v>74.06</v>
          </cell>
          <cell r="O315">
            <v>74</v>
          </cell>
          <cell r="P315">
            <v>74</v>
          </cell>
        </row>
        <row r="316">
          <cell r="A316" t="str">
            <v>KWIK-13013600668</v>
          </cell>
          <cell r="B316" t="str">
            <v>KWIK-130</v>
          </cell>
          <cell r="C316" t="str">
            <v>136006</v>
          </cell>
          <cell r="D316" t="str">
            <v>136006</v>
          </cell>
          <cell r="E316" t="str">
            <v>VESTA 3 BTN ENTRY LEVEL MICE</v>
          </cell>
          <cell r="F316">
            <v>68</v>
          </cell>
          <cell r="G316">
            <v>100</v>
          </cell>
          <cell r="J316">
            <v>3</v>
          </cell>
          <cell r="K316">
            <v>300</v>
          </cell>
          <cell r="L316">
            <v>100</v>
          </cell>
          <cell r="M316">
            <v>84.53342988172821</v>
          </cell>
          <cell r="N316">
            <v>100</v>
          </cell>
          <cell r="O316">
            <v>100</v>
          </cell>
          <cell r="P316">
            <v>300</v>
          </cell>
        </row>
        <row r="317">
          <cell r="A317" t="str">
            <v>KWIK-130136006A18</v>
          </cell>
          <cell r="B317" t="str">
            <v>KWIK-130</v>
          </cell>
          <cell r="C317" t="str">
            <v>136006A</v>
          </cell>
          <cell r="D317" t="str">
            <v>136006A</v>
          </cell>
          <cell r="E317" t="str">
            <v>VESTA 3 BTN ENTRY LEVEL MICE**</v>
          </cell>
          <cell r="F317">
            <v>18</v>
          </cell>
          <cell r="G317">
            <v>67.28</v>
          </cell>
          <cell r="J317">
            <v>3</v>
          </cell>
          <cell r="K317">
            <v>201.84</v>
          </cell>
          <cell r="L317">
            <v>67.28</v>
          </cell>
          <cell r="N317">
            <v>67.28</v>
          </cell>
          <cell r="O317">
            <v>100</v>
          </cell>
          <cell r="P317">
            <v>300</v>
          </cell>
        </row>
        <row r="318">
          <cell r="A318" t="str">
            <v>KWIK-130136006B18</v>
          </cell>
          <cell r="B318" t="str">
            <v>KWIK-130</v>
          </cell>
          <cell r="C318" t="str">
            <v>136006B</v>
          </cell>
          <cell r="D318" t="str">
            <v>136006B</v>
          </cell>
          <cell r="E318" t="str">
            <v>VESTA 3 BTN ENTRY LEVEL MICE**</v>
          </cell>
          <cell r="F318">
            <v>18</v>
          </cell>
          <cell r="G318">
            <v>67.28</v>
          </cell>
          <cell r="J318">
            <v>3</v>
          </cell>
          <cell r="K318">
            <v>201.84</v>
          </cell>
          <cell r="L318">
            <v>67.28</v>
          </cell>
          <cell r="N318">
            <v>67.28</v>
          </cell>
          <cell r="O318">
            <v>100</v>
          </cell>
          <cell r="P318">
            <v>300</v>
          </cell>
        </row>
        <row r="319">
          <cell r="A319" t="str">
            <v>KWIK-130136006C18</v>
          </cell>
          <cell r="B319" t="str">
            <v>KWIK-130</v>
          </cell>
          <cell r="C319" t="str">
            <v>136006C</v>
          </cell>
          <cell r="D319" t="str">
            <v>136006C</v>
          </cell>
          <cell r="E319" t="str">
            <v>VESTA 3 BTN ENTRY LEVEL MICE**</v>
          </cell>
          <cell r="F319">
            <v>18</v>
          </cell>
          <cell r="G319">
            <v>67.28</v>
          </cell>
          <cell r="J319">
            <v>3</v>
          </cell>
          <cell r="K319">
            <v>201.84</v>
          </cell>
          <cell r="L319">
            <v>67.28</v>
          </cell>
          <cell r="N319">
            <v>67.28</v>
          </cell>
          <cell r="O319">
            <v>100</v>
          </cell>
          <cell r="P319">
            <v>300</v>
          </cell>
        </row>
        <row r="320">
          <cell r="A320" t="str">
            <v>KWIK-130136006G48</v>
          </cell>
          <cell r="B320" t="str">
            <v>KWIK-130</v>
          </cell>
          <cell r="C320" t="str">
            <v>136006G</v>
          </cell>
          <cell r="D320" t="str">
            <v>136006G</v>
          </cell>
          <cell r="E320" t="str">
            <v>VESTA 3 BTN ENTRY LEVEL MICE**</v>
          </cell>
          <cell r="F320">
            <v>48</v>
          </cell>
          <cell r="G320">
            <v>20.48</v>
          </cell>
          <cell r="J320">
            <v>7</v>
          </cell>
          <cell r="K320">
            <v>143.36000000000001</v>
          </cell>
          <cell r="L320">
            <v>20.48</v>
          </cell>
          <cell r="N320">
            <v>20.48</v>
          </cell>
          <cell r="O320">
            <v>100</v>
          </cell>
          <cell r="P320">
            <v>700</v>
          </cell>
        </row>
        <row r="321">
          <cell r="A321" t="str">
            <v>KWIK-130136006H18</v>
          </cell>
          <cell r="B321" t="str">
            <v>KWIK-130</v>
          </cell>
          <cell r="C321" t="str">
            <v>136006H</v>
          </cell>
          <cell r="D321" t="str">
            <v>136006H</v>
          </cell>
          <cell r="E321" t="str">
            <v>VESTA 3 BTN ENTRY LEVEL MICE**</v>
          </cell>
          <cell r="F321">
            <v>18</v>
          </cell>
          <cell r="G321">
            <v>67.28</v>
          </cell>
          <cell r="J321">
            <v>3</v>
          </cell>
          <cell r="K321">
            <v>201.84</v>
          </cell>
          <cell r="L321">
            <v>67.28</v>
          </cell>
          <cell r="N321">
            <v>67.28</v>
          </cell>
          <cell r="O321">
            <v>100</v>
          </cell>
          <cell r="P321">
            <v>300</v>
          </cell>
        </row>
        <row r="322">
          <cell r="A322" t="str">
            <v>KWIK-130136006I18</v>
          </cell>
          <cell r="B322" t="str">
            <v>KWIK-130</v>
          </cell>
          <cell r="C322" t="str">
            <v>136006I</v>
          </cell>
          <cell r="D322" t="str">
            <v>136006I</v>
          </cell>
          <cell r="E322" t="str">
            <v>VESTA 3 BTN ENTRY LEVEL MICE**</v>
          </cell>
          <cell r="F322">
            <v>18</v>
          </cell>
          <cell r="G322">
            <v>67.28</v>
          </cell>
          <cell r="J322">
            <v>3</v>
          </cell>
          <cell r="K322">
            <v>201.84</v>
          </cell>
          <cell r="L322">
            <v>67.28</v>
          </cell>
          <cell r="N322">
            <v>67.28</v>
          </cell>
          <cell r="O322">
            <v>100</v>
          </cell>
          <cell r="P322">
            <v>300</v>
          </cell>
        </row>
        <row r="323">
          <cell r="A323" t="str">
            <v>KWIK-130136006K18</v>
          </cell>
          <cell r="B323" t="str">
            <v>KWIK-130</v>
          </cell>
          <cell r="C323" t="str">
            <v>136006K</v>
          </cell>
          <cell r="D323" t="str">
            <v>136006K</v>
          </cell>
          <cell r="E323" t="str">
            <v>VESTA 3 BTN ENTRY LEVEL MICE**</v>
          </cell>
          <cell r="F323">
            <v>18</v>
          </cell>
          <cell r="G323">
            <v>67.28</v>
          </cell>
          <cell r="J323">
            <v>3</v>
          </cell>
          <cell r="K323">
            <v>201.84</v>
          </cell>
          <cell r="L323">
            <v>67.28</v>
          </cell>
          <cell r="N323">
            <v>67.28</v>
          </cell>
          <cell r="O323">
            <v>100</v>
          </cell>
          <cell r="P323">
            <v>300</v>
          </cell>
        </row>
        <row r="324">
          <cell r="A324" t="str">
            <v>KWIK-130136006L18</v>
          </cell>
          <cell r="B324" t="str">
            <v>KWIK-130</v>
          </cell>
          <cell r="C324" t="str">
            <v>136006L</v>
          </cell>
          <cell r="D324" t="str">
            <v>136006L</v>
          </cell>
          <cell r="E324" t="str">
            <v>VESTA 3 BTN ENTRY LEVEL MICE**</v>
          </cell>
          <cell r="F324">
            <v>18</v>
          </cell>
          <cell r="G324">
            <v>67.28</v>
          </cell>
          <cell r="J324">
            <v>3</v>
          </cell>
          <cell r="K324">
            <v>201.84</v>
          </cell>
          <cell r="L324">
            <v>67.28</v>
          </cell>
          <cell r="N324">
            <v>67.28</v>
          </cell>
          <cell r="O324">
            <v>100</v>
          </cell>
          <cell r="P324">
            <v>300</v>
          </cell>
        </row>
        <row r="325">
          <cell r="A325" t="str">
            <v>KWIK-130136006P18</v>
          </cell>
          <cell r="B325" t="str">
            <v>KWIK-130</v>
          </cell>
          <cell r="C325" t="str">
            <v>136006P</v>
          </cell>
          <cell r="D325" t="str">
            <v>136006P</v>
          </cell>
          <cell r="E325" t="str">
            <v>VESTA 3 BTN ENTRY LEVEL MICE**</v>
          </cell>
          <cell r="F325">
            <v>18</v>
          </cell>
          <cell r="G325">
            <v>67.28</v>
          </cell>
          <cell r="J325">
            <v>3</v>
          </cell>
          <cell r="K325">
            <v>201.84</v>
          </cell>
          <cell r="L325">
            <v>67.28</v>
          </cell>
          <cell r="N325">
            <v>67.28</v>
          </cell>
          <cell r="O325">
            <v>100</v>
          </cell>
          <cell r="P325">
            <v>300</v>
          </cell>
        </row>
        <row r="326">
          <cell r="A326" t="str">
            <v>KWIK-130136006R18</v>
          </cell>
          <cell r="B326" t="str">
            <v>KWIK-130</v>
          </cell>
          <cell r="C326" t="str">
            <v>136006R</v>
          </cell>
          <cell r="D326" t="str">
            <v>136006R</v>
          </cell>
          <cell r="E326" t="str">
            <v>VESTA 3 BTN ENTRY LEVEL MICE</v>
          </cell>
          <cell r="F326">
            <v>18</v>
          </cell>
          <cell r="G326">
            <v>0.46</v>
          </cell>
          <cell r="J326">
            <v>2</v>
          </cell>
          <cell r="K326">
            <v>0.91</v>
          </cell>
          <cell r="L326">
            <v>0.46</v>
          </cell>
          <cell r="N326">
            <v>67.28</v>
          </cell>
          <cell r="O326">
            <v>100</v>
          </cell>
          <cell r="P326">
            <v>200</v>
          </cell>
        </row>
        <row r="327">
          <cell r="A327" t="str">
            <v>KWIK-130136006R58</v>
          </cell>
          <cell r="B327" t="str">
            <v>KWIK-130</v>
          </cell>
          <cell r="C327" t="str">
            <v>136006R</v>
          </cell>
          <cell r="D327" t="str">
            <v>136006R</v>
          </cell>
          <cell r="E327" t="str">
            <v>VESTA 3 BTN ENTRY LEVEL MICE</v>
          </cell>
          <cell r="F327">
            <v>58</v>
          </cell>
          <cell r="G327">
            <v>0.46</v>
          </cell>
          <cell r="H327">
            <v>1</v>
          </cell>
          <cell r="I327">
            <v>0.45</v>
          </cell>
          <cell r="J327">
            <v>2</v>
          </cell>
          <cell r="K327">
            <v>0.91</v>
          </cell>
          <cell r="L327">
            <v>0.46</v>
          </cell>
          <cell r="N327">
            <v>67.28</v>
          </cell>
          <cell r="O327">
            <v>100</v>
          </cell>
          <cell r="P327">
            <v>300</v>
          </cell>
        </row>
        <row r="328">
          <cell r="A328" t="str">
            <v>KWIK-130136006R68</v>
          </cell>
          <cell r="B328" t="str">
            <v>KWIK-130</v>
          </cell>
          <cell r="C328" t="str">
            <v>136006R</v>
          </cell>
          <cell r="D328" t="str">
            <v>136006R</v>
          </cell>
          <cell r="E328" t="str">
            <v>VESTA 3 BTN ENTRY LEVEL MICE</v>
          </cell>
          <cell r="F328">
            <v>68</v>
          </cell>
          <cell r="G328">
            <v>0.46</v>
          </cell>
          <cell r="J328">
            <v>4</v>
          </cell>
          <cell r="K328">
            <v>1.83</v>
          </cell>
          <cell r="L328">
            <v>0.46</v>
          </cell>
          <cell r="N328">
            <v>67.28</v>
          </cell>
          <cell r="O328">
            <v>100</v>
          </cell>
          <cell r="P328">
            <v>400</v>
          </cell>
        </row>
        <row r="329">
          <cell r="A329" t="str">
            <v>KWIK-130136006X19</v>
          </cell>
          <cell r="B329" t="str">
            <v>KWIK-130</v>
          </cell>
          <cell r="C329" t="str">
            <v>136006X</v>
          </cell>
          <cell r="D329" t="str">
            <v>136006X</v>
          </cell>
          <cell r="E329" t="str">
            <v>VESTA 3BTN ENTRY LEVEL MICE</v>
          </cell>
          <cell r="F329">
            <v>19</v>
          </cell>
          <cell r="G329">
            <v>0</v>
          </cell>
          <cell r="J329">
            <v>11</v>
          </cell>
          <cell r="L329">
            <v>0</v>
          </cell>
          <cell r="N329">
            <v>67.28</v>
          </cell>
          <cell r="O329">
            <v>100</v>
          </cell>
          <cell r="P329">
            <v>1100</v>
          </cell>
        </row>
        <row r="330">
          <cell r="A330" t="str">
            <v>KWIK-130136006X59</v>
          </cell>
          <cell r="B330" t="str">
            <v>KWIK-130</v>
          </cell>
          <cell r="C330" t="str">
            <v>136006X</v>
          </cell>
          <cell r="D330" t="str">
            <v>136006X</v>
          </cell>
          <cell r="E330" t="str">
            <v>VESTA 3BTN ENTRY LEVEL MICE</v>
          </cell>
          <cell r="F330">
            <v>59</v>
          </cell>
          <cell r="G330">
            <v>0</v>
          </cell>
          <cell r="J330">
            <v>1</v>
          </cell>
          <cell r="L330">
            <v>0</v>
          </cell>
          <cell r="N330">
            <v>67.28</v>
          </cell>
          <cell r="O330">
            <v>100</v>
          </cell>
          <cell r="P330">
            <v>100</v>
          </cell>
        </row>
        <row r="331">
          <cell r="A331" t="str">
            <v>LD20A01312000048</v>
          </cell>
          <cell r="B331" t="str">
            <v>LD20A013</v>
          </cell>
          <cell r="C331" t="str">
            <v>120000</v>
          </cell>
          <cell r="D331" t="str">
            <v>120000</v>
          </cell>
          <cell r="E331" t="str">
            <v>FIREBALL 20GB</v>
          </cell>
          <cell r="F331">
            <v>48</v>
          </cell>
          <cell r="G331">
            <v>4105.59</v>
          </cell>
          <cell r="J331">
            <v>4</v>
          </cell>
          <cell r="K331">
            <v>16422.36</v>
          </cell>
          <cell r="L331">
            <v>4105.59</v>
          </cell>
          <cell r="N331">
            <v>4105.59</v>
          </cell>
          <cell r="O331">
            <v>4000</v>
          </cell>
          <cell r="P331">
            <v>16000</v>
          </cell>
        </row>
        <row r="332">
          <cell r="A332" t="str">
            <v>LD20A01312000058</v>
          </cell>
          <cell r="B332" t="str">
            <v>LD20A013</v>
          </cell>
          <cell r="C332" t="str">
            <v>120000</v>
          </cell>
          <cell r="D332" t="str">
            <v>120000</v>
          </cell>
          <cell r="E332" t="str">
            <v>FIREBALL 20GB</v>
          </cell>
          <cell r="F332">
            <v>58</v>
          </cell>
          <cell r="G332">
            <v>4105.59</v>
          </cell>
          <cell r="J332">
            <v>1</v>
          </cell>
          <cell r="K332">
            <v>4105.59</v>
          </cell>
          <cell r="L332">
            <v>4105.59</v>
          </cell>
          <cell r="N332">
            <v>4105.59</v>
          </cell>
          <cell r="O332">
            <v>4000</v>
          </cell>
          <cell r="P332">
            <v>4000</v>
          </cell>
        </row>
        <row r="333">
          <cell r="A333" t="str">
            <v>LD20A01312000068</v>
          </cell>
          <cell r="B333" t="str">
            <v>LD20A013</v>
          </cell>
          <cell r="C333" t="str">
            <v>120000</v>
          </cell>
          <cell r="D333" t="str">
            <v>120000</v>
          </cell>
          <cell r="E333" t="str">
            <v>FIREBALL 20GB</v>
          </cell>
          <cell r="F333">
            <v>68</v>
          </cell>
          <cell r="G333">
            <v>4105.59</v>
          </cell>
          <cell r="J333">
            <v>10</v>
          </cell>
          <cell r="K333">
            <v>41055.9</v>
          </cell>
          <cell r="L333">
            <v>4105.59</v>
          </cell>
          <cell r="N333">
            <v>4105.59</v>
          </cell>
          <cell r="O333">
            <v>4000</v>
          </cell>
          <cell r="P333">
            <v>40000</v>
          </cell>
        </row>
        <row r="334">
          <cell r="A334" t="str">
            <v>LKM-F934-110900519</v>
          </cell>
          <cell r="B334" t="str">
            <v>LKM-F934-1</v>
          </cell>
          <cell r="C334" t="str">
            <v>109005</v>
          </cell>
          <cell r="D334" t="str">
            <v>109005</v>
          </cell>
          <cell r="E334" t="str">
            <v>120MB DISK DRV</v>
          </cell>
          <cell r="F334">
            <v>19</v>
          </cell>
          <cell r="G334">
            <v>7500</v>
          </cell>
          <cell r="J334">
            <v>34</v>
          </cell>
          <cell r="K334">
            <v>255000</v>
          </cell>
          <cell r="L334">
            <v>7500</v>
          </cell>
          <cell r="N334">
            <v>7500</v>
          </cell>
          <cell r="O334">
            <v>0</v>
          </cell>
          <cell r="P334">
            <v>0</v>
          </cell>
        </row>
        <row r="335">
          <cell r="A335" t="str">
            <v>LS 120 USB10900319</v>
          </cell>
          <cell r="B335" t="str">
            <v>LS 120 USB</v>
          </cell>
          <cell r="C335" t="str">
            <v>109003</v>
          </cell>
          <cell r="D335" t="str">
            <v>109003</v>
          </cell>
          <cell r="E335" t="str">
            <v>3.5HH 120MB BONDYBLUE FOR IMAC</v>
          </cell>
          <cell r="F335">
            <v>19</v>
          </cell>
          <cell r="G335">
            <v>0.01</v>
          </cell>
          <cell r="J335">
            <v>5</v>
          </cell>
          <cell r="K335">
            <v>0.05</v>
          </cell>
          <cell r="L335">
            <v>0.01</v>
          </cell>
          <cell r="N335">
            <v>0.01</v>
          </cell>
          <cell r="O335">
            <v>0</v>
          </cell>
          <cell r="P335">
            <v>0</v>
          </cell>
        </row>
        <row r="336">
          <cell r="A336" t="str">
            <v>LS 120 USB109003X19</v>
          </cell>
          <cell r="B336" t="str">
            <v>LS 120 USB</v>
          </cell>
          <cell r="C336" t="str">
            <v>109003X</v>
          </cell>
          <cell r="D336" t="str">
            <v>109003X</v>
          </cell>
          <cell r="E336" t="str">
            <v>3.5HH 120MB BONDYBLUE FOR</v>
          </cell>
          <cell r="F336">
            <v>19</v>
          </cell>
          <cell r="G336">
            <v>0</v>
          </cell>
          <cell r="J336">
            <v>3</v>
          </cell>
          <cell r="L336">
            <v>0</v>
          </cell>
          <cell r="O336">
            <v>0</v>
          </cell>
          <cell r="P336">
            <v>0</v>
          </cell>
        </row>
        <row r="337">
          <cell r="A337" t="str">
            <v>LS-120-INTERNAL109002X19</v>
          </cell>
          <cell r="B337" t="str">
            <v>LS-120-INTERNAL</v>
          </cell>
          <cell r="C337" t="str">
            <v>109002X</v>
          </cell>
          <cell r="D337" t="str">
            <v>109002X</v>
          </cell>
          <cell r="E337" t="str">
            <v>3.5LP 120MB BEIGE FOR HP</v>
          </cell>
          <cell r="F337">
            <v>19</v>
          </cell>
          <cell r="G337">
            <v>0</v>
          </cell>
          <cell r="J337">
            <v>3</v>
          </cell>
          <cell r="L337">
            <v>0</v>
          </cell>
          <cell r="N337">
            <v>3954.44</v>
          </cell>
          <cell r="O337">
            <v>1000</v>
          </cell>
          <cell r="P337">
            <v>3000</v>
          </cell>
        </row>
        <row r="338">
          <cell r="A338" t="str">
            <v>N-100121035R18</v>
          </cell>
          <cell r="B338" t="str">
            <v>N-100</v>
          </cell>
          <cell r="C338" t="str">
            <v>121035R</v>
          </cell>
          <cell r="D338" t="str">
            <v>121035R</v>
          </cell>
          <cell r="E338" t="str">
            <v>SAMSUNG MOBILE N-100</v>
          </cell>
          <cell r="F338">
            <v>18</v>
          </cell>
          <cell r="G338">
            <v>0.01</v>
          </cell>
          <cell r="J338">
            <v>2</v>
          </cell>
          <cell r="K338">
            <v>0.02</v>
          </cell>
          <cell r="L338">
            <v>0.01</v>
          </cell>
          <cell r="N338">
            <v>9943.2000000000007</v>
          </cell>
          <cell r="O338">
            <v>10000</v>
          </cell>
          <cell r="P338">
            <v>20000</v>
          </cell>
        </row>
        <row r="339">
          <cell r="A339" t="str">
            <v>N-100121035TN18</v>
          </cell>
          <cell r="B339" t="str">
            <v>N-100</v>
          </cell>
          <cell r="C339" t="str">
            <v>121035TN</v>
          </cell>
          <cell r="D339" t="str">
            <v>121035TN</v>
          </cell>
          <cell r="E339" t="str">
            <v>SAMSUNG MOBILE N-100</v>
          </cell>
          <cell r="F339">
            <v>18</v>
          </cell>
          <cell r="G339">
            <v>9943.2000000000007</v>
          </cell>
          <cell r="J339">
            <v>2</v>
          </cell>
          <cell r="K339">
            <v>19886.39</v>
          </cell>
          <cell r="L339">
            <v>9943.2000000000007</v>
          </cell>
          <cell r="M339">
            <v>9652.082594142259</v>
          </cell>
          <cell r="N339">
            <v>9943.2000000000007</v>
          </cell>
          <cell r="O339">
            <v>10000</v>
          </cell>
          <cell r="P339">
            <v>20000</v>
          </cell>
        </row>
        <row r="340">
          <cell r="A340" t="str">
            <v>OMNI 56K110308R18</v>
          </cell>
          <cell r="B340" t="str">
            <v>OMNI 56K</v>
          </cell>
          <cell r="C340" t="str">
            <v>110308R</v>
          </cell>
          <cell r="D340" t="str">
            <v>110308R</v>
          </cell>
          <cell r="E340" t="str">
            <v>OMNI 56K DAILUP MODEM.*****.**</v>
          </cell>
          <cell r="F340">
            <v>18</v>
          </cell>
          <cell r="G340">
            <v>0.01</v>
          </cell>
          <cell r="J340">
            <v>4</v>
          </cell>
          <cell r="K340">
            <v>0.03</v>
          </cell>
          <cell r="L340">
            <v>0.01</v>
          </cell>
          <cell r="O340">
            <v>2000</v>
          </cell>
          <cell r="P340">
            <v>8000</v>
          </cell>
        </row>
        <row r="341">
          <cell r="A341" t="str">
            <v>P80701IE14600218</v>
          </cell>
          <cell r="B341" t="str">
            <v>P80701IE</v>
          </cell>
          <cell r="C341" t="str">
            <v>146002</v>
          </cell>
          <cell r="D341" t="str">
            <v>146002</v>
          </cell>
          <cell r="E341" t="str">
            <v>PLAM M105 8 MB</v>
          </cell>
          <cell r="F341">
            <v>18</v>
          </cell>
          <cell r="G341">
            <v>10955.58</v>
          </cell>
          <cell r="J341">
            <v>1</v>
          </cell>
          <cell r="K341">
            <v>10955.58</v>
          </cell>
          <cell r="L341">
            <v>10955.58</v>
          </cell>
          <cell r="M341">
            <v>11295.196581196582</v>
          </cell>
          <cell r="N341">
            <v>10955.58</v>
          </cell>
          <cell r="O341">
            <v>10000</v>
          </cell>
          <cell r="P341">
            <v>10000</v>
          </cell>
        </row>
        <row r="342">
          <cell r="A342" t="str">
            <v>PILA8460B11001618</v>
          </cell>
          <cell r="B342" t="str">
            <v>PILA8460B</v>
          </cell>
          <cell r="C342" t="str">
            <v>110016</v>
          </cell>
          <cell r="D342" t="str">
            <v>110016</v>
          </cell>
          <cell r="E342" t="str">
            <v>EXPRESS PRO   UTPPCI32 10/100</v>
          </cell>
          <cell r="F342">
            <v>18</v>
          </cell>
          <cell r="G342">
            <v>2140.38</v>
          </cell>
          <cell r="J342">
            <v>1</v>
          </cell>
          <cell r="K342">
            <v>2140.38</v>
          </cell>
          <cell r="L342">
            <v>2140.38</v>
          </cell>
          <cell r="M342">
            <v>2148.6131386861316</v>
          </cell>
          <cell r="N342">
            <v>2140.38</v>
          </cell>
          <cell r="O342">
            <v>1500</v>
          </cell>
          <cell r="P342">
            <v>1500</v>
          </cell>
        </row>
        <row r="343">
          <cell r="A343" t="str">
            <v>POWER SUPPLY136028R18</v>
          </cell>
          <cell r="B343" t="str">
            <v>POWER SUPPLY</v>
          </cell>
          <cell r="C343" t="str">
            <v>136028R</v>
          </cell>
          <cell r="D343" t="str">
            <v>136028R</v>
          </cell>
          <cell r="E343" t="str">
            <v>POWER SUPPLY FOR VESTA</v>
          </cell>
          <cell r="F343">
            <v>18</v>
          </cell>
          <cell r="G343">
            <v>0.84</v>
          </cell>
          <cell r="J343">
            <v>4</v>
          </cell>
          <cell r="K343">
            <v>3.35</v>
          </cell>
          <cell r="L343">
            <v>0.84</v>
          </cell>
          <cell r="O343">
            <v>200</v>
          </cell>
          <cell r="P343">
            <v>800</v>
          </cell>
        </row>
        <row r="344">
          <cell r="A344" t="str">
            <v>POWER SUPPLY136028X19</v>
          </cell>
          <cell r="B344" t="str">
            <v>POWER SUPPLY</v>
          </cell>
          <cell r="C344" t="str">
            <v>136028X</v>
          </cell>
          <cell r="D344" t="str">
            <v>136028X</v>
          </cell>
          <cell r="E344" t="str">
            <v>POWER SUPPLY FOR VESTA CABINET</v>
          </cell>
          <cell r="F344">
            <v>19</v>
          </cell>
          <cell r="G344">
            <v>0</v>
          </cell>
          <cell r="H344">
            <v>2</v>
          </cell>
          <cell r="J344">
            <v>163</v>
          </cell>
          <cell r="L344">
            <v>0</v>
          </cell>
          <cell r="O344">
            <v>100</v>
          </cell>
          <cell r="P344">
            <v>16500</v>
          </cell>
        </row>
        <row r="345">
          <cell r="A345" t="str">
            <v>POWER SUPPLY136028X49</v>
          </cell>
          <cell r="B345" t="str">
            <v>POWER SUPPLY</v>
          </cell>
          <cell r="C345" t="str">
            <v>136028X</v>
          </cell>
          <cell r="D345" t="str">
            <v>136028X</v>
          </cell>
          <cell r="E345" t="str">
            <v>POWER SUPPLY FOR VESTA CABINET</v>
          </cell>
          <cell r="F345">
            <v>49</v>
          </cell>
          <cell r="G345">
            <v>0</v>
          </cell>
          <cell r="J345">
            <v>2</v>
          </cell>
          <cell r="L345">
            <v>0</v>
          </cell>
          <cell r="O345">
            <v>100</v>
          </cell>
          <cell r="P345">
            <v>200</v>
          </cell>
        </row>
        <row r="346">
          <cell r="A346" t="str">
            <v>POWER SUPPLY136028X59</v>
          </cell>
          <cell r="B346" t="str">
            <v>POWER SUPPLY</v>
          </cell>
          <cell r="C346" t="str">
            <v>136028X</v>
          </cell>
          <cell r="D346" t="str">
            <v>136028X</v>
          </cell>
          <cell r="E346" t="str">
            <v>POWER SUPPLY FOR VESTA CABINET</v>
          </cell>
          <cell r="F346">
            <v>59</v>
          </cell>
          <cell r="G346">
            <v>0</v>
          </cell>
          <cell r="J346">
            <v>4</v>
          </cell>
          <cell r="L346">
            <v>0</v>
          </cell>
          <cell r="O346">
            <v>100</v>
          </cell>
          <cell r="P346">
            <v>400</v>
          </cell>
        </row>
        <row r="347">
          <cell r="A347" t="str">
            <v>POWER SUPPLY13604018</v>
          </cell>
          <cell r="B347" t="str">
            <v>POWER SUPPLY</v>
          </cell>
          <cell r="C347" t="str">
            <v>136040</v>
          </cell>
          <cell r="D347" t="str">
            <v>136040</v>
          </cell>
          <cell r="E347" t="str">
            <v>POWER SUPPLY FORVESTA CABINETS</v>
          </cell>
          <cell r="F347">
            <v>18</v>
          </cell>
          <cell r="G347">
            <v>71.89</v>
          </cell>
          <cell r="J347">
            <v>45</v>
          </cell>
          <cell r="K347">
            <v>3235.08</v>
          </cell>
          <cell r="L347">
            <v>71.89</v>
          </cell>
          <cell r="M347">
            <v>240.35</v>
          </cell>
          <cell r="N347">
            <v>71.89</v>
          </cell>
          <cell r="O347">
            <v>100</v>
          </cell>
          <cell r="P347">
            <v>4500</v>
          </cell>
        </row>
        <row r="348">
          <cell r="A348" t="str">
            <v>POWER SUPPLY13604048</v>
          </cell>
          <cell r="B348" t="str">
            <v>POWER SUPPLY</v>
          </cell>
          <cell r="C348" t="str">
            <v>136040</v>
          </cell>
          <cell r="D348" t="str">
            <v>136040</v>
          </cell>
          <cell r="E348" t="str">
            <v>POWER SUPPLY FORVESTA CABINETS</v>
          </cell>
          <cell r="F348">
            <v>48</v>
          </cell>
          <cell r="G348">
            <v>71.89</v>
          </cell>
          <cell r="J348">
            <v>3</v>
          </cell>
          <cell r="K348">
            <v>215.67</v>
          </cell>
          <cell r="L348">
            <v>71.89</v>
          </cell>
          <cell r="M348">
            <v>240.35</v>
          </cell>
          <cell r="N348">
            <v>71.89</v>
          </cell>
          <cell r="O348">
            <v>100</v>
          </cell>
          <cell r="P348">
            <v>300</v>
          </cell>
        </row>
        <row r="349">
          <cell r="A349" t="str">
            <v>POWER SUPPLY13604058</v>
          </cell>
          <cell r="B349" t="str">
            <v>POWER SUPPLY</v>
          </cell>
          <cell r="C349" t="str">
            <v>136040</v>
          </cell>
          <cell r="D349" t="str">
            <v>136040</v>
          </cell>
          <cell r="E349" t="str">
            <v>POWER SUPPLY FORVESTA CABINETS</v>
          </cell>
          <cell r="F349">
            <v>58</v>
          </cell>
          <cell r="G349">
            <v>71.89</v>
          </cell>
          <cell r="H349">
            <v>5</v>
          </cell>
          <cell r="I349">
            <v>359.45</v>
          </cell>
          <cell r="J349">
            <v>49</v>
          </cell>
          <cell r="K349">
            <v>3522.64</v>
          </cell>
          <cell r="L349">
            <v>71.89</v>
          </cell>
          <cell r="M349">
            <v>240.35</v>
          </cell>
          <cell r="N349">
            <v>71.89</v>
          </cell>
          <cell r="O349">
            <v>100</v>
          </cell>
          <cell r="P349">
            <v>5400</v>
          </cell>
        </row>
        <row r="350">
          <cell r="A350" t="str">
            <v>POWER SUPPLY13604068</v>
          </cell>
          <cell r="B350" t="str">
            <v>POWER SUPPLY</v>
          </cell>
          <cell r="C350" t="str">
            <v>136040</v>
          </cell>
          <cell r="D350" t="str">
            <v>136040</v>
          </cell>
          <cell r="E350" t="str">
            <v>POWER SUPPLY FORVESTA CABINETS</v>
          </cell>
          <cell r="F350">
            <v>68</v>
          </cell>
          <cell r="G350">
            <v>71.89</v>
          </cell>
          <cell r="J350">
            <v>3</v>
          </cell>
          <cell r="K350">
            <v>215.67</v>
          </cell>
          <cell r="L350">
            <v>71.89</v>
          </cell>
          <cell r="M350">
            <v>240.35</v>
          </cell>
          <cell r="N350">
            <v>71.89</v>
          </cell>
          <cell r="O350">
            <v>100</v>
          </cell>
          <cell r="P350">
            <v>300</v>
          </cell>
        </row>
        <row r="351">
          <cell r="A351" t="str">
            <v>POWER SUPPLY136040R58</v>
          </cell>
          <cell r="B351" t="str">
            <v>POWER SUPPLY</v>
          </cell>
          <cell r="C351" t="str">
            <v>136040R</v>
          </cell>
          <cell r="D351" t="str">
            <v>136040R</v>
          </cell>
          <cell r="E351" t="str">
            <v>POWER SUPPLY FORVESTA CABINETS</v>
          </cell>
          <cell r="F351">
            <v>58</v>
          </cell>
          <cell r="G351">
            <v>0.76</v>
          </cell>
          <cell r="J351">
            <v>1</v>
          </cell>
          <cell r="K351">
            <v>0.75</v>
          </cell>
          <cell r="L351">
            <v>0.76</v>
          </cell>
          <cell r="N351">
            <v>71.89</v>
          </cell>
          <cell r="O351">
            <v>250</v>
          </cell>
          <cell r="P351">
            <v>250</v>
          </cell>
        </row>
        <row r="352">
          <cell r="A352" t="str">
            <v>POWER SUPPLY136040X19</v>
          </cell>
          <cell r="B352" t="str">
            <v>POWER SUPPLY</v>
          </cell>
          <cell r="C352" t="str">
            <v>136040X</v>
          </cell>
          <cell r="D352" t="str">
            <v>136040X</v>
          </cell>
          <cell r="E352" t="str">
            <v>POWER SUPPLY FOR VESTA CABINETS</v>
          </cell>
          <cell r="F352">
            <v>19</v>
          </cell>
          <cell r="G352">
            <v>0</v>
          </cell>
          <cell r="H352">
            <v>2</v>
          </cell>
          <cell r="J352">
            <v>15</v>
          </cell>
          <cell r="L352">
            <v>0</v>
          </cell>
          <cell r="N352">
            <v>71.89</v>
          </cell>
          <cell r="O352">
            <v>250</v>
          </cell>
          <cell r="P352">
            <v>4250</v>
          </cell>
        </row>
        <row r="353">
          <cell r="A353" t="str">
            <v>POWER SUPPLY13604118</v>
          </cell>
          <cell r="B353" t="str">
            <v>POWER SUPPLY</v>
          </cell>
          <cell r="C353" t="str">
            <v>136041</v>
          </cell>
          <cell r="D353" t="str">
            <v>136040X</v>
          </cell>
          <cell r="E353" t="str">
            <v>POWER SUPPLY FOR VESTA CABINETS</v>
          </cell>
          <cell r="F353">
            <v>18</v>
          </cell>
          <cell r="G353">
            <v>137</v>
          </cell>
          <cell r="J353">
            <v>1</v>
          </cell>
          <cell r="K353">
            <v>137</v>
          </cell>
          <cell r="L353">
            <v>137</v>
          </cell>
          <cell r="N353">
            <v>137</v>
          </cell>
          <cell r="O353">
            <v>200</v>
          </cell>
          <cell r="P353">
            <v>200</v>
          </cell>
        </row>
        <row r="354">
          <cell r="A354" t="str">
            <v>POWER SWITCH13615058</v>
          </cell>
          <cell r="B354" t="str">
            <v>POWER SWITCH</v>
          </cell>
          <cell r="C354" t="str">
            <v>136150</v>
          </cell>
          <cell r="D354" t="str">
            <v>136150</v>
          </cell>
          <cell r="E354" t="str">
            <v>POWER SWITCH</v>
          </cell>
          <cell r="F354">
            <v>58</v>
          </cell>
          <cell r="G354">
            <v>8.02</v>
          </cell>
          <cell r="J354">
            <v>900</v>
          </cell>
          <cell r="K354">
            <v>7220.16</v>
          </cell>
          <cell r="L354">
            <v>8.02</v>
          </cell>
          <cell r="N354">
            <v>8.02</v>
          </cell>
          <cell r="O354">
            <v>10</v>
          </cell>
          <cell r="P354">
            <v>9000</v>
          </cell>
        </row>
        <row r="355">
          <cell r="A355" t="str">
            <v>PRESTIGE128 PLUS(S/T131005R18</v>
          </cell>
          <cell r="B355" t="str">
            <v>PRESTIGE128 PLUS(S/T</v>
          </cell>
          <cell r="C355" t="str">
            <v>131005R</v>
          </cell>
          <cell r="D355" t="str">
            <v>131005R</v>
          </cell>
          <cell r="E355" t="str">
            <v>ISDN ROUTER IP, IPX,</v>
          </cell>
          <cell r="F355">
            <v>18</v>
          </cell>
          <cell r="G355">
            <v>0.01</v>
          </cell>
          <cell r="J355">
            <v>1</v>
          </cell>
          <cell r="K355">
            <v>0.01</v>
          </cell>
          <cell r="L355">
            <v>0.01</v>
          </cell>
          <cell r="O355">
            <v>14000</v>
          </cell>
          <cell r="P355">
            <v>14000</v>
          </cell>
        </row>
        <row r="356">
          <cell r="A356" t="str">
            <v>PWR600-AC-RPS-CAB104127GJ58</v>
          </cell>
          <cell r="B356" t="str">
            <v>PWR600-AC-RPS-CAB</v>
          </cell>
          <cell r="C356" t="str">
            <v>104127GJ</v>
          </cell>
          <cell r="D356" t="str">
            <v>104127GJ</v>
          </cell>
          <cell r="E356" t="str">
            <v>600W REDUNDANT AC POWER SYSTEM</v>
          </cell>
          <cell r="F356">
            <v>58</v>
          </cell>
          <cell r="G356">
            <v>88119.54</v>
          </cell>
          <cell r="J356">
            <v>1</v>
          </cell>
          <cell r="K356">
            <v>88119.54</v>
          </cell>
          <cell r="L356">
            <v>88119.54</v>
          </cell>
          <cell r="N356">
            <v>88119.54</v>
          </cell>
          <cell r="O356">
            <v>88000</v>
          </cell>
          <cell r="P356">
            <v>88000</v>
          </cell>
        </row>
        <row r="357">
          <cell r="A357" t="str">
            <v>Q396J4T19E14304968</v>
          </cell>
          <cell r="B357" t="str">
            <v>Q396J4T19E</v>
          </cell>
          <cell r="C357" t="str">
            <v>143049</v>
          </cell>
          <cell r="D357" t="str">
            <v>143049</v>
          </cell>
          <cell r="E357" t="str">
            <v>COBALT QUBE3,BUSINESS EDITION</v>
          </cell>
          <cell r="F357">
            <v>68</v>
          </cell>
          <cell r="G357">
            <v>56469.33</v>
          </cell>
          <cell r="J357">
            <v>1</v>
          </cell>
          <cell r="K357">
            <v>56469.32</v>
          </cell>
          <cell r="L357">
            <v>56469.33</v>
          </cell>
          <cell r="M357">
            <v>67275.399999999994</v>
          </cell>
          <cell r="N357">
            <v>56469.33</v>
          </cell>
          <cell r="O357">
            <v>56000</v>
          </cell>
          <cell r="P357">
            <v>56000</v>
          </cell>
        </row>
        <row r="358">
          <cell r="A358" t="str">
            <v>QM304550PX-SCA12009218</v>
          </cell>
          <cell r="B358" t="str">
            <v>QM304550PX-SCA</v>
          </cell>
          <cell r="C358" t="str">
            <v>120092</v>
          </cell>
          <cell r="D358" t="str">
            <v>120092</v>
          </cell>
          <cell r="E358" t="str">
            <v>VIKING II SCSI 4.5GB 7200RPM</v>
          </cell>
          <cell r="F358">
            <v>18</v>
          </cell>
          <cell r="G358">
            <v>0.01</v>
          </cell>
          <cell r="J358">
            <v>1</v>
          </cell>
          <cell r="K358">
            <v>0.01</v>
          </cell>
          <cell r="L358">
            <v>0.01</v>
          </cell>
          <cell r="N358">
            <v>0.01</v>
          </cell>
          <cell r="O358">
            <v>0</v>
          </cell>
          <cell r="P358">
            <v>0</v>
          </cell>
        </row>
        <row r="359">
          <cell r="A359" t="str">
            <v>QM309100KN-LW120030X19</v>
          </cell>
          <cell r="B359" t="str">
            <v>QM309100KN-LW</v>
          </cell>
          <cell r="C359" t="str">
            <v>120030X</v>
          </cell>
          <cell r="D359" t="str">
            <v>120030X</v>
          </cell>
          <cell r="E359" t="str">
            <v>ATLAS IV 9.1GB U160 SCSI 2MB</v>
          </cell>
          <cell r="F359">
            <v>19</v>
          </cell>
          <cell r="G359">
            <v>0</v>
          </cell>
          <cell r="J359">
            <v>1</v>
          </cell>
          <cell r="L359">
            <v>0</v>
          </cell>
          <cell r="O359">
            <v>9000</v>
          </cell>
          <cell r="P359">
            <v>9000</v>
          </cell>
        </row>
        <row r="360">
          <cell r="A360" t="str">
            <v>QM309100PX-LW120045R18</v>
          </cell>
          <cell r="B360" t="str">
            <v>QM309100PX-LW</v>
          </cell>
          <cell r="C360" t="str">
            <v>120045R</v>
          </cell>
          <cell r="D360" t="str">
            <v>120045R</v>
          </cell>
          <cell r="E360" t="str">
            <v>REF 9.1GB UW SCSI HDD</v>
          </cell>
          <cell r="F360">
            <v>18</v>
          </cell>
          <cell r="G360">
            <v>838.22</v>
          </cell>
          <cell r="J360">
            <v>1</v>
          </cell>
          <cell r="K360">
            <v>838.21</v>
          </cell>
          <cell r="L360">
            <v>838.22</v>
          </cell>
          <cell r="O360">
            <v>0</v>
          </cell>
          <cell r="P360">
            <v>0</v>
          </cell>
        </row>
        <row r="361">
          <cell r="A361" t="str">
            <v>QM309100PX-SCA120014R18</v>
          </cell>
          <cell r="B361" t="str">
            <v>QM309100PX-SCA</v>
          </cell>
          <cell r="C361" t="str">
            <v>120014R</v>
          </cell>
          <cell r="D361" t="str">
            <v>120014R</v>
          </cell>
          <cell r="E361" t="str">
            <v>VIKING 9.1GB FAST SCI 2 3.5LP</v>
          </cell>
          <cell r="F361">
            <v>18</v>
          </cell>
          <cell r="G361">
            <v>13194.57</v>
          </cell>
          <cell r="J361">
            <v>4</v>
          </cell>
          <cell r="K361">
            <v>52778.28</v>
          </cell>
          <cell r="L361">
            <v>13194.57</v>
          </cell>
          <cell r="O361">
            <v>0</v>
          </cell>
          <cell r="P361">
            <v>0</v>
          </cell>
        </row>
        <row r="362">
          <cell r="A362" t="str">
            <v>QM309100TD-LW12001518</v>
          </cell>
          <cell r="B362" t="str">
            <v>QM309100TD-LW</v>
          </cell>
          <cell r="C362" t="str">
            <v>120015</v>
          </cell>
          <cell r="D362" t="str">
            <v>120015</v>
          </cell>
          <cell r="E362" t="str">
            <v>ATLAS III 9.1GB FAST SCSI 2 3.</v>
          </cell>
          <cell r="F362">
            <v>18</v>
          </cell>
          <cell r="G362">
            <v>0.01</v>
          </cell>
          <cell r="J362">
            <v>1</v>
          </cell>
          <cell r="K362">
            <v>0.01</v>
          </cell>
          <cell r="L362">
            <v>0.01</v>
          </cell>
          <cell r="N362">
            <v>0.01</v>
          </cell>
          <cell r="O362">
            <v>4000</v>
          </cell>
          <cell r="P362">
            <v>4000</v>
          </cell>
        </row>
        <row r="363">
          <cell r="A363" t="str">
            <v>QM309100XC-LW120040X19</v>
          </cell>
          <cell r="B363" t="str">
            <v>QM309100XC-LW</v>
          </cell>
          <cell r="C363" t="str">
            <v>120040X</v>
          </cell>
          <cell r="D363" t="str">
            <v>120040X</v>
          </cell>
          <cell r="E363" t="str">
            <v>ATLAS IV 9.1GB U160 SCSI</v>
          </cell>
          <cell r="F363">
            <v>19</v>
          </cell>
          <cell r="G363">
            <v>0</v>
          </cell>
          <cell r="J363">
            <v>1</v>
          </cell>
          <cell r="L363">
            <v>0</v>
          </cell>
          <cell r="O363">
            <v>9000</v>
          </cell>
          <cell r="P363">
            <v>9000</v>
          </cell>
        </row>
        <row r="364">
          <cell r="A364" t="str">
            <v>QM309100XC-SCA120043X19</v>
          </cell>
          <cell r="B364" t="str">
            <v>QM309100XC-SCA</v>
          </cell>
          <cell r="C364" t="str">
            <v>120043X</v>
          </cell>
          <cell r="D364" t="str">
            <v>120043X</v>
          </cell>
          <cell r="E364" t="str">
            <v>ATLAS V 9.1GB U160 SCSI****.**</v>
          </cell>
          <cell r="F364">
            <v>19</v>
          </cell>
          <cell r="G364">
            <v>0</v>
          </cell>
          <cell r="J364">
            <v>3</v>
          </cell>
          <cell r="L364">
            <v>0</v>
          </cell>
          <cell r="O364">
            <v>9000</v>
          </cell>
          <cell r="P364">
            <v>27000</v>
          </cell>
        </row>
        <row r="365">
          <cell r="A365" t="str">
            <v>QM31280TM-S120087R18</v>
          </cell>
          <cell r="B365" t="str">
            <v>QM31280TM-S</v>
          </cell>
          <cell r="C365" t="str">
            <v>120087R</v>
          </cell>
          <cell r="D365" t="str">
            <v>120087R</v>
          </cell>
          <cell r="E365" t="str">
            <v>FIREBALL TM SCSI 1.2GB 4500RPM</v>
          </cell>
          <cell r="F365">
            <v>18</v>
          </cell>
          <cell r="G365">
            <v>1188.27</v>
          </cell>
          <cell r="J365">
            <v>10</v>
          </cell>
          <cell r="K365">
            <v>11882.7</v>
          </cell>
          <cell r="L365">
            <v>1188.27</v>
          </cell>
          <cell r="O365">
            <v>0</v>
          </cell>
          <cell r="P365">
            <v>0</v>
          </cell>
        </row>
        <row r="366">
          <cell r="A366" t="str">
            <v>QM32100SE-S120054R18</v>
          </cell>
          <cell r="B366" t="str">
            <v>QM32100SE-S</v>
          </cell>
          <cell r="C366" t="str">
            <v>120054R</v>
          </cell>
          <cell r="D366" t="str">
            <v>120054R</v>
          </cell>
          <cell r="E366" t="str">
            <v>REF 2.1GB SCSI HDD</v>
          </cell>
          <cell r="F366">
            <v>18</v>
          </cell>
          <cell r="G366">
            <v>0.01</v>
          </cell>
          <cell r="J366">
            <v>1</v>
          </cell>
          <cell r="K366">
            <v>0.01</v>
          </cell>
          <cell r="L366">
            <v>0.01</v>
          </cell>
          <cell r="N366">
            <v>4950.43</v>
          </cell>
          <cell r="O366">
            <v>0</v>
          </cell>
          <cell r="P366">
            <v>0</v>
          </cell>
        </row>
        <row r="367">
          <cell r="A367" t="str">
            <v>QM32100TM-S120089R18</v>
          </cell>
          <cell r="B367" t="str">
            <v>QM32100TM-S</v>
          </cell>
          <cell r="C367" t="str">
            <v>120089R</v>
          </cell>
          <cell r="D367" t="str">
            <v>120089R</v>
          </cell>
          <cell r="E367" t="str">
            <v>FIREBALL SCSI TM 2.1GB 4500RPM</v>
          </cell>
          <cell r="F367">
            <v>18</v>
          </cell>
          <cell r="G367">
            <v>4826.75</v>
          </cell>
          <cell r="J367">
            <v>1</v>
          </cell>
          <cell r="K367">
            <v>4826.75</v>
          </cell>
          <cell r="L367">
            <v>4826.75</v>
          </cell>
          <cell r="O367">
            <v>0</v>
          </cell>
          <cell r="P367">
            <v>0</v>
          </cell>
        </row>
        <row r="368">
          <cell r="A368" t="str">
            <v>QM32160ST-S12008418</v>
          </cell>
          <cell r="B368" t="str">
            <v>QM32160ST-S</v>
          </cell>
          <cell r="C368" t="str">
            <v>120084</v>
          </cell>
          <cell r="D368" t="str">
            <v>120084</v>
          </cell>
          <cell r="E368" t="str">
            <v>FIREBALL ST SCSI 2.1GB 4500RPM</v>
          </cell>
          <cell r="F368">
            <v>18</v>
          </cell>
          <cell r="G368">
            <v>0.01</v>
          </cell>
          <cell r="J368">
            <v>7</v>
          </cell>
          <cell r="K368">
            <v>7.0000000000000007E-2</v>
          </cell>
          <cell r="L368">
            <v>0.01</v>
          </cell>
          <cell r="N368">
            <v>0.01</v>
          </cell>
          <cell r="O368">
            <v>0</v>
          </cell>
          <cell r="P368">
            <v>0</v>
          </cell>
        </row>
        <row r="369">
          <cell r="A369" t="str">
            <v>QM32550TM-A120064R18</v>
          </cell>
          <cell r="B369" t="str">
            <v>QM32550TM-A</v>
          </cell>
          <cell r="C369" t="str">
            <v>120064R</v>
          </cell>
          <cell r="D369" t="str">
            <v>120064R</v>
          </cell>
          <cell r="E369" t="str">
            <v>FIREBALL 2.5GB IDE 3.5LP</v>
          </cell>
          <cell r="F369">
            <v>18</v>
          </cell>
          <cell r="G369">
            <v>673.47</v>
          </cell>
          <cell r="J369">
            <v>1</v>
          </cell>
          <cell r="K369">
            <v>673.46</v>
          </cell>
          <cell r="L369">
            <v>673.47</v>
          </cell>
          <cell r="O369">
            <v>1200</v>
          </cell>
          <cell r="P369">
            <v>1200</v>
          </cell>
        </row>
        <row r="370">
          <cell r="A370" t="str">
            <v>QM33240ST-A120059R18</v>
          </cell>
          <cell r="B370" t="str">
            <v>QM33240ST-A</v>
          </cell>
          <cell r="C370" t="str">
            <v>120059R</v>
          </cell>
          <cell r="D370" t="str">
            <v>120059R</v>
          </cell>
          <cell r="E370" t="str">
            <v>FIREBALL 3.2GB IDE 3.5LP</v>
          </cell>
          <cell r="F370">
            <v>18</v>
          </cell>
          <cell r="G370">
            <v>0.59</v>
          </cell>
          <cell r="J370">
            <v>1</v>
          </cell>
          <cell r="K370">
            <v>0.59</v>
          </cell>
          <cell r="L370">
            <v>0.59</v>
          </cell>
          <cell r="O370">
            <v>1500</v>
          </cell>
          <cell r="P370">
            <v>1500</v>
          </cell>
        </row>
        <row r="371">
          <cell r="A371" t="str">
            <v>QM34500HN-S120094R18</v>
          </cell>
          <cell r="B371" t="str">
            <v>QM34500HN-S</v>
          </cell>
          <cell r="C371" t="str">
            <v>120094R</v>
          </cell>
          <cell r="D371" t="str">
            <v>120094R</v>
          </cell>
          <cell r="E371" t="str">
            <v>QUANTUM 4.5GB SCSI 4500RPM</v>
          </cell>
          <cell r="F371">
            <v>18</v>
          </cell>
          <cell r="G371">
            <v>0.01</v>
          </cell>
          <cell r="J371">
            <v>1</v>
          </cell>
          <cell r="K371">
            <v>0.01</v>
          </cell>
          <cell r="L371">
            <v>0.01</v>
          </cell>
          <cell r="O371">
            <v>2000</v>
          </cell>
          <cell r="P371">
            <v>2000</v>
          </cell>
        </row>
        <row r="372">
          <cell r="A372" t="str">
            <v>QM34550VK-S120091R18</v>
          </cell>
          <cell r="B372" t="str">
            <v>QM34550VK-S</v>
          </cell>
          <cell r="C372" t="str">
            <v>120091R</v>
          </cell>
          <cell r="D372" t="str">
            <v>120091R</v>
          </cell>
          <cell r="E372" t="str">
            <v>VIKING 4.5GB SCSI 7200RPM</v>
          </cell>
          <cell r="F372">
            <v>18</v>
          </cell>
          <cell r="G372">
            <v>0.01</v>
          </cell>
          <cell r="J372">
            <v>3</v>
          </cell>
          <cell r="K372">
            <v>0.03</v>
          </cell>
          <cell r="L372">
            <v>0.01</v>
          </cell>
          <cell r="O372">
            <v>2000</v>
          </cell>
          <cell r="P372">
            <v>6000</v>
          </cell>
        </row>
        <row r="373">
          <cell r="A373" t="str">
            <v>QM34550VK-SW120090R18</v>
          </cell>
          <cell r="B373" t="str">
            <v>QM34550VK-SW</v>
          </cell>
          <cell r="C373" t="str">
            <v>120090R</v>
          </cell>
          <cell r="D373" t="str">
            <v>120090R</v>
          </cell>
          <cell r="E373" t="str">
            <v>VIKING SCSI 4.5GB UW 7200RP</v>
          </cell>
          <cell r="F373">
            <v>18</v>
          </cell>
          <cell r="G373">
            <v>11277.78</v>
          </cell>
          <cell r="J373">
            <v>6</v>
          </cell>
          <cell r="K373">
            <v>67666.66</v>
          </cell>
          <cell r="L373">
            <v>11277.78</v>
          </cell>
          <cell r="O373">
            <v>2000</v>
          </cell>
          <cell r="P373">
            <v>12000</v>
          </cell>
        </row>
        <row r="374">
          <cell r="A374" t="str">
            <v>QM52111CY-A120072R18</v>
          </cell>
          <cell r="B374" t="str">
            <v>QM52111CY-A</v>
          </cell>
          <cell r="C374" t="str">
            <v>120072R</v>
          </cell>
          <cell r="D374" t="str">
            <v>120072R</v>
          </cell>
          <cell r="E374" t="str">
            <v>BIGFOOT 2.1 GB IDE 3600 RPM</v>
          </cell>
          <cell r="F374">
            <v>18</v>
          </cell>
          <cell r="G374">
            <v>673.47</v>
          </cell>
          <cell r="J374">
            <v>1</v>
          </cell>
          <cell r="K374">
            <v>673.46</v>
          </cell>
          <cell r="L374">
            <v>673.47</v>
          </cell>
          <cell r="O374">
            <v>0</v>
          </cell>
          <cell r="P374">
            <v>0</v>
          </cell>
        </row>
        <row r="375">
          <cell r="A375" t="str">
            <v>QML04300LA-A120027X19</v>
          </cell>
          <cell r="B375" t="str">
            <v>QML04300LA-A</v>
          </cell>
          <cell r="C375" t="str">
            <v>120027X</v>
          </cell>
          <cell r="D375" t="str">
            <v>120027X</v>
          </cell>
          <cell r="E375" t="str">
            <v>FIREBALL LCT 4.3GB ATA-66 3.5LP</v>
          </cell>
          <cell r="F375">
            <v>19</v>
          </cell>
          <cell r="G375">
            <v>0</v>
          </cell>
          <cell r="J375">
            <v>4</v>
          </cell>
          <cell r="L375">
            <v>0</v>
          </cell>
          <cell r="O375">
            <v>1800</v>
          </cell>
          <cell r="P375">
            <v>7200</v>
          </cell>
        </row>
        <row r="376">
          <cell r="A376" t="str">
            <v>QML04300LA-A120027X48</v>
          </cell>
          <cell r="B376" t="str">
            <v>QML04300LA-A</v>
          </cell>
          <cell r="C376" t="str">
            <v>120027X</v>
          </cell>
          <cell r="D376" t="str">
            <v>120027X</v>
          </cell>
          <cell r="E376" t="str">
            <v>FIREBALL LCT 4.3GB ATA-66 3.5LP</v>
          </cell>
          <cell r="F376">
            <v>48</v>
          </cell>
          <cell r="G376">
            <v>0</v>
          </cell>
          <cell r="J376">
            <v>1</v>
          </cell>
          <cell r="L376">
            <v>0</v>
          </cell>
          <cell r="O376">
            <v>1800</v>
          </cell>
          <cell r="P376">
            <v>1800</v>
          </cell>
        </row>
        <row r="377">
          <cell r="A377" t="str">
            <v>QML05100LB-A120032R48</v>
          </cell>
          <cell r="B377" t="str">
            <v>QML05100LB-A</v>
          </cell>
          <cell r="C377" t="str">
            <v>120032R</v>
          </cell>
          <cell r="D377" t="str">
            <v>120032R</v>
          </cell>
          <cell r="E377" t="str">
            <v>FIREBALL LCT(10) 5.1GB ATA-66</v>
          </cell>
          <cell r="F377">
            <v>48</v>
          </cell>
          <cell r="G377">
            <v>0.57999999999999996</v>
          </cell>
          <cell r="J377">
            <v>2</v>
          </cell>
          <cell r="K377">
            <v>1.1499999999999999</v>
          </cell>
          <cell r="L377">
            <v>0.57999999999999996</v>
          </cell>
          <cell r="O377">
            <v>1800</v>
          </cell>
          <cell r="P377">
            <v>3600</v>
          </cell>
        </row>
        <row r="378">
          <cell r="A378" t="str">
            <v>QML05100LB-A120032X19</v>
          </cell>
          <cell r="B378" t="str">
            <v>QML05100LB-A</v>
          </cell>
          <cell r="C378" t="str">
            <v>120032X</v>
          </cell>
          <cell r="D378" t="str">
            <v>120032X</v>
          </cell>
          <cell r="E378" t="str">
            <v>FIREBALL LCT(10) 5.1GB ATA-66</v>
          </cell>
          <cell r="F378">
            <v>19</v>
          </cell>
          <cell r="G378">
            <v>0</v>
          </cell>
          <cell r="H378">
            <v>1</v>
          </cell>
          <cell r="J378">
            <v>7</v>
          </cell>
          <cell r="L378">
            <v>0</v>
          </cell>
          <cell r="O378">
            <v>1800</v>
          </cell>
          <cell r="P378">
            <v>14400</v>
          </cell>
        </row>
        <row r="379">
          <cell r="A379" t="str">
            <v>QML07500LC-A12003758</v>
          </cell>
          <cell r="B379" t="str">
            <v>QML07500LC-A</v>
          </cell>
          <cell r="C379" t="str">
            <v>120037</v>
          </cell>
          <cell r="D379" t="str">
            <v>120037</v>
          </cell>
          <cell r="E379" t="str">
            <v>FIREBALL (15) 7.5GB ATA-66</v>
          </cell>
          <cell r="F379">
            <v>58</v>
          </cell>
          <cell r="G379">
            <v>3935.26</v>
          </cell>
          <cell r="J379">
            <v>2</v>
          </cell>
          <cell r="K379">
            <v>7870.52</v>
          </cell>
          <cell r="L379">
            <v>3935.26</v>
          </cell>
          <cell r="N379">
            <v>3935.26</v>
          </cell>
          <cell r="O379">
            <v>2000</v>
          </cell>
          <cell r="P379">
            <v>4000</v>
          </cell>
        </row>
        <row r="380">
          <cell r="A380" t="str">
            <v>QML07500LC-A120037X19</v>
          </cell>
          <cell r="B380" t="str">
            <v>QML07500LC-A</v>
          </cell>
          <cell r="C380" t="str">
            <v>120037X</v>
          </cell>
          <cell r="D380" t="str">
            <v>120037X</v>
          </cell>
          <cell r="E380" t="str">
            <v>FIREBALL(15) 7.5GB ATA-66</v>
          </cell>
          <cell r="F380">
            <v>19</v>
          </cell>
          <cell r="G380">
            <v>0</v>
          </cell>
          <cell r="J380">
            <v>2</v>
          </cell>
          <cell r="L380">
            <v>0</v>
          </cell>
          <cell r="N380">
            <v>3935.26</v>
          </cell>
          <cell r="O380">
            <v>2500</v>
          </cell>
          <cell r="P380">
            <v>5000</v>
          </cell>
        </row>
        <row r="381">
          <cell r="A381" t="str">
            <v>QML08400LA-A120028RR48</v>
          </cell>
          <cell r="B381" t="str">
            <v>QML08400LA-A</v>
          </cell>
          <cell r="C381" t="str">
            <v>120028RR</v>
          </cell>
          <cell r="D381" t="str">
            <v>120028RR</v>
          </cell>
          <cell r="E381" t="str">
            <v>FIREBALL LCT 8.4GB ATA-66 3.5LP</v>
          </cell>
          <cell r="F381">
            <v>48</v>
          </cell>
          <cell r="G381">
            <v>0.59</v>
          </cell>
          <cell r="J381">
            <v>1</v>
          </cell>
          <cell r="K381">
            <v>0.57999999999999996</v>
          </cell>
          <cell r="L381">
            <v>0.59</v>
          </cell>
          <cell r="O381">
            <v>2000</v>
          </cell>
          <cell r="P381">
            <v>2000</v>
          </cell>
        </row>
        <row r="382">
          <cell r="A382" t="str">
            <v>QML08400LA-A120028RR58</v>
          </cell>
          <cell r="B382" t="str">
            <v>QML08400LA-A</v>
          </cell>
          <cell r="C382" t="str">
            <v>120028RR</v>
          </cell>
          <cell r="D382" t="str">
            <v>120028RR</v>
          </cell>
          <cell r="E382" t="str">
            <v>FIREBALL LCT 8.4GB ATA-66 3.5LP</v>
          </cell>
          <cell r="F382">
            <v>58</v>
          </cell>
          <cell r="G382">
            <v>0.59</v>
          </cell>
          <cell r="J382">
            <v>2</v>
          </cell>
          <cell r="K382">
            <v>1.17</v>
          </cell>
          <cell r="L382">
            <v>0.59</v>
          </cell>
          <cell r="O382">
            <v>2000</v>
          </cell>
          <cell r="P382">
            <v>4000</v>
          </cell>
        </row>
        <row r="383">
          <cell r="A383" t="str">
            <v>QML08400LA-A120028X19</v>
          </cell>
          <cell r="B383" t="str">
            <v>QML08400LA-A</v>
          </cell>
          <cell r="C383" t="str">
            <v>120028X</v>
          </cell>
          <cell r="D383" t="str">
            <v>120028X</v>
          </cell>
          <cell r="E383" t="str">
            <v>FIREBALL LCT 8.4GB ATA-66 3.5LP</v>
          </cell>
          <cell r="F383">
            <v>19</v>
          </cell>
          <cell r="G383">
            <v>0</v>
          </cell>
          <cell r="J383">
            <v>2</v>
          </cell>
          <cell r="L383">
            <v>0</v>
          </cell>
          <cell r="O383">
            <v>2000</v>
          </cell>
          <cell r="P383">
            <v>4000</v>
          </cell>
        </row>
        <row r="384">
          <cell r="A384" t="str">
            <v>QML10000LD-A12005358</v>
          </cell>
          <cell r="B384" t="str">
            <v>QML10000LD-A</v>
          </cell>
          <cell r="C384" t="str">
            <v>120053</v>
          </cell>
          <cell r="D384" t="str">
            <v>120053</v>
          </cell>
          <cell r="E384" t="str">
            <v>FIREBALL(20) 10GB ATA-100</v>
          </cell>
          <cell r="F384">
            <v>58</v>
          </cell>
          <cell r="G384">
            <v>3684.78</v>
          </cell>
          <cell r="J384">
            <v>1</v>
          </cell>
          <cell r="K384">
            <v>3684.77</v>
          </cell>
          <cell r="L384">
            <v>3684.78</v>
          </cell>
          <cell r="M384">
            <v>4471.1013018785507</v>
          </cell>
          <cell r="N384">
            <v>3684.78</v>
          </cell>
          <cell r="O384">
            <v>2500</v>
          </cell>
          <cell r="P384">
            <v>2500</v>
          </cell>
        </row>
        <row r="385">
          <cell r="A385" t="str">
            <v>QML10000LD-A12005368</v>
          </cell>
          <cell r="B385" t="str">
            <v>QML10000LD-A</v>
          </cell>
          <cell r="C385" t="str">
            <v>120053</v>
          </cell>
          <cell r="D385" t="str">
            <v>120053</v>
          </cell>
          <cell r="E385" t="str">
            <v>FIREBALL(20) 10GB ATA-100</v>
          </cell>
          <cell r="F385">
            <v>68</v>
          </cell>
          <cell r="G385">
            <v>3684.78</v>
          </cell>
          <cell r="J385">
            <v>11</v>
          </cell>
          <cell r="K385">
            <v>40532.53</v>
          </cell>
          <cell r="L385">
            <v>3684.78</v>
          </cell>
          <cell r="M385">
            <v>4471.1013018785507</v>
          </cell>
          <cell r="N385">
            <v>3684.78</v>
          </cell>
          <cell r="O385">
            <v>2500</v>
          </cell>
          <cell r="P385">
            <v>27500</v>
          </cell>
        </row>
        <row r="386">
          <cell r="A386" t="str">
            <v>QML10000LD-A120053R48</v>
          </cell>
          <cell r="B386" t="str">
            <v>QML10000LD-A</v>
          </cell>
          <cell r="C386" t="str">
            <v>120053R</v>
          </cell>
          <cell r="D386" t="str">
            <v>120053R</v>
          </cell>
          <cell r="E386" t="str">
            <v>FIREBALL(20) 10GB ATA-100</v>
          </cell>
          <cell r="F386">
            <v>48</v>
          </cell>
          <cell r="G386">
            <v>0.57999999999999996</v>
          </cell>
          <cell r="J386">
            <v>1</v>
          </cell>
          <cell r="K386">
            <v>0.57999999999999996</v>
          </cell>
          <cell r="L386">
            <v>0.57999999999999996</v>
          </cell>
          <cell r="N386">
            <v>3684.78</v>
          </cell>
          <cell r="O386">
            <v>2500</v>
          </cell>
          <cell r="P386">
            <v>2500</v>
          </cell>
        </row>
        <row r="387">
          <cell r="A387" t="str">
            <v>QML10000LD-A120053R68</v>
          </cell>
          <cell r="B387" t="str">
            <v>QML10000LD-A</v>
          </cell>
          <cell r="C387" t="str">
            <v>120053R</v>
          </cell>
          <cell r="D387" t="str">
            <v>120053R</v>
          </cell>
          <cell r="E387" t="str">
            <v>FIREBALL(20) 10GB ATA-100</v>
          </cell>
          <cell r="F387">
            <v>68</v>
          </cell>
          <cell r="G387">
            <v>0.57999999999999996</v>
          </cell>
          <cell r="J387">
            <v>1</v>
          </cell>
          <cell r="K387">
            <v>0.57999999999999996</v>
          </cell>
          <cell r="L387">
            <v>0.57999999999999996</v>
          </cell>
          <cell r="N387">
            <v>3684.78</v>
          </cell>
          <cell r="O387">
            <v>2500</v>
          </cell>
          <cell r="P387">
            <v>2500</v>
          </cell>
        </row>
        <row r="388">
          <cell r="A388" t="str">
            <v>QML10000LD-A120053X19</v>
          </cell>
          <cell r="B388" t="str">
            <v>QML10000LD-A</v>
          </cell>
          <cell r="C388" t="str">
            <v>120053X</v>
          </cell>
          <cell r="D388" t="str">
            <v>120053X</v>
          </cell>
          <cell r="E388" t="str">
            <v>FIREBALL(20) 10GB ATA-100</v>
          </cell>
          <cell r="F388">
            <v>19</v>
          </cell>
          <cell r="G388">
            <v>0</v>
          </cell>
          <cell r="H388">
            <v>7</v>
          </cell>
          <cell r="J388">
            <v>34</v>
          </cell>
          <cell r="L388">
            <v>0</v>
          </cell>
          <cell r="N388">
            <v>3684.78</v>
          </cell>
          <cell r="O388">
            <v>2500</v>
          </cell>
          <cell r="P388">
            <v>102500</v>
          </cell>
        </row>
        <row r="389">
          <cell r="A389" t="str">
            <v>QML10200LB-A120033G48</v>
          </cell>
          <cell r="B389" t="str">
            <v>QML10200LB-A</v>
          </cell>
          <cell r="C389" t="str">
            <v>120033G</v>
          </cell>
          <cell r="D389" t="str">
            <v>120033G</v>
          </cell>
          <cell r="E389" t="str">
            <v>FIREBALL(10)10.2GB ATA-66 3.5LP</v>
          </cell>
          <cell r="F389">
            <v>48</v>
          </cell>
          <cell r="G389">
            <v>13.61</v>
          </cell>
          <cell r="J389">
            <v>1</v>
          </cell>
          <cell r="K389">
            <v>13.61</v>
          </cell>
          <cell r="L389">
            <v>13.61</v>
          </cell>
          <cell r="N389">
            <v>13.61</v>
          </cell>
          <cell r="O389">
            <v>2300</v>
          </cell>
          <cell r="P389">
            <v>2300</v>
          </cell>
        </row>
        <row r="390">
          <cell r="A390" t="str">
            <v>QML10200LB-A120033G58</v>
          </cell>
          <cell r="B390" t="str">
            <v>QML10200LB-A</v>
          </cell>
          <cell r="C390" t="str">
            <v>120033G</v>
          </cell>
          <cell r="D390" t="str">
            <v>120033G</v>
          </cell>
          <cell r="E390" t="str">
            <v>FIREBALL(10)10.2GB ATA-66 3.5LP</v>
          </cell>
          <cell r="F390">
            <v>58</v>
          </cell>
          <cell r="G390">
            <v>13.61</v>
          </cell>
          <cell r="J390">
            <v>1</v>
          </cell>
          <cell r="K390">
            <v>13.61</v>
          </cell>
          <cell r="L390">
            <v>13.61</v>
          </cell>
          <cell r="N390">
            <v>13.61</v>
          </cell>
          <cell r="O390">
            <v>2300</v>
          </cell>
          <cell r="P390">
            <v>2300</v>
          </cell>
        </row>
        <row r="391">
          <cell r="A391" t="str">
            <v>QML10200LB-A120033X19</v>
          </cell>
          <cell r="B391" t="str">
            <v>QML10200LB-A</v>
          </cell>
          <cell r="C391" t="str">
            <v>120033X</v>
          </cell>
          <cell r="D391" t="str">
            <v>120033X</v>
          </cell>
          <cell r="E391" t="str">
            <v>FIREBALL(10)10.2GB ATA-66 3.5LP</v>
          </cell>
          <cell r="F391">
            <v>19</v>
          </cell>
          <cell r="G391">
            <v>0</v>
          </cell>
          <cell r="H391">
            <v>1</v>
          </cell>
          <cell r="J391">
            <v>94</v>
          </cell>
          <cell r="L391">
            <v>0</v>
          </cell>
          <cell r="O391">
            <v>2300</v>
          </cell>
          <cell r="P391">
            <v>218500</v>
          </cell>
        </row>
        <row r="392">
          <cell r="A392" t="str">
            <v>QML15000LB-A120034X19</v>
          </cell>
          <cell r="B392" t="str">
            <v>QML15000LB-A</v>
          </cell>
          <cell r="C392" t="str">
            <v>120034X</v>
          </cell>
          <cell r="D392" t="str">
            <v>120034X</v>
          </cell>
          <cell r="E392" t="str">
            <v>FIREBALL LCT(10) 15GB ATA-66</v>
          </cell>
          <cell r="F392">
            <v>19</v>
          </cell>
          <cell r="G392">
            <v>0</v>
          </cell>
          <cell r="J392">
            <v>1</v>
          </cell>
          <cell r="L392">
            <v>0</v>
          </cell>
          <cell r="O392">
            <v>2500</v>
          </cell>
          <cell r="P392">
            <v>2500</v>
          </cell>
        </row>
        <row r="393">
          <cell r="A393" t="str">
            <v>QML15000LC-A120038R58</v>
          </cell>
          <cell r="B393" t="str">
            <v>QML15000LC-A</v>
          </cell>
          <cell r="C393" t="str">
            <v>120038R</v>
          </cell>
          <cell r="D393" t="str">
            <v>120038R</v>
          </cell>
          <cell r="E393" t="str">
            <v>FIREBALL(15) 15GB ATA-66 3.5LP</v>
          </cell>
          <cell r="F393">
            <v>58</v>
          </cell>
          <cell r="G393">
            <v>0.57999999999999996</v>
          </cell>
          <cell r="J393">
            <v>2</v>
          </cell>
          <cell r="K393">
            <v>1.1599999999999999</v>
          </cell>
          <cell r="L393">
            <v>0.57999999999999996</v>
          </cell>
          <cell r="O393">
            <v>2500</v>
          </cell>
          <cell r="P393">
            <v>5000</v>
          </cell>
        </row>
        <row r="394">
          <cell r="A394" t="str">
            <v>QML15000LC-A120038X19</v>
          </cell>
          <cell r="B394" t="str">
            <v>QML15000LC-A</v>
          </cell>
          <cell r="C394" t="str">
            <v>120038X</v>
          </cell>
          <cell r="D394" t="str">
            <v>120038X</v>
          </cell>
          <cell r="E394" t="str">
            <v>FIREBALL(15)15GB ATA-66 3.5LP</v>
          </cell>
          <cell r="F394">
            <v>19</v>
          </cell>
          <cell r="G394">
            <v>0</v>
          </cell>
          <cell r="H394">
            <v>1</v>
          </cell>
          <cell r="J394">
            <v>24</v>
          </cell>
          <cell r="L394">
            <v>0</v>
          </cell>
          <cell r="O394">
            <v>2500</v>
          </cell>
          <cell r="P394">
            <v>62500</v>
          </cell>
        </row>
        <row r="395">
          <cell r="A395" t="str">
            <v>QML15000LC-A120038X59</v>
          </cell>
          <cell r="B395" t="str">
            <v>QML15000LC-A</v>
          </cell>
          <cell r="C395" t="str">
            <v>120038X</v>
          </cell>
          <cell r="D395" t="str">
            <v>120038X</v>
          </cell>
          <cell r="E395" t="str">
            <v>FIREBALL(15)15GB ATA-66 3.5LP</v>
          </cell>
          <cell r="F395">
            <v>59</v>
          </cell>
          <cell r="G395">
            <v>0</v>
          </cell>
          <cell r="J395">
            <v>2</v>
          </cell>
          <cell r="L395">
            <v>0</v>
          </cell>
          <cell r="O395">
            <v>2500</v>
          </cell>
          <cell r="P395">
            <v>5000</v>
          </cell>
        </row>
        <row r="396">
          <cell r="A396" t="str">
            <v>QML20000LC-A120039X19</v>
          </cell>
          <cell r="B396" t="str">
            <v>QML20000LC-A</v>
          </cell>
          <cell r="C396" t="str">
            <v>120039X</v>
          </cell>
          <cell r="D396" t="str">
            <v>120039X</v>
          </cell>
          <cell r="E396" t="str">
            <v>FIREBALL(15) 20GB ATA-66 3.5LP</v>
          </cell>
          <cell r="F396">
            <v>19</v>
          </cell>
          <cell r="G396">
            <v>0</v>
          </cell>
          <cell r="H396">
            <v>1</v>
          </cell>
          <cell r="J396">
            <v>22</v>
          </cell>
          <cell r="L396">
            <v>0</v>
          </cell>
          <cell r="O396">
            <v>3200</v>
          </cell>
          <cell r="P396">
            <v>73600</v>
          </cell>
        </row>
        <row r="397">
          <cell r="A397" t="str">
            <v>QML20000LD-A12005418</v>
          </cell>
          <cell r="B397" t="str">
            <v>QML20000LD-A</v>
          </cell>
          <cell r="C397" t="str">
            <v>120054</v>
          </cell>
          <cell r="D397" t="str">
            <v>120054</v>
          </cell>
          <cell r="E397" t="str">
            <v>FIREBALL(20) 20GB ATA-100</v>
          </cell>
          <cell r="F397">
            <v>18</v>
          </cell>
          <cell r="G397">
            <v>4017.83</v>
          </cell>
          <cell r="J397">
            <v>56</v>
          </cell>
          <cell r="K397">
            <v>224998.23</v>
          </cell>
          <cell r="L397">
            <v>4017.83</v>
          </cell>
          <cell r="M397">
            <v>4657.4087735849262</v>
          </cell>
          <cell r="N397">
            <v>4017.83</v>
          </cell>
          <cell r="O397">
            <v>3200</v>
          </cell>
          <cell r="P397">
            <v>179200</v>
          </cell>
        </row>
        <row r="398">
          <cell r="A398" t="str">
            <v>QML20000LD-A12005448</v>
          </cell>
          <cell r="B398" t="str">
            <v>QML20000LD-A</v>
          </cell>
          <cell r="C398" t="str">
            <v>120054</v>
          </cell>
          <cell r="D398" t="str">
            <v>120054</v>
          </cell>
          <cell r="E398" t="str">
            <v>FIREBALL(20) 20GB ATA-100</v>
          </cell>
          <cell r="F398">
            <v>48</v>
          </cell>
          <cell r="G398">
            <v>4017.83</v>
          </cell>
          <cell r="J398">
            <v>20</v>
          </cell>
          <cell r="K398">
            <v>80356.509999999995</v>
          </cell>
          <cell r="L398">
            <v>4017.83</v>
          </cell>
          <cell r="M398">
            <v>4657.4087735849262</v>
          </cell>
          <cell r="N398">
            <v>4017.83</v>
          </cell>
          <cell r="O398">
            <v>3200</v>
          </cell>
          <cell r="P398">
            <v>64000</v>
          </cell>
        </row>
        <row r="399">
          <cell r="A399" t="str">
            <v>QML20000LD-A12005458</v>
          </cell>
          <cell r="B399" t="str">
            <v>QML20000LD-A</v>
          </cell>
          <cell r="C399" t="str">
            <v>120054</v>
          </cell>
          <cell r="D399" t="str">
            <v>120054</v>
          </cell>
          <cell r="E399" t="str">
            <v>FIREBALL(20) 20GB ATA-100</v>
          </cell>
          <cell r="F399">
            <v>58</v>
          </cell>
          <cell r="G399">
            <v>4017.83</v>
          </cell>
          <cell r="H399">
            <v>2</v>
          </cell>
          <cell r="I399">
            <v>8035.65</v>
          </cell>
          <cell r="J399">
            <v>6</v>
          </cell>
          <cell r="K399">
            <v>24106.95</v>
          </cell>
          <cell r="L399">
            <v>4017.83</v>
          </cell>
          <cell r="M399">
            <v>4657.4087735849262</v>
          </cell>
          <cell r="N399">
            <v>4017.83</v>
          </cell>
          <cell r="O399">
            <v>3200</v>
          </cell>
          <cell r="P399">
            <v>25600</v>
          </cell>
        </row>
        <row r="400">
          <cell r="A400" t="str">
            <v>QML20000LD-A12005468</v>
          </cell>
          <cell r="B400" t="str">
            <v>QML20000LD-A</v>
          </cell>
          <cell r="C400" t="str">
            <v>120054</v>
          </cell>
          <cell r="D400" t="str">
            <v>120054</v>
          </cell>
          <cell r="E400" t="str">
            <v>FIREBALL(20) 20GB ATA-100</v>
          </cell>
          <cell r="F400">
            <v>68</v>
          </cell>
          <cell r="G400">
            <v>4017.83</v>
          </cell>
          <cell r="J400">
            <v>10</v>
          </cell>
          <cell r="K400">
            <v>40178.25</v>
          </cell>
          <cell r="L400">
            <v>4017.83</v>
          </cell>
          <cell r="M400">
            <v>4657.4087735849262</v>
          </cell>
          <cell r="N400">
            <v>4017.83</v>
          </cell>
          <cell r="O400">
            <v>3200</v>
          </cell>
          <cell r="P400">
            <v>32000</v>
          </cell>
        </row>
        <row r="401">
          <cell r="A401" t="str">
            <v>QML20000LD-A120054B18</v>
          </cell>
          <cell r="B401" t="str">
            <v>QML20000LD-A</v>
          </cell>
          <cell r="C401" t="str">
            <v>120054B</v>
          </cell>
          <cell r="D401" t="str">
            <v>120054B</v>
          </cell>
          <cell r="E401" t="str">
            <v>FIREBALL(20) 20GB ATA-100</v>
          </cell>
          <cell r="F401">
            <v>18</v>
          </cell>
          <cell r="G401">
            <v>4950.43</v>
          </cell>
          <cell r="J401">
            <v>5</v>
          </cell>
          <cell r="K401">
            <v>24752.12</v>
          </cell>
          <cell r="L401">
            <v>4950.43</v>
          </cell>
          <cell r="N401">
            <v>4950.43</v>
          </cell>
          <cell r="O401">
            <v>3200</v>
          </cell>
          <cell r="P401">
            <v>16000</v>
          </cell>
        </row>
        <row r="402">
          <cell r="A402" t="str">
            <v>QML20000LD-A120054X19</v>
          </cell>
          <cell r="B402" t="str">
            <v>QML20000LD-A</v>
          </cell>
          <cell r="C402" t="str">
            <v>120054X</v>
          </cell>
          <cell r="D402" t="str">
            <v>120054X</v>
          </cell>
          <cell r="E402" t="str">
            <v>FIREBALL(20) 20GB ATA-100</v>
          </cell>
          <cell r="F402">
            <v>19</v>
          </cell>
          <cell r="G402">
            <v>0</v>
          </cell>
          <cell r="H402">
            <v>21</v>
          </cell>
          <cell r="J402">
            <v>74</v>
          </cell>
          <cell r="L402">
            <v>0</v>
          </cell>
          <cell r="N402">
            <v>4950.43</v>
          </cell>
          <cell r="O402">
            <v>3200</v>
          </cell>
          <cell r="P402">
            <v>304000</v>
          </cell>
        </row>
        <row r="403">
          <cell r="A403" t="str">
            <v>RMDJ1404010118078R18</v>
          </cell>
          <cell r="B403" t="str">
            <v>RMDJ1404010</v>
          </cell>
          <cell r="C403" t="str">
            <v>118078R</v>
          </cell>
          <cell r="D403" t="str">
            <v>118078R</v>
          </cell>
          <cell r="E403" t="str">
            <v>XCLR1050 BASE UNIT W/12</v>
          </cell>
          <cell r="F403">
            <v>18</v>
          </cell>
          <cell r="G403">
            <v>0.01</v>
          </cell>
          <cell r="J403">
            <v>1</v>
          </cell>
          <cell r="L403">
            <v>0.01</v>
          </cell>
          <cell r="O403">
            <v>30000</v>
          </cell>
          <cell r="P403">
            <v>30000</v>
          </cell>
        </row>
        <row r="404">
          <cell r="A404" t="str">
            <v>SC-152BE121022R18</v>
          </cell>
          <cell r="B404" t="str">
            <v>SC-152BE</v>
          </cell>
          <cell r="C404" t="str">
            <v>121022R</v>
          </cell>
          <cell r="D404" t="str">
            <v>121022R</v>
          </cell>
          <cell r="E404" t="str">
            <v>SAMSUNG CD ROM SC-152 MAX 52X</v>
          </cell>
          <cell r="F404">
            <v>18</v>
          </cell>
          <cell r="G404">
            <v>0.01</v>
          </cell>
          <cell r="J404">
            <v>1</v>
          </cell>
          <cell r="K404">
            <v>0.01</v>
          </cell>
          <cell r="L404">
            <v>0.01</v>
          </cell>
          <cell r="O404">
            <v>2000</v>
          </cell>
          <cell r="P404">
            <v>2000</v>
          </cell>
        </row>
        <row r="405">
          <cell r="A405" t="str">
            <v>SD-12010900619</v>
          </cell>
          <cell r="B405" t="str">
            <v>SD-120</v>
          </cell>
          <cell r="C405" t="str">
            <v>109006</v>
          </cell>
          <cell r="D405" t="str">
            <v>109006</v>
          </cell>
          <cell r="E405" t="str">
            <v>IMATION</v>
          </cell>
          <cell r="F405">
            <v>19</v>
          </cell>
          <cell r="G405">
            <v>8000</v>
          </cell>
          <cell r="J405">
            <v>3</v>
          </cell>
          <cell r="K405">
            <v>24000</v>
          </cell>
          <cell r="L405">
            <v>8000</v>
          </cell>
          <cell r="N405">
            <v>8000</v>
          </cell>
          <cell r="O405">
            <v>0</v>
          </cell>
          <cell r="P405">
            <v>0</v>
          </cell>
        </row>
        <row r="406">
          <cell r="A406" t="str">
            <v>SD-120109006X19</v>
          </cell>
          <cell r="B406" t="str">
            <v>SD-120</v>
          </cell>
          <cell r="C406" t="str">
            <v>109006X</v>
          </cell>
          <cell r="D406" t="str">
            <v>109006X</v>
          </cell>
          <cell r="E406" t="str">
            <v>IMATION...............*****.**</v>
          </cell>
          <cell r="F406">
            <v>19</v>
          </cell>
          <cell r="G406">
            <v>0</v>
          </cell>
          <cell r="J406">
            <v>1</v>
          </cell>
          <cell r="L406">
            <v>0</v>
          </cell>
          <cell r="N406">
            <v>8000</v>
          </cell>
          <cell r="O406">
            <v>0</v>
          </cell>
          <cell r="P406">
            <v>0</v>
          </cell>
        </row>
        <row r="407">
          <cell r="A407" t="str">
            <v>SE440BX2NA115627Y18</v>
          </cell>
          <cell r="B407" t="str">
            <v>SE440BX2NA</v>
          </cell>
          <cell r="C407" t="str">
            <v>115627Y</v>
          </cell>
          <cell r="D407" t="str">
            <v>115627Y</v>
          </cell>
          <cell r="E407" t="str">
            <v>MX INTEL SE440BX2NA ATX MBD</v>
          </cell>
          <cell r="F407">
            <v>18</v>
          </cell>
          <cell r="G407">
            <v>6800</v>
          </cell>
          <cell r="J407">
            <v>3</v>
          </cell>
          <cell r="K407">
            <v>20400</v>
          </cell>
          <cell r="L407">
            <v>6800</v>
          </cell>
          <cell r="N407">
            <v>6800</v>
          </cell>
          <cell r="O407">
            <v>4000</v>
          </cell>
          <cell r="P407">
            <v>12000</v>
          </cell>
        </row>
        <row r="408">
          <cell r="A408" t="str">
            <v>SGH-600.121021R18</v>
          </cell>
          <cell r="B408" t="str">
            <v>SGH-600.</v>
          </cell>
          <cell r="C408" t="str">
            <v>121021R</v>
          </cell>
          <cell r="D408" t="str">
            <v>121021R</v>
          </cell>
          <cell r="E408" t="str">
            <v>SAMSUNG MOBILE PHONES</v>
          </cell>
          <cell r="F408">
            <v>18</v>
          </cell>
          <cell r="G408">
            <v>0.01</v>
          </cell>
          <cell r="J408">
            <v>3</v>
          </cell>
          <cell r="K408">
            <v>0.03</v>
          </cell>
          <cell r="L408">
            <v>0.01</v>
          </cell>
          <cell r="M408">
            <v>3895.8571428571427</v>
          </cell>
          <cell r="O408">
            <v>4000</v>
          </cell>
          <cell r="P408">
            <v>12000</v>
          </cell>
        </row>
        <row r="409">
          <cell r="A409" t="str">
            <v>SLOT AND PARTS13602918</v>
          </cell>
          <cell r="B409" t="str">
            <v>SLOT AND PARTS</v>
          </cell>
          <cell r="C409" t="str">
            <v>136029</v>
          </cell>
          <cell r="D409" t="str">
            <v>136029</v>
          </cell>
          <cell r="E409" t="str">
            <v>SLOTS AND PARTS FOR VESTA</v>
          </cell>
          <cell r="F409">
            <v>18</v>
          </cell>
          <cell r="G409">
            <v>0.84</v>
          </cell>
          <cell r="J409">
            <v>619</v>
          </cell>
          <cell r="K409">
            <v>519.96</v>
          </cell>
          <cell r="L409">
            <v>0.84</v>
          </cell>
          <cell r="N409">
            <v>0.84</v>
          </cell>
          <cell r="O409">
            <v>0.84</v>
          </cell>
          <cell r="P409">
            <v>519.96</v>
          </cell>
        </row>
        <row r="410">
          <cell r="A410" t="str">
            <v>SLOTS AND PARTS13603918</v>
          </cell>
          <cell r="B410" t="str">
            <v>SLOTS AND PARTS</v>
          </cell>
          <cell r="C410" t="str">
            <v>136039</v>
          </cell>
          <cell r="D410" t="str">
            <v>136039</v>
          </cell>
          <cell r="E410" t="str">
            <v>SLOTS &amp; PARTS FOR VESTA CABINET</v>
          </cell>
          <cell r="F410">
            <v>18</v>
          </cell>
          <cell r="G410">
            <v>1.4</v>
          </cell>
          <cell r="J410">
            <v>3790</v>
          </cell>
          <cell r="K410">
            <v>5322.67</v>
          </cell>
          <cell r="L410">
            <v>1.4</v>
          </cell>
          <cell r="N410">
            <v>1.4</v>
          </cell>
          <cell r="O410">
            <v>0.81</v>
          </cell>
          <cell r="P410">
            <v>3069.9</v>
          </cell>
        </row>
        <row r="411">
          <cell r="A411" t="str">
            <v>SLOTS AND PARTS13603958</v>
          </cell>
          <cell r="B411" t="str">
            <v>SLOTS AND PARTS</v>
          </cell>
          <cell r="C411" t="str">
            <v>136039</v>
          </cell>
          <cell r="D411" t="str">
            <v>136039</v>
          </cell>
          <cell r="E411" t="str">
            <v>SLOTS &amp; PARTS FOR VESTA CABINET</v>
          </cell>
          <cell r="F411">
            <v>58</v>
          </cell>
          <cell r="G411">
            <v>1.4</v>
          </cell>
          <cell r="J411">
            <v>948</v>
          </cell>
          <cell r="K411">
            <v>1331.37</v>
          </cell>
          <cell r="L411">
            <v>1.4</v>
          </cell>
          <cell r="N411">
            <v>1.4</v>
          </cell>
          <cell r="O411">
            <v>0.81</v>
          </cell>
          <cell r="P411">
            <v>767.88</v>
          </cell>
        </row>
        <row r="412">
          <cell r="A412" t="str">
            <v>SLR1 TDC3660124059R18</v>
          </cell>
          <cell r="B412" t="str">
            <v>SLR1 TDC3660</v>
          </cell>
          <cell r="C412" t="str">
            <v>124059R</v>
          </cell>
          <cell r="D412" t="str">
            <v>124059R</v>
          </cell>
          <cell r="E412" t="str">
            <v>SLR1/TDC3660 BARE DRIVE</v>
          </cell>
          <cell r="F412">
            <v>18</v>
          </cell>
          <cell r="G412">
            <v>14.24</v>
          </cell>
          <cell r="J412">
            <v>4</v>
          </cell>
          <cell r="K412">
            <v>56.94</v>
          </cell>
          <cell r="L412">
            <v>14.24</v>
          </cell>
          <cell r="O412">
            <v>1000</v>
          </cell>
          <cell r="P412">
            <v>4000</v>
          </cell>
        </row>
        <row r="413">
          <cell r="A413" t="str">
            <v>ST310212A122022A18</v>
          </cell>
          <cell r="B413" t="str">
            <v>ST310212A</v>
          </cell>
          <cell r="C413" t="str">
            <v>122022A</v>
          </cell>
          <cell r="D413" t="str">
            <v>122022A</v>
          </cell>
          <cell r="E413" t="str">
            <v>10GB IDE 3.5LP 5400 RPM U10 ATA</v>
          </cell>
          <cell r="F413">
            <v>18</v>
          </cell>
          <cell r="G413">
            <v>687.04</v>
          </cell>
          <cell r="J413">
            <v>59</v>
          </cell>
          <cell r="K413">
            <v>40535.61</v>
          </cell>
          <cell r="L413">
            <v>687.04</v>
          </cell>
          <cell r="N413">
            <v>687.04</v>
          </cell>
          <cell r="O413">
            <v>2350</v>
          </cell>
          <cell r="P413">
            <v>138650</v>
          </cell>
        </row>
        <row r="414">
          <cell r="A414" t="str">
            <v>ST310212A122022A48</v>
          </cell>
          <cell r="B414" t="str">
            <v>ST310212A</v>
          </cell>
          <cell r="C414" t="str">
            <v>122022A</v>
          </cell>
          <cell r="D414" t="str">
            <v>122022A</v>
          </cell>
          <cell r="E414" t="str">
            <v>10GB IDE 3.5LP 5400 RPM U10 ATA</v>
          </cell>
          <cell r="F414">
            <v>48</v>
          </cell>
          <cell r="G414">
            <v>687.04</v>
          </cell>
          <cell r="J414">
            <v>21</v>
          </cell>
          <cell r="K414">
            <v>14427.93</v>
          </cell>
          <cell r="L414">
            <v>687.04</v>
          </cell>
          <cell r="N414">
            <v>687.04</v>
          </cell>
          <cell r="O414">
            <v>2350</v>
          </cell>
          <cell r="P414">
            <v>49350</v>
          </cell>
        </row>
        <row r="415">
          <cell r="A415" t="str">
            <v>ST310212A122022B18</v>
          </cell>
          <cell r="B415" t="str">
            <v>ST310212A</v>
          </cell>
          <cell r="C415" t="str">
            <v>122022B</v>
          </cell>
          <cell r="D415" t="str">
            <v>122022B</v>
          </cell>
          <cell r="E415" t="str">
            <v>10GB IDE 3.5LP 5400 RPM U10 ATA</v>
          </cell>
          <cell r="F415">
            <v>18</v>
          </cell>
          <cell r="G415">
            <v>687.04</v>
          </cell>
          <cell r="J415">
            <v>60</v>
          </cell>
          <cell r="K415">
            <v>41222.660000000003</v>
          </cell>
          <cell r="L415">
            <v>687.04</v>
          </cell>
          <cell r="N415">
            <v>687.04</v>
          </cell>
          <cell r="O415">
            <v>2350</v>
          </cell>
          <cell r="P415">
            <v>141000</v>
          </cell>
        </row>
        <row r="416">
          <cell r="A416" t="str">
            <v>ST310212A122022C18</v>
          </cell>
          <cell r="B416" t="str">
            <v>ST310212A</v>
          </cell>
          <cell r="C416" t="str">
            <v>122022C</v>
          </cell>
          <cell r="D416" t="str">
            <v>122022C</v>
          </cell>
          <cell r="E416" t="str">
            <v>10GB IDE 3.5LP 5400 RPM U10 ATA</v>
          </cell>
          <cell r="F416">
            <v>18</v>
          </cell>
          <cell r="G416">
            <v>687.04</v>
          </cell>
          <cell r="J416">
            <v>50</v>
          </cell>
          <cell r="K416">
            <v>34352.22</v>
          </cell>
          <cell r="L416">
            <v>687.04</v>
          </cell>
          <cell r="N416">
            <v>687.04</v>
          </cell>
          <cell r="O416">
            <v>2350</v>
          </cell>
          <cell r="P416">
            <v>117500</v>
          </cell>
        </row>
        <row r="417">
          <cell r="A417" t="str">
            <v>ST310212A122022D18</v>
          </cell>
          <cell r="B417" t="str">
            <v>ST310212A</v>
          </cell>
          <cell r="C417" t="str">
            <v>122022D</v>
          </cell>
          <cell r="D417" t="str">
            <v>122022D</v>
          </cell>
          <cell r="E417" t="str">
            <v>U10 10.2GB IDE ULTRA ATA/66</v>
          </cell>
          <cell r="F417">
            <v>18</v>
          </cell>
          <cell r="G417">
            <v>5032.32</v>
          </cell>
          <cell r="J417">
            <v>3</v>
          </cell>
          <cell r="K417">
            <v>15096.96</v>
          </cell>
          <cell r="L417">
            <v>5032.32</v>
          </cell>
          <cell r="N417">
            <v>687.04</v>
          </cell>
          <cell r="O417">
            <v>2350</v>
          </cell>
          <cell r="P417">
            <v>7050</v>
          </cell>
        </row>
        <row r="418">
          <cell r="A418" t="str">
            <v>ST310212A122022H18</v>
          </cell>
          <cell r="B418" t="str">
            <v>ST310212A</v>
          </cell>
          <cell r="C418" t="str">
            <v>122022H</v>
          </cell>
          <cell r="D418" t="str">
            <v>122022H</v>
          </cell>
          <cell r="E418" t="str">
            <v>10GB IDE 3.5LP 5400 RPM U10 ATA</v>
          </cell>
          <cell r="F418">
            <v>18</v>
          </cell>
          <cell r="G418">
            <v>687.04</v>
          </cell>
          <cell r="J418">
            <v>60</v>
          </cell>
          <cell r="K418">
            <v>41222.660000000003</v>
          </cell>
          <cell r="L418">
            <v>687.04</v>
          </cell>
          <cell r="N418">
            <v>687.04</v>
          </cell>
          <cell r="O418">
            <v>2350</v>
          </cell>
          <cell r="P418">
            <v>141000</v>
          </cell>
        </row>
        <row r="419">
          <cell r="A419" t="str">
            <v>ST310212A122022I18</v>
          </cell>
          <cell r="B419" t="str">
            <v>ST310212A</v>
          </cell>
          <cell r="C419" t="str">
            <v>122022I</v>
          </cell>
          <cell r="D419" t="str">
            <v>122022I</v>
          </cell>
          <cell r="E419" t="str">
            <v>10GB IDE 3.5LP 5400 RPM U10 ATA</v>
          </cell>
          <cell r="F419">
            <v>18</v>
          </cell>
          <cell r="G419">
            <v>687.04</v>
          </cell>
          <cell r="J419">
            <v>4</v>
          </cell>
          <cell r="K419">
            <v>2748.17</v>
          </cell>
          <cell r="L419">
            <v>687.04</v>
          </cell>
          <cell r="N419">
            <v>687.04</v>
          </cell>
          <cell r="O419">
            <v>2350</v>
          </cell>
          <cell r="P419">
            <v>9400</v>
          </cell>
        </row>
        <row r="420">
          <cell r="A420" t="str">
            <v>ST310212A122022I48</v>
          </cell>
          <cell r="B420" t="str">
            <v>ST310212A</v>
          </cell>
          <cell r="C420" t="str">
            <v>122022I</v>
          </cell>
          <cell r="D420" t="str">
            <v>122022I</v>
          </cell>
          <cell r="E420" t="str">
            <v>10GB IDE 3.5LP 5400 RPM U10 ATA</v>
          </cell>
          <cell r="F420">
            <v>48</v>
          </cell>
          <cell r="G420">
            <v>687.04</v>
          </cell>
          <cell r="J420">
            <v>16</v>
          </cell>
          <cell r="K420">
            <v>10992.71</v>
          </cell>
          <cell r="L420">
            <v>687.04</v>
          </cell>
          <cell r="N420">
            <v>687.04</v>
          </cell>
          <cell r="O420">
            <v>2350</v>
          </cell>
          <cell r="P420">
            <v>37600</v>
          </cell>
        </row>
        <row r="421">
          <cell r="A421" t="str">
            <v>ST310212A122022K18</v>
          </cell>
          <cell r="B421" t="str">
            <v>ST310212A</v>
          </cell>
          <cell r="C421" t="str">
            <v>122022K</v>
          </cell>
          <cell r="D421" t="str">
            <v>122022K</v>
          </cell>
          <cell r="E421" t="str">
            <v>10GB IDE 3.5LP 5400 RPM U10 ATA</v>
          </cell>
          <cell r="F421">
            <v>18</v>
          </cell>
          <cell r="G421">
            <v>687.04</v>
          </cell>
          <cell r="J421">
            <v>30</v>
          </cell>
          <cell r="K421">
            <v>20611.330000000002</v>
          </cell>
          <cell r="L421">
            <v>687.04</v>
          </cell>
          <cell r="N421">
            <v>687.04</v>
          </cell>
          <cell r="O421">
            <v>2350</v>
          </cell>
          <cell r="P421">
            <v>70500</v>
          </cell>
        </row>
        <row r="422">
          <cell r="A422" t="str">
            <v>ST310212A122022L18</v>
          </cell>
          <cell r="B422" t="str">
            <v>ST310212A</v>
          </cell>
          <cell r="C422" t="str">
            <v>122022L</v>
          </cell>
          <cell r="D422" t="str">
            <v>122022L</v>
          </cell>
          <cell r="E422" t="str">
            <v>10GB IDE 3.5LP 5400 RPM U10 ATA</v>
          </cell>
          <cell r="F422">
            <v>18</v>
          </cell>
          <cell r="G422">
            <v>687.04</v>
          </cell>
          <cell r="J422">
            <v>45</v>
          </cell>
          <cell r="K422">
            <v>30916.99</v>
          </cell>
          <cell r="L422">
            <v>687.04</v>
          </cell>
          <cell r="N422">
            <v>687.04</v>
          </cell>
          <cell r="O422">
            <v>2350</v>
          </cell>
          <cell r="P422">
            <v>105750</v>
          </cell>
        </row>
        <row r="423">
          <cell r="A423" t="str">
            <v>ST310212A122022P18</v>
          </cell>
          <cell r="B423" t="str">
            <v>ST310212A</v>
          </cell>
          <cell r="C423" t="str">
            <v>122022P</v>
          </cell>
          <cell r="D423" t="str">
            <v>122022P</v>
          </cell>
          <cell r="E423" t="str">
            <v>10GB IDE 3.5LP 5400 RPM U10 ATA</v>
          </cell>
          <cell r="F423">
            <v>18</v>
          </cell>
          <cell r="G423">
            <v>687.04</v>
          </cell>
          <cell r="J423">
            <v>74</v>
          </cell>
          <cell r="K423">
            <v>50841.279999999999</v>
          </cell>
          <cell r="L423">
            <v>687.04</v>
          </cell>
          <cell r="N423">
            <v>687.04</v>
          </cell>
          <cell r="O423">
            <v>2350</v>
          </cell>
          <cell r="P423">
            <v>173900</v>
          </cell>
        </row>
        <row r="424">
          <cell r="A424" t="str">
            <v>ST310212A122022P48</v>
          </cell>
          <cell r="B424" t="str">
            <v>ST310212A</v>
          </cell>
          <cell r="C424" t="str">
            <v>122022P</v>
          </cell>
          <cell r="D424" t="str">
            <v>122022P</v>
          </cell>
          <cell r="E424" t="str">
            <v>10GB IDE 3.5LP 5400 RPM U10 ATA</v>
          </cell>
          <cell r="F424">
            <v>48</v>
          </cell>
          <cell r="G424">
            <v>687.04</v>
          </cell>
          <cell r="J424">
            <v>6</v>
          </cell>
          <cell r="K424">
            <v>4122.26</v>
          </cell>
          <cell r="L424">
            <v>687.04</v>
          </cell>
          <cell r="N424">
            <v>687.04</v>
          </cell>
          <cell r="O424">
            <v>2350</v>
          </cell>
          <cell r="P424">
            <v>14100</v>
          </cell>
        </row>
        <row r="425">
          <cell r="A425" t="str">
            <v>ST310212A122022R18</v>
          </cell>
          <cell r="B425" t="str">
            <v>ST310212A</v>
          </cell>
          <cell r="C425" t="str">
            <v>122022R</v>
          </cell>
          <cell r="D425" t="str">
            <v>122022R</v>
          </cell>
          <cell r="E425" t="str">
            <v>U10 10.2GB IDE ULTRA ATA/66</v>
          </cell>
          <cell r="F425">
            <v>18</v>
          </cell>
          <cell r="G425">
            <v>678.11</v>
          </cell>
          <cell r="J425">
            <v>319</v>
          </cell>
          <cell r="K425">
            <v>216316.19</v>
          </cell>
          <cell r="L425">
            <v>678.11</v>
          </cell>
          <cell r="M425">
            <v>2328.7203166226914</v>
          </cell>
          <cell r="N425">
            <v>687.04</v>
          </cell>
          <cell r="O425">
            <v>2350</v>
          </cell>
          <cell r="P425">
            <v>749650</v>
          </cell>
        </row>
        <row r="426">
          <cell r="A426" t="str">
            <v>ST310212A122022R48</v>
          </cell>
          <cell r="B426" t="str">
            <v>ST310212A</v>
          </cell>
          <cell r="C426" t="str">
            <v>122022R</v>
          </cell>
          <cell r="D426" t="str">
            <v>122022R</v>
          </cell>
          <cell r="E426" t="str">
            <v>U10 10.2GB IDE ULTRA ATA/66</v>
          </cell>
          <cell r="F426">
            <v>48</v>
          </cell>
          <cell r="G426">
            <v>678.11</v>
          </cell>
          <cell r="J426">
            <v>131</v>
          </cell>
          <cell r="K426">
            <v>88832.04</v>
          </cell>
          <cell r="L426">
            <v>678.11</v>
          </cell>
          <cell r="M426">
            <v>2328.7203166226914</v>
          </cell>
          <cell r="N426">
            <v>687.04</v>
          </cell>
          <cell r="O426">
            <v>2350</v>
          </cell>
          <cell r="P426">
            <v>307850</v>
          </cell>
        </row>
        <row r="427">
          <cell r="A427" t="str">
            <v>ST310212A122022R58</v>
          </cell>
          <cell r="B427" t="str">
            <v>ST310212A</v>
          </cell>
          <cell r="C427" t="str">
            <v>122022R</v>
          </cell>
          <cell r="D427" t="str">
            <v>122022R</v>
          </cell>
          <cell r="E427" t="str">
            <v>U10 10.2GB IDE ULTRA ATA/66</v>
          </cell>
          <cell r="F427">
            <v>58</v>
          </cell>
          <cell r="G427">
            <v>678.11</v>
          </cell>
          <cell r="H427">
            <v>9</v>
          </cell>
          <cell r="I427">
            <v>6102.96</v>
          </cell>
          <cell r="J427">
            <v>35</v>
          </cell>
          <cell r="K427">
            <v>23733.75</v>
          </cell>
          <cell r="L427">
            <v>678.11</v>
          </cell>
          <cell r="M427">
            <v>2328.7203166226914</v>
          </cell>
          <cell r="N427">
            <v>687.04</v>
          </cell>
          <cell r="O427">
            <v>2350</v>
          </cell>
          <cell r="P427">
            <v>103400</v>
          </cell>
        </row>
        <row r="428">
          <cell r="A428" t="str">
            <v>ST310212A122022R68</v>
          </cell>
          <cell r="B428" t="str">
            <v>ST310212A</v>
          </cell>
          <cell r="C428" t="str">
            <v>122022R</v>
          </cell>
          <cell r="D428" t="str">
            <v>122022R</v>
          </cell>
          <cell r="E428" t="str">
            <v>U10 10.2GB IDE ULTRA ATA/66</v>
          </cell>
          <cell r="F428">
            <v>68</v>
          </cell>
          <cell r="G428">
            <v>678.11</v>
          </cell>
          <cell r="J428">
            <v>187</v>
          </cell>
          <cell r="K428">
            <v>126806.04</v>
          </cell>
          <cell r="L428">
            <v>678.11</v>
          </cell>
          <cell r="M428">
            <v>2328.7203166226914</v>
          </cell>
          <cell r="N428">
            <v>687.04</v>
          </cell>
          <cell r="O428">
            <v>2350</v>
          </cell>
          <cell r="P428">
            <v>439450</v>
          </cell>
        </row>
        <row r="429">
          <cell r="A429" t="str">
            <v>ST310212A122022X19</v>
          </cell>
          <cell r="B429" t="str">
            <v>ST310212A</v>
          </cell>
          <cell r="C429" t="str">
            <v>122022X</v>
          </cell>
          <cell r="D429" t="str">
            <v>122022X</v>
          </cell>
          <cell r="E429" t="str">
            <v>U10 10.2GB IDE ULTRA ATA/66</v>
          </cell>
          <cell r="F429">
            <v>19</v>
          </cell>
          <cell r="G429">
            <v>0</v>
          </cell>
          <cell r="H429">
            <v>29</v>
          </cell>
          <cell r="J429">
            <v>472</v>
          </cell>
          <cell r="L429">
            <v>0</v>
          </cell>
          <cell r="N429">
            <v>687.04</v>
          </cell>
          <cell r="O429">
            <v>2350</v>
          </cell>
          <cell r="P429">
            <v>1177350</v>
          </cell>
        </row>
        <row r="430">
          <cell r="A430" t="str">
            <v>ST310212A122022X49</v>
          </cell>
          <cell r="B430" t="str">
            <v>ST310212A</v>
          </cell>
          <cell r="C430" t="str">
            <v>122022X</v>
          </cell>
          <cell r="D430" t="str">
            <v>122022X</v>
          </cell>
          <cell r="E430" t="str">
            <v>U10 10.2GB IDE ULTRA ATA/66</v>
          </cell>
          <cell r="F430">
            <v>49</v>
          </cell>
          <cell r="G430">
            <v>0</v>
          </cell>
          <cell r="J430">
            <v>1</v>
          </cell>
          <cell r="L430">
            <v>0</v>
          </cell>
          <cell r="N430">
            <v>687.04</v>
          </cell>
          <cell r="O430">
            <v>2350</v>
          </cell>
          <cell r="P430">
            <v>2350</v>
          </cell>
        </row>
        <row r="431">
          <cell r="A431" t="str">
            <v>ST310212A122022X59</v>
          </cell>
          <cell r="B431" t="str">
            <v>ST310212A</v>
          </cell>
          <cell r="C431" t="str">
            <v>122022X</v>
          </cell>
          <cell r="D431" t="str">
            <v>122022X</v>
          </cell>
          <cell r="E431" t="str">
            <v>U10 10.2GB IDE ULTRA ATA/66</v>
          </cell>
          <cell r="F431">
            <v>59</v>
          </cell>
          <cell r="G431">
            <v>0</v>
          </cell>
          <cell r="J431">
            <v>8</v>
          </cell>
          <cell r="L431">
            <v>0</v>
          </cell>
          <cell r="N431">
            <v>687.04</v>
          </cell>
          <cell r="O431">
            <v>2350</v>
          </cell>
          <cell r="P431">
            <v>18800</v>
          </cell>
        </row>
        <row r="432">
          <cell r="A432" t="str">
            <v>ST310212A122022X49</v>
          </cell>
          <cell r="B432" t="str">
            <v>ST310212A</v>
          </cell>
          <cell r="C432" t="str">
            <v>122022X</v>
          </cell>
          <cell r="D432" t="str">
            <v>122022X</v>
          </cell>
          <cell r="E432" t="str">
            <v>U10 10.2GB IDE ULTRA ATA/66</v>
          </cell>
          <cell r="F432">
            <v>49</v>
          </cell>
          <cell r="G432">
            <v>0</v>
          </cell>
          <cell r="J432">
            <v>1</v>
          </cell>
          <cell r="O432">
            <v>2350</v>
          </cell>
          <cell r="P432">
            <v>2350</v>
          </cell>
        </row>
        <row r="433">
          <cell r="A433" t="str">
            <v>ST313021A122012X18</v>
          </cell>
          <cell r="B433" t="str">
            <v>ST313021A</v>
          </cell>
          <cell r="C433" t="str">
            <v>122012X</v>
          </cell>
          <cell r="D433" t="str">
            <v>122012X</v>
          </cell>
          <cell r="E433" t="str">
            <v>U8 13GB IDE ULTRA ATA/66</v>
          </cell>
          <cell r="F433">
            <v>18</v>
          </cell>
          <cell r="G433">
            <v>0</v>
          </cell>
          <cell r="J433">
            <v>2</v>
          </cell>
          <cell r="L433">
            <v>0</v>
          </cell>
          <cell r="O433">
            <v>2450</v>
          </cell>
          <cell r="P433">
            <v>4900</v>
          </cell>
        </row>
        <row r="434">
          <cell r="A434" t="str">
            <v>ST313021A122012X19</v>
          </cell>
          <cell r="B434" t="str">
            <v>ST313021A</v>
          </cell>
          <cell r="C434" t="str">
            <v>122012X</v>
          </cell>
          <cell r="D434" t="str">
            <v>122012X</v>
          </cell>
          <cell r="E434" t="str">
            <v>U8 13GB IDE ULTRA ATA/66</v>
          </cell>
          <cell r="F434">
            <v>19</v>
          </cell>
          <cell r="G434">
            <v>0</v>
          </cell>
          <cell r="J434">
            <v>10</v>
          </cell>
          <cell r="L434">
            <v>0</v>
          </cell>
          <cell r="O434">
            <v>2450</v>
          </cell>
          <cell r="P434">
            <v>24500</v>
          </cell>
        </row>
        <row r="435">
          <cell r="A435" t="str">
            <v>ST317221A122013R18</v>
          </cell>
          <cell r="B435" t="str">
            <v>ST317221A</v>
          </cell>
          <cell r="C435" t="str">
            <v>122013R</v>
          </cell>
          <cell r="D435" t="str">
            <v>122013R</v>
          </cell>
          <cell r="E435" t="str">
            <v>17GB 5400 RPM ULTRA ATA</v>
          </cell>
          <cell r="F435">
            <v>18</v>
          </cell>
          <cell r="G435">
            <v>781.15</v>
          </cell>
          <cell r="J435">
            <v>5</v>
          </cell>
          <cell r="K435">
            <v>3905.75</v>
          </cell>
          <cell r="L435">
            <v>781.15</v>
          </cell>
          <cell r="M435">
            <v>2731.7034412955468</v>
          </cell>
          <cell r="O435">
            <v>2700</v>
          </cell>
          <cell r="P435">
            <v>13500</v>
          </cell>
        </row>
        <row r="436">
          <cell r="A436" t="str">
            <v>ST317221A122013X19</v>
          </cell>
          <cell r="B436" t="str">
            <v>ST317221A</v>
          </cell>
          <cell r="C436" t="str">
            <v>122013X</v>
          </cell>
          <cell r="D436" t="str">
            <v>122013X</v>
          </cell>
          <cell r="E436" t="str">
            <v>U8 17.2GB IDE ULTRA ATA/66</v>
          </cell>
          <cell r="F436">
            <v>19</v>
          </cell>
          <cell r="G436">
            <v>0</v>
          </cell>
          <cell r="H436">
            <v>1</v>
          </cell>
          <cell r="J436">
            <v>41</v>
          </cell>
          <cell r="L436">
            <v>0</v>
          </cell>
          <cell r="O436">
            <v>2800</v>
          </cell>
          <cell r="P436">
            <v>117600</v>
          </cell>
        </row>
        <row r="437">
          <cell r="A437" t="str">
            <v>ST318203LW122007E18</v>
          </cell>
          <cell r="B437" t="str">
            <v>ST318203LW</v>
          </cell>
          <cell r="C437" t="str">
            <v>122007E</v>
          </cell>
          <cell r="D437" t="str">
            <v>122007E</v>
          </cell>
          <cell r="E437" t="str">
            <v>CHEETAH 18.2GB ULTRA 2 SCSI</v>
          </cell>
          <cell r="F437">
            <v>18</v>
          </cell>
          <cell r="G437">
            <v>2370</v>
          </cell>
          <cell r="J437">
            <v>4</v>
          </cell>
          <cell r="K437">
            <v>9480.01</v>
          </cell>
          <cell r="L437">
            <v>2370</v>
          </cell>
          <cell r="N437">
            <v>2370</v>
          </cell>
          <cell r="O437">
            <v>25000</v>
          </cell>
          <cell r="P437">
            <v>100000</v>
          </cell>
        </row>
        <row r="438">
          <cell r="A438" t="str">
            <v>ST318203LW122007R18</v>
          </cell>
          <cell r="B438" t="str">
            <v>ST318203LW</v>
          </cell>
          <cell r="C438" t="str">
            <v>122007R</v>
          </cell>
          <cell r="D438" t="str">
            <v>122007R</v>
          </cell>
          <cell r="E438" t="str">
            <v>18.2GB WIDE ULTRA SCSI3.5LP 7.1</v>
          </cell>
          <cell r="F438">
            <v>18</v>
          </cell>
          <cell r="G438">
            <v>3271.23</v>
          </cell>
          <cell r="J438">
            <v>2</v>
          </cell>
          <cell r="K438">
            <v>6542.46</v>
          </cell>
          <cell r="L438">
            <v>3271.23</v>
          </cell>
          <cell r="N438">
            <v>2370</v>
          </cell>
          <cell r="O438">
            <v>20000</v>
          </cell>
          <cell r="P438">
            <v>40000</v>
          </cell>
        </row>
        <row r="439">
          <cell r="A439" t="str">
            <v>ST318275LW122006R18</v>
          </cell>
          <cell r="B439" t="str">
            <v>ST318275LW</v>
          </cell>
          <cell r="C439" t="str">
            <v>122006R</v>
          </cell>
          <cell r="D439" t="str">
            <v>122006R</v>
          </cell>
          <cell r="E439" t="str">
            <v>BARRACUDA 18.2GB ULTRA 2 SCSI</v>
          </cell>
          <cell r="F439">
            <v>18</v>
          </cell>
          <cell r="G439">
            <v>1379.84</v>
          </cell>
          <cell r="J439">
            <v>1</v>
          </cell>
          <cell r="K439">
            <v>1379.84</v>
          </cell>
          <cell r="L439">
            <v>1379.84</v>
          </cell>
          <cell r="O439">
            <v>15000</v>
          </cell>
          <cell r="P439">
            <v>15000</v>
          </cell>
        </row>
        <row r="440">
          <cell r="A440" t="str">
            <v>ST318275LW122006X59</v>
          </cell>
          <cell r="B440" t="str">
            <v>ST318275LW</v>
          </cell>
          <cell r="C440" t="str">
            <v>122006X</v>
          </cell>
          <cell r="D440" t="str">
            <v>122006X</v>
          </cell>
          <cell r="E440" t="str">
            <v>BARRACUDA 18.2GB ULTRA 2 SCSI</v>
          </cell>
          <cell r="F440">
            <v>59</v>
          </cell>
          <cell r="G440">
            <v>0</v>
          </cell>
          <cell r="J440">
            <v>1</v>
          </cell>
          <cell r="L440">
            <v>0</v>
          </cell>
          <cell r="O440">
            <v>18000</v>
          </cell>
          <cell r="P440">
            <v>18000</v>
          </cell>
        </row>
        <row r="441">
          <cell r="A441" t="str">
            <v>ST318404LW122024R18</v>
          </cell>
          <cell r="B441" t="str">
            <v>ST318404LW</v>
          </cell>
          <cell r="C441" t="str">
            <v>122024R</v>
          </cell>
          <cell r="D441" t="str">
            <v>122024R</v>
          </cell>
          <cell r="E441" t="str">
            <v>CHEETAH 18GB ULTRA SCSI</v>
          </cell>
          <cell r="F441">
            <v>18</v>
          </cell>
          <cell r="G441">
            <v>2130.66</v>
          </cell>
          <cell r="J441">
            <v>7</v>
          </cell>
          <cell r="K441">
            <v>14914.64</v>
          </cell>
          <cell r="L441">
            <v>2130.66</v>
          </cell>
          <cell r="O441">
            <v>15000</v>
          </cell>
          <cell r="P441">
            <v>105000</v>
          </cell>
        </row>
        <row r="442">
          <cell r="A442" t="str">
            <v>ST318404LW122024X19</v>
          </cell>
          <cell r="B442" t="str">
            <v>ST318404LW</v>
          </cell>
          <cell r="C442" t="str">
            <v>122024X</v>
          </cell>
          <cell r="D442" t="str">
            <v>122024X</v>
          </cell>
          <cell r="E442" t="str">
            <v>CHEETAH 18GB ULTRA SCSI 3.5LP</v>
          </cell>
          <cell r="F442">
            <v>19</v>
          </cell>
          <cell r="G442">
            <v>0</v>
          </cell>
          <cell r="J442">
            <v>4</v>
          </cell>
          <cell r="L442">
            <v>0</v>
          </cell>
          <cell r="O442">
            <v>14000</v>
          </cell>
          <cell r="P442">
            <v>56000</v>
          </cell>
        </row>
        <row r="443">
          <cell r="A443" t="str">
            <v>ST318436LW122025R18</v>
          </cell>
          <cell r="B443" t="str">
            <v>ST318436LW</v>
          </cell>
          <cell r="C443" t="str">
            <v>122025R</v>
          </cell>
          <cell r="D443" t="str">
            <v>122025R</v>
          </cell>
          <cell r="E443" t="str">
            <v>BARRACUDA 18GB ULTRA SCSI</v>
          </cell>
          <cell r="F443">
            <v>18</v>
          </cell>
          <cell r="G443">
            <v>2654.65</v>
          </cell>
          <cell r="J443">
            <v>7</v>
          </cell>
          <cell r="K443">
            <v>18582.55</v>
          </cell>
          <cell r="L443">
            <v>2654.65</v>
          </cell>
          <cell r="O443">
            <v>10000</v>
          </cell>
          <cell r="P443">
            <v>70000</v>
          </cell>
        </row>
        <row r="444">
          <cell r="A444" t="str">
            <v>ST318436LW122025X19</v>
          </cell>
          <cell r="B444" t="str">
            <v>ST318436LW</v>
          </cell>
          <cell r="C444" t="str">
            <v>122025X</v>
          </cell>
          <cell r="D444" t="str">
            <v>122025X</v>
          </cell>
          <cell r="E444" t="str">
            <v>BARRACUDA 18GB ULTRA SCSI 3.5LP</v>
          </cell>
          <cell r="F444">
            <v>19</v>
          </cell>
          <cell r="G444">
            <v>0</v>
          </cell>
          <cell r="J444">
            <v>2</v>
          </cell>
          <cell r="L444">
            <v>0</v>
          </cell>
          <cell r="O444">
            <v>12000</v>
          </cell>
          <cell r="P444">
            <v>24000</v>
          </cell>
        </row>
        <row r="445">
          <cell r="A445" t="str">
            <v>ST320413A122037B18</v>
          </cell>
          <cell r="B445" t="str">
            <v>ST320413A</v>
          </cell>
          <cell r="C445" t="str">
            <v>122037B</v>
          </cell>
          <cell r="D445" t="str">
            <v>122037B</v>
          </cell>
          <cell r="E445" t="str">
            <v>U5 20GB ULTRA ATA/100</v>
          </cell>
          <cell r="F445">
            <v>18</v>
          </cell>
          <cell r="G445">
            <v>4804.93</v>
          </cell>
          <cell r="J445">
            <v>5</v>
          </cell>
          <cell r="K445">
            <v>24024.67</v>
          </cell>
          <cell r="L445">
            <v>4804.93</v>
          </cell>
          <cell r="N445">
            <v>4804.93</v>
          </cell>
          <cell r="O445">
            <v>3900</v>
          </cell>
          <cell r="P445">
            <v>19500</v>
          </cell>
        </row>
        <row r="446">
          <cell r="A446" t="str">
            <v>ST320413A122037C18</v>
          </cell>
          <cell r="B446" t="str">
            <v>ST320413A</v>
          </cell>
          <cell r="C446" t="str">
            <v>122037C</v>
          </cell>
          <cell r="D446" t="str">
            <v>122037C</v>
          </cell>
          <cell r="E446" t="str">
            <v>U5 20GB ULTRA ATA/100</v>
          </cell>
          <cell r="F446">
            <v>18</v>
          </cell>
          <cell r="G446">
            <v>5690.52</v>
          </cell>
          <cell r="J446">
            <v>5</v>
          </cell>
          <cell r="K446">
            <v>28452.6</v>
          </cell>
          <cell r="L446">
            <v>5690.52</v>
          </cell>
          <cell r="N446">
            <v>5690.52</v>
          </cell>
          <cell r="O446">
            <v>3900</v>
          </cell>
          <cell r="P446">
            <v>19500</v>
          </cell>
        </row>
        <row r="447">
          <cell r="A447" t="str">
            <v>ST320413A122037H18</v>
          </cell>
          <cell r="B447" t="str">
            <v>ST320413A</v>
          </cell>
          <cell r="C447" t="str">
            <v>122037H</v>
          </cell>
          <cell r="D447" t="str">
            <v>122037H</v>
          </cell>
          <cell r="E447" t="str">
            <v>U5 20GB ULTRA ATA/100</v>
          </cell>
          <cell r="F447">
            <v>18</v>
          </cell>
          <cell r="G447">
            <v>4804.93</v>
          </cell>
          <cell r="J447">
            <v>5</v>
          </cell>
          <cell r="K447">
            <v>24024.67</v>
          </cell>
          <cell r="L447">
            <v>4804.93</v>
          </cell>
          <cell r="N447">
            <v>4804.93</v>
          </cell>
          <cell r="O447">
            <v>3900</v>
          </cell>
          <cell r="P447">
            <v>19500</v>
          </cell>
        </row>
        <row r="448">
          <cell r="A448" t="str">
            <v>ST320413A122037I18</v>
          </cell>
          <cell r="B448" t="str">
            <v>ST320413A</v>
          </cell>
          <cell r="C448" t="str">
            <v>122037I</v>
          </cell>
          <cell r="D448" t="str">
            <v>122037I</v>
          </cell>
          <cell r="E448" t="str">
            <v>U5 20GB ULTRA ATA/100</v>
          </cell>
          <cell r="F448">
            <v>18</v>
          </cell>
          <cell r="G448">
            <v>4804.93</v>
          </cell>
          <cell r="J448">
            <v>5</v>
          </cell>
          <cell r="K448">
            <v>24024.67</v>
          </cell>
          <cell r="L448">
            <v>4804.93</v>
          </cell>
          <cell r="N448">
            <v>4804.93</v>
          </cell>
          <cell r="O448">
            <v>3900</v>
          </cell>
          <cell r="P448">
            <v>19500</v>
          </cell>
        </row>
        <row r="449">
          <cell r="A449" t="str">
            <v>ST320413A122037K18</v>
          </cell>
          <cell r="B449" t="str">
            <v>ST320413A</v>
          </cell>
          <cell r="C449" t="str">
            <v>122037K</v>
          </cell>
          <cell r="D449" t="str">
            <v>122037K</v>
          </cell>
          <cell r="E449" t="str">
            <v>U5 20GB ULTRA ATA/100</v>
          </cell>
          <cell r="F449">
            <v>18</v>
          </cell>
          <cell r="G449">
            <v>4804.93</v>
          </cell>
          <cell r="J449">
            <v>5</v>
          </cell>
          <cell r="K449">
            <v>24024.67</v>
          </cell>
          <cell r="L449">
            <v>4804.93</v>
          </cell>
          <cell r="N449">
            <v>4804.93</v>
          </cell>
          <cell r="O449">
            <v>3900</v>
          </cell>
          <cell r="P449">
            <v>19500</v>
          </cell>
        </row>
        <row r="450">
          <cell r="A450" t="str">
            <v>ST320413A122037L18</v>
          </cell>
          <cell r="B450" t="str">
            <v>ST320413A</v>
          </cell>
          <cell r="C450" t="str">
            <v>122037L</v>
          </cell>
          <cell r="D450" t="str">
            <v>122037L</v>
          </cell>
          <cell r="E450" t="str">
            <v>U5 20GB ULTRA ATA/100</v>
          </cell>
          <cell r="F450">
            <v>18</v>
          </cell>
          <cell r="G450">
            <v>4804.93</v>
          </cell>
          <cell r="J450">
            <v>5</v>
          </cell>
          <cell r="K450">
            <v>24024.67</v>
          </cell>
          <cell r="L450">
            <v>4804.93</v>
          </cell>
          <cell r="N450">
            <v>4804.93</v>
          </cell>
          <cell r="O450">
            <v>3900</v>
          </cell>
          <cell r="P450">
            <v>19500</v>
          </cell>
        </row>
        <row r="451">
          <cell r="A451" t="str">
            <v>ST320413A122037R18</v>
          </cell>
          <cell r="B451" t="str">
            <v>ST320413A</v>
          </cell>
          <cell r="C451" t="str">
            <v>122037R</v>
          </cell>
          <cell r="D451" t="str">
            <v>122037R</v>
          </cell>
          <cell r="E451" t="str">
            <v>U5 20GB ULTRA ATA/100</v>
          </cell>
          <cell r="F451">
            <v>18</v>
          </cell>
          <cell r="G451">
            <v>711.65</v>
          </cell>
          <cell r="J451">
            <v>276</v>
          </cell>
          <cell r="K451">
            <v>196415.28</v>
          </cell>
          <cell r="L451">
            <v>711.65</v>
          </cell>
          <cell r="N451">
            <v>4804.93</v>
          </cell>
          <cell r="O451">
            <v>3900</v>
          </cell>
          <cell r="P451">
            <v>1076400</v>
          </cell>
        </row>
        <row r="452">
          <cell r="A452" t="str">
            <v>ST320413A122037R48</v>
          </cell>
          <cell r="B452" t="str">
            <v>ST320413A</v>
          </cell>
          <cell r="C452" t="str">
            <v>122037R</v>
          </cell>
          <cell r="D452" t="str">
            <v>122037R</v>
          </cell>
          <cell r="E452" t="str">
            <v>U5 20GB ULTRA ATA/100</v>
          </cell>
          <cell r="F452">
            <v>48</v>
          </cell>
          <cell r="G452">
            <v>711.65</v>
          </cell>
          <cell r="H452">
            <v>40</v>
          </cell>
          <cell r="I452">
            <v>28465.98</v>
          </cell>
          <cell r="J452">
            <v>49</v>
          </cell>
          <cell r="K452">
            <v>34870.83</v>
          </cell>
          <cell r="L452">
            <v>711.65</v>
          </cell>
          <cell r="N452">
            <v>4804.93</v>
          </cell>
          <cell r="O452">
            <v>3900</v>
          </cell>
          <cell r="P452">
            <v>347100</v>
          </cell>
        </row>
        <row r="453">
          <cell r="A453" t="str">
            <v>ST320413A122037R58</v>
          </cell>
          <cell r="B453" t="str">
            <v>ST320413A</v>
          </cell>
          <cell r="C453" t="str">
            <v>122037R</v>
          </cell>
          <cell r="D453" t="str">
            <v>122037R</v>
          </cell>
          <cell r="E453" t="str">
            <v>U5 20GB ULTRA ATA/100</v>
          </cell>
          <cell r="F453">
            <v>58</v>
          </cell>
          <cell r="G453">
            <v>711.65</v>
          </cell>
          <cell r="H453">
            <v>65</v>
          </cell>
          <cell r="I453">
            <v>46257.22</v>
          </cell>
          <cell r="J453">
            <v>99</v>
          </cell>
          <cell r="K453">
            <v>70453.31</v>
          </cell>
          <cell r="L453">
            <v>711.65</v>
          </cell>
          <cell r="N453">
            <v>4804.93</v>
          </cell>
          <cell r="O453">
            <v>3900</v>
          </cell>
          <cell r="P453">
            <v>639600</v>
          </cell>
        </row>
        <row r="454">
          <cell r="A454" t="str">
            <v>ST320413A122037R68</v>
          </cell>
          <cell r="B454" t="str">
            <v>ST320413A</v>
          </cell>
          <cell r="C454" t="str">
            <v>122037R</v>
          </cell>
          <cell r="D454" t="str">
            <v>122037R</v>
          </cell>
          <cell r="E454" t="str">
            <v>U5 20GB ULTRA ATA/100</v>
          </cell>
          <cell r="F454">
            <v>68</v>
          </cell>
          <cell r="G454">
            <v>711.65</v>
          </cell>
          <cell r="H454">
            <v>20</v>
          </cell>
          <cell r="I454">
            <v>14232.99</v>
          </cell>
          <cell r="J454">
            <v>26</v>
          </cell>
          <cell r="K454">
            <v>18502.88</v>
          </cell>
          <cell r="L454">
            <v>711.65</v>
          </cell>
          <cell r="N454">
            <v>4804.93</v>
          </cell>
          <cell r="O454">
            <v>3900</v>
          </cell>
          <cell r="P454">
            <v>179400</v>
          </cell>
        </row>
        <row r="455">
          <cell r="A455" t="str">
            <v>ST320413A122037X19</v>
          </cell>
          <cell r="B455" t="str">
            <v>ST320413A</v>
          </cell>
          <cell r="C455" t="str">
            <v>122037X</v>
          </cell>
          <cell r="D455" t="str">
            <v>122037X</v>
          </cell>
          <cell r="E455" t="str">
            <v>U5 20GB ULTRA ATA/100 5400RPM</v>
          </cell>
          <cell r="F455">
            <v>19</v>
          </cell>
          <cell r="G455">
            <v>0</v>
          </cell>
          <cell r="H455">
            <v>17</v>
          </cell>
          <cell r="J455">
            <v>288</v>
          </cell>
          <cell r="L455">
            <v>0</v>
          </cell>
          <cell r="N455">
            <v>4804.93</v>
          </cell>
          <cell r="O455">
            <v>3900</v>
          </cell>
          <cell r="P455">
            <v>1189500</v>
          </cell>
        </row>
        <row r="456">
          <cell r="A456" t="str">
            <v>ST320413A122037X59</v>
          </cell>
          <cell r="B456" t="str">
            <v>ST320413A</v>
          </cell>
          <cell r="C456" t="str">
            <v>122037X</v>
          </cell>
          <cell r="D456" t="str">
            <v>122037X</v>
          </cell>
          <cell r="E456" t="str">
            <v>U5 20GB ULTRA ATA/100 5400RPM</v>
          </cell>
          <cell r="F456">
            <v>59</v>
          </cell>
          <cell r="G456">
            <v>0</v>
          </cell>
          <cell r="J456">
            <v>22</v>
          </cell>
          <cell r="L456">
            <v>0</v>
          </cell>
          <cell r="N456">
            <v>4804.93</v>
          </cell>
          <cell r="O456">
            <v>3900</v>
          </cell>
          <cell r="P456">
            <v>85800</v>
          </cell>
        </row>
        <row r="457">
          <cell r="A457" t="str">
            <v>ST320413A122037X39</v>
          </cell>
          <cell r="B457" t="str">
            <v>ST320413A</v>
          </cell>
          <cell r="C457" t="str">
            <v>122037X</v>
          </cell>
          <cell r="D457" t="str">
            <v>122037X</v>
          </cell>
          <cell r="E457" t="str">
            <v>U5 20GB ULTRA ATA/100 5400RPM</v>
          </cell>
          <cell r="F457">
            <v>39</v>
          </cell>
          <cell r="G457">
            <v>0</v>
          </cell>
          <cell r="J457">
            <v>1</v>
          </cell>
          <cell r="O457">
            <v>3900</v>
          </cell>
          <cell r="P457">
            <v>3900</v>
          </cell>
        </row>
        <row r="458">
          <cell r="A458" t="str">
            <v>ST320420A122026R18</v>
          </cell>
          <cell r="B458" t="str">
            <v>ST320420A</v>
          </cell>
          <cell r="C458" t="str">
            <v>122026R</v>
          </cell>
          <cell r="D458" t="str">
            <v>122026R</v>
          </cell>
          <cell r="E458" t="str">
            <v>BARRACUDA 20GB  ULTRA ATA</v>
          </cell>
          <cell r="F458">
            <v>18</v>
          </cell>
          <cell r="G458">
            <v>985.35</v>
          </cell>
          <cell r="J458">
            <v>21</v>
          </cell>
          <cell r="K458">
            <v>20692.310000000001</v>
          </cell>
          <cell r="L458">
            <v>985.35</v>
          </cell>
          <cell r="O458">
            <v>6200</v>
          </cell>
          <cell r="P458">
            <v>130200</v>
          </cell>
        </row>
        <row r="459">
          <cell r="A459" t="str">
            <v>ST320420A122026X19</v>
          </cell>
          <cell r="B459" t="str">
            <v>ST320420A</v>
          </cell>
          <cell r="C459" t="str">
            <v>122026X</v>
          </cell>
          <cell r="D459" t="str">
            <v>122026X</v>
          </cell>
          <cell r="E459" t="str">
            <v>BARRACUDA 20GB ULTRA ATA 3.5LP</v>
          </cell>
          <cell r="F459">
            <v>19</v>
          </cell>
          <cell r="G459">
            <v>0</v>
          </cell>
          <cell r="J459">
            <v>2</v>
          </cell>
          <cell r="L459">
            <v>0</v>
          </cell>
          <cell r="O459">
            <v>5500</v>
          </cell>
          <cell r="P459">
            <v>11000</v>
          </cell>
        </row>
        <row r="460">
          <cell r="A460" t="str">
            <v>ST320423A122021E18</v>
          </cell>
          <cell r="B460" t="str">
            <v>ST320423A</v>
          </cell>
          <cell r="C460" t="str">
            <v>122021E</v>
          </cell>
          <cell r="D460" t="str">
            <v>122021E</v>
          </cell>
          <cell r="E460" t="str">
            <v>U10 20GB IDE ULTRA ATA/66</v>
          </cell>
          <cell r="F460">
            <v>18</v>
          </cell>
          <cell r="G460">
            <v>691.21</v>
          </cell>
          <cell r="J460">
            <v>71</v>
          </cell>
          <cell r="K460">
            <v>49075.89</v>
          </cell>
          <cell r="L460">
            <v>691.21</v>
          </cell>
          <cell r="M460">
            <v>3100</v>
          </cell>
          <cell r="N460">
            <v>691.21</v>
          </cell>
          <cell r="O460">
            <v>3000</v>
          </cell>
          <cell r="P460">
            <v>213000</v>
          </cell>
        </row>
        <row r="461">
          <cell r="A461" t="str">
            <v>ST320423A122021R18</v>
          </cell>
          <cell r="B461" t="str">
            <v>ST320423A</v>
          </cell>
          <cell r="C461" t="str">
            <v>122021R</v>
          </cell>
          <cell r="D461" t="str">
            <v>122021R</v>
          </cell>
          <cell r="E461" t="str">
            <v>U10 20GB IDE ULTRA ATA/66</v>
          </cell>
          <cell r="F461">
            <v>18</v>
          </cell>
          <cell r="G461">
            <v>871.61</v>
          </cell>
          <cell r="J461">
            <v>63</v>
          </cell>
          <cell r="K461">
            <v>54911.46</v>
          </cell>
          <cell r="L461">
            <v>871.61</v>
          </cell>
          <cell r="M461">
            <v>3100</v>
          </cell>
          <cell r="N461">
            <v>691.21</v>
          </cell>
          <cell r="O461">
            <v>3000</v>
          </cell>
          <cell r="P461">
            <v>189000</v>
          </cell>
        </row>
        <row r="462">
          <cell r="A462" t="str">
            <v>ST320423A122021R48</v>
          </cell>
          <cell r="B462" t="str">
            <v>ST320423A</v>
          </cell>
          <cell r="C462" t="str">
            <v>122021R</v>
          </cell>
          <cell r="D462" t="str">
            <v>122021R</v>
          </cell>
          <cell r="E462" t="str">
            <v>U10 20GB IDE ULTRA ATA/66</v>
          </cell>
          <cell r="F462">
            <v>48</v>
          </cell>
          <cell r="G462">
            <v>871.61</v>
          </cell>
          <cell r="J462">
            <v>2</v>
          </cell>
          <cell r="K462">
            <v>1743.22</v>
          </cell>
          <cell r="L462">
            <v>871.61</v>
          </cell>
          <cell r="M462">
            <v>3100</v>
          </cell>
          <cell r="N462">
            <v>691.21</v>
          </cell>
          <cell r="O462">
            <v>3000</v>
          </cell>
          <cell r="P462">
            <v>6000</v>
          </cell>
        </row>
        <row r="463">
          <cell r="A463" t="str">
            <v>ST320423A122021R58</v>
          </cell>
          <cell r="B463" t="str">
            <v>ST320423A</v>
          </cell>
          <cell r="C463" t="str">
            <v>122021R</v>
          </cell>
          <cell r="D463" t="str">
            <v>122021R</v>
          </cell>
          <cell r="E463" t="str">
            <v>U10 20GB IDE ULTRA ATA/66</v>
          </cell>
          <cell r="F463">
            <v>58</v>
          </cell>
          <cell r="G463">
            <v>871.61</v>
          </cell>
          <cell r="H463">
            <v>2</v>
          </cell>
          <cell r="I463">
            <v>1743.22</v>
          </cell>
          <cell r="J463">
            <v>6</v>
          </cell>
          <cell r="K463">
            <v>5229.66</v>
          </cell>
          <cell r="L463">
            <v>871.61</v>
          </cell>
          <cell r="M463">
            <v>3100</v>
          </cell>
          <cell r="N463">
            <v>691.21</v>
          </cell>
          <cell r="O463">
            <v>3000</v>
          </cell>
          <cell r="P463">
            <v>24000</v>
          </cell>
        </row>
        <row r="464">
          <cell r="A464" t="str">
            <v>ST320423A122021X19</v>
          </cell>
          <cell r="B464" t="str">
            <v>ST320423A</v>
          </cell>
          <cell r="C464" t="str">
            <v>122021X</v>
          </cell>
          <cell r="D464" t="str">
            <v>122021X</v>
          </cell>
          <cell r="E464" t="str">
            <v>U10 20GB IDE ULTRA ATA/66</v>
          </cell>
          <cell r="F464">
            <v>19</v>
          </cell>
          <cell r="G464">
            <v>0</v>
          </cell>
          <cell r="H464">
            <v>4</v>
          </cell>
          <cell r="J464">
            <v>85</v>
          </cell>
          <cell r="L464">
            <v>0</v>
          </cell>
          <cell r="N464">
            <v>691.21</v>
          </cell>
          <cell r="O464">
            <v>3000</v>
          </cell>
          <cell r="P464">
            <v>267000</v>
          </cell>
        </row>
        <row r="465">
          <cell r="A465" t="str">
            <v>ST320423A122021X59</v>
          </cell>
          <cell r="B465" t="str">
            <v>ST320423A</v>
          </cell>
          <cell r="C465" t="str">
            <v>122021X</v>
          </cell>
          <cell r="D465" t="str">
            <v>122021X</v>
          </cell>
          <cell r="E465" t="str">
            <v>U10 20GB IDE ULTRA ATA/66</v>
          </cell>
          <cell r="F465">
            <v>59</v>
          </cell>
          <cell r="G465">
            <v>0</v>
          </cell>
          <cell r="J465">
            <v>1</v>
          </cell>
          <cell r="L465">
            <v>0</v>
          </cell>
          <cell r="N465">
            <v>691.21</v>
          </cell>
          <cell r="O465">
            <v>3000</v>
          </cell>
          <cell r="P465">
            <v>3000</v>
          </cell>
        </row>
        <row r="466">
          <cell r="A466" t="str">
            <v>ST320423A122021X39</v>
          </cell>
          <cell r="B466" t="str">
            <v>ST320423A</v>
          </cell>
          <cell r="C466" t="str">
            <v>122021X</v>
          </cell>
          <cell r="D466" t="str">
            <v>122021X</v>
          </cell>
          <cell r="E466" t="str">
            <v>U10 20GB IDE ULTRA ATA/66</v>
          </cell>
          <cell r="F466">
            <v>39</v>
          </cell>
          <cell r="G466">
            <v>0</v>
          </cell>
          <cell r="J466">
            <v>1</v>
          </cell>
          <cell r="O466">
            <v>3000</v>
          </cell>
          <cell r="P466">
            <v>3000</v>
          </cell>
        </row>
        <row r="467">
          <cell r="A467" t="str">
            <v>ST320430A122009R18</v>
          </cell>
          <cell r="B467" t="str">
            <v>ST320430A</v>
          </cell>
          <cell r="C467" t="str">
            <v>122009R</v>
          </cell>
          <cell r="D467" t="str">
            <v>122009R</v>
          </cell>
          <cell r="E467" t="str">
            <v>BARRACUDA 20GB IDE ULTRA ATA/66</v>
          </cell>
          <cell r="F467">
            <v>18</v>
          </cell>
          <cell r="G467">
            <v>882.94</v>
          </cell>
          <cell r="J467">
            <v>2</v>
          </cell>
          <cell r="K467">
            <v>1765.87</v>
          </cell>
          <cell r="L467">
            <v>882.94</v>
          </cell>
          <cell r="O467">
            <v>5000</v>
          </cell>
          <cell r="P467">
            <v>10000</v>
          </cell>
        </row>
        <row r="468">
          <cell r="A468" t="str">
            <v>ST330630A122027R18</v>
          </cell>
          <cell r="B468" t="str">
            <v>ST330630A</v>
          </cell>
          <cell r="C468" t="str">
            <v>122027R</v>
          </cell>
          <cell r="D468" t="str">
            <v>122027R</v>
          </cell>
          <cell r="E468" t="str">
            <v>BARRACUDA 30GB ULTRA ATA</v>
          </cell>
          <cell r="F468">
            <v>18</v>
          </cell>
          <cell r="G468">
            <v>1228.5999999999999</v>
          </cell>
          <cell r="J468">
            <v>23</v>
          </cell>
          <cell r="K468">
            <v>28257.74</v>
          </cell>
          <cell r="L468">
            <v>1228.5999999999999</v>
          </cell>
          <cell r="O468">
            <v>7400</v>
          </cell>
          <cell r="P468">
            <v>170200</v>
          </cell>
        </row>
        <row r="469">
          <cell r="A469" t="str">
            <v>ST330630A122027X19</v>
          </cell>
          <cell r="B469" t="str">
            <v>ST330630A</v>
          </cell>
          <cell r="C469" t="str">
            <v>122027X</v>
          </cell>
          <cell r="D469" t="str">
            <v>122027X</v>
          </cell>
          <cell r="E469" t="str">
            <v>BARRACUDA 30GB ULTRA ATA 3.5LP</v>
          </cell>
          <cell r="F469">
            <v>19</v>
          </cell>
          <cell r="G469">
            <v>0</v>
          </cell>
          <cell r="J469">
            <v>1</v>
          </cell>
          <cell r="L469">
            <v>0</v>
          </cell>
          <cell r="O469">
            <v>6500</v>
          </cell>
          <cell r="P469">
            <v>6500</v>
          </cell>
        </row>
        <row r="470">
          <cell r="A470" t="str">
            <v>ST336704LC122031R18</v>
          </cell>
          <cell r="B470" t="str">
            <v>ST336704LC</v>
          </cell>
          <cell r="C470" t="str">
            <v>122031R</v>
          </cell>
          <cell r="D470" t="str">
            <v>122031R</v>
          </cell>
          <cell r="E470" t="str">
            <v>CHEETAH 36GB ULTRA SCA</v>
          </cell>
          <cell r="F470">
            <v>18</v>
          </cell>
          <cell r="G470">
            <v>4080.93</v>
          </cell>
          <cell r="J470">
            <v>1</v>
          </cell>
          <cell r="K470">
            <v>4080.92</v>
          </cell>
          <cell r="L470">
            <v>4080.93</v>
          </cell>
          <cell r="O470">
            <v>24000</v>
          </cell>
          <cell r="P470">
            <v>24000</v>
          </cell>
        </row>
        <row r="471">
          <cell r="A471" t="str">
            <v>ST340823A122041D18</v>
          </cell>
          <cell r="B471" t="str">
            <v>ST340823A</v>
          </cell>
          <cell r="C471" t="str">
            <v>122041D</v>
          </cell>
          <cell r="D471" t="str">
            <v>122041D</v>
          </cell>
          <cell r="E471" t="str">
            <v>U5 40GB ULTRA ATA/100</v>
          </cell>
          <cell r="F471">
            <v>18</v>
          </cell>
          <cell r="G471">
            <v>4839.3599999999997</v>
          </cell>
          <cell r="J471">
            <v>3</v>
          </cell>
          <cell r="K471">
            <v>14518.08</v>
          </cell>
          <cell r="L471">
            <v>4839.3599999999997</v>
          </cell>
          <cell r="M471">
            <v>4925.7536888372861</v>
          </cell>
          <cell r="O471">
            <v>4900</v>
          </cell>
          <cell r="P471">
            <v>14700</v>
          </cell>
        </row>
        <row r="472">
          <cell r="A472" t="str">
            <v>ST340823A122041D48</v>
          </cell>
          <cell r="B472" t="str">
            <v>ST340823A</v>
          </cell>
          <cell r="C472" t="str">
            <v>122041D</v>
          </cell>
          <cell r="D472" t="str">
            <v>122041D</v>
          </cell>
          <cell r="E472" t="str">
            <v>U5 40GB ULTRA ATA/100</v>
          </cell>
          <cell r="F472">
            <v>48</v>
          </cell>
          <cell r="G472">
            <v>4839.3599999999997</v>
          </cell>
          <cell r="J472">
            <v>3</v>
          </cell>
          <cell r="K472">
            <v>14518.08</v>
          </cell>
          <cell r="L472">
            <v>4839.3599999999997</v>
          </cell>
          <cell r="M472">
            <v>4925.7536888372861</v>
          </cell>
          <cell r="O472">
            <v>4900</v>
          </cell>
          <cell r="P472">
            <v>14700</v>
          </cell>
        </row>
        <row r="473">
          <cell r="A473" t="str">
            <v>ST340823A122041D68</v>
          </cell>
          <cell r="B473" t="str">
            <v>ST340823A</v>
          </cell>
          <cell r="C473" t="str">
            <v>122041D</v>
          </cell>
          <cell r="D473" t="str">
            <v>122041D</v>
          </cell>
          <cell r="E473" t="str">
            <v>U5 40GB ULTRA ATA/100</v>
          </cell>
          <cell r="F473">
            <v>68</v>
          </cell>
          <cell r="G473">
            <v>4839.3599999999997</v>
          </cell>
          <cell r="H473">
            <v>1</v>
          </cell>
          <cell r="I473">
            <v>4839.3599999999997</v>
          </cell>
          <cell r="L473">
            <v>4839.3599999999997</v>
          </cell>
          <cell r="M473">
            <v>4925.7536888372861</v>
          </cell>
          <cell r="O473">
            <v>4900</v>
          </cell>
          <cell r="P473">
            <v>4900</v>
          </cell>
        </row>
        <row r="474">
          <cell r="A474" t="str">
            <v>ST340823A122041R48</v>
          </cell>
          <cell r="B474" t="str">
            <v>ST340823A</v>
          </cell>
          <cell r="C474" t="str">
            <v>122041R</v>
          </cell>
          <cell r="D474" t="str">
            <v>122041R</v>
          </cell>
          <cell r="E474" t="str">
            <v>U5 40GB ULTRA ATA/100</v>
          </cell>
          <cell r="F474">
            <v>48</v>
          </cell>
          <cell r="G474">
            <v>0.56999999999999995</v>
          </cell>
          <cell r="J474">
            <v>2</v>
          </cell>
          <cell r="K474">
            <v>1.1399999999999999</v>
          </cell>
          <cell r="L474">
            <v>0.56999999999999995</v>
          </cell>
          <cell r="O474">
            <v>4900</v>
          </cell>
          <cell r="P474">
            <v>9800</v>
          </cell>
        </row>
        <row r="475">
          <cell r="A475" t="str">
            <v>ST340823A122041X19</v>
          </cell>
          <cell r="B475" t="str">
            <v>ST340823A</v>
          </cell>
          <cell r="C475" t="str">
            <v>122041X</v>
          </cell>
          <cell r="D475" t="str">
            <v>122041X</v>
          </cell>
          <cell r="E475" t="str">
            <v>U5 40GB ULTRA ATA/100.*****.**</v>
          </cell>
          <cell r="F475">
            <v>19</v>
          </cell>
          <cell r="G475">
            <v>0</v>
          </cell>
          <cell r="H475">
            <v>7</v>
          </cell>
          <cell r="J475">
            <v>16</v>
          </cell>
          <cell r="L475">
            <v>0</v>
          </cell>
          <cell r="O475">
            <v>4900</v>
          </cell>
          <cell r="P475">
            <v>112700</v>
          </cell>
        </row>
        <row r="476">
          <cell r="A476" t="str">
            <v>ST340824A122036D18</v>
          </cell>
          <cell r="B476" t="str">
            <v>ST340824A</v>
          </cell>
          <cell r="C476" t="str">
            <v>122036D</v>
          </cell>
          <cell r="D476" t="str">
            <v>122036D</v>
          </cell>
          <cell r="E476" t="str">
            <v>BARRACUDA 40GB ULTRA ATA-III</v>
          </cell>
          <cell r="F476">
            <v>18</v>
          </cell>
          <cell r="G476">
            <v>7485.67</v>
          </cell>
          <cell r="J476">
            <v>1</v>
          </cell>
          <cell r="K476">
            <v>7485.67</v>
          </cell>
          <cell r="L476">
            <v>7485.67</v>
          </cell>
          <cell r="M476">
            <v>6900</v>
          </cell>
          <cell r="O476">
            <v>7400</v>
          </cell>
          <cell r="P476">
            <v>7400</v>
          </cell>
        </row>
        <row r="477">
          <cell r="A477" t="str">
            <v>ST340824A122036X19</v>
          </cell>
          <cell r="B477" t="str">
            <v>ST340824A</v>
          </cell>
          <cell r="C477" t="str">
            <v>122036X</v>
          </cell>
          <cell r="D477" t="str">
            <v>122036X</v>
          </cell>
          <cell r="E477" t="str">
            <v>BARRACUDA 40GB ULTRA ATA-III**</v>
          </cell>
          <cell r="F477">
            <v>19</v>
          </cell>
          <cell r="G477">
            <v>0</v>
          </cell>
          <cell r="J477">
            <v>1</v>
          </cell>
          <cell r="L477">
            <v>0</v>
          </cell>
          <cell r="O477">
            <v>8000</v>
          </cell>
          <cell r="P477">
            <v>8000</v>
          </cell>
        </row>
        <row r="478">
          <cell r="A478" t="str">
            <v>ST34311A12200158</v>
          </cell>
          <cell r="B478" t="str">
            <v>ST34311A</v>
          </cell>
          <cell r="C478" t="str">
            <v>122001</v>
          </cell>
          <cell r="D478" t="str">
            <v>122001</v>
          </cell>
          <cell r="E478" t="str">
            <v>U4 4.3GB IDE ULTRA ATA/66</v>
          </cell>
          <cell r="F478">
            <v>58</v>
          </cell>
          <cell r="G478">
            <v>4012.48</v>
          </cell>
          <cell r="J478">
            <v>1</v>
          </cell>
          <cell r="K478">
            <v>4012.48</v>
          </cell>
          <cell r="L478">
            <v>4012.48</v>
          </cell>
          <cell r="N478">
            <v>4012.48</v>
          </cell>
          <cell r="O478">
            <v>1650</v>
          </cell>
          <cell r="P478">
            <v>1650</v>
          </cell>
        </row>
        <row r="479">
          <cell r="A479" t="str">
            <v>ST34311A122001X19</v>
          </cell>
          <cell r="B479" t="str">
            <v>ST34311A</v>
          </cell>
          <cell r="C479" t="str">
            <v>122001X</v>
          </cell>
          <cell r="D479" t="str">
            <v>122001X</v>
          </cell>
          <cell r="E479" t="str">
            <v>U4 4.3GB IDE ULTRA ATA/66</v>
          </cell>
          <cell r="F479">
            <v>19</v>
          </cell>
          <cell r="G479">
            <v>0</v>
          </cell>
          <cell r="J479">
            <v>52</v>
          </cell>
          <cell r="L479">
            <v>0</v>
          </cell>
          <cell r="M479">
            <v>100</v>
          </cell>
          <cell r="N479">
            <v>4012.48</v>
          </cell>
          <cell r="O479">
            <v>1650</v>
          </cell>
          <cell r="P479">
            <v>85800</v>
          </cell>
        </row>
        <row r="480">
          <cell r="A480" t="str">
            <v>ST34313A122017R18</v>
          </cell>
          <cell r="B480" t="str">
            <v>ST34313A</v>
          </cell>
          <cell r="C480" t="str">
            <v>122017R</v>
          </cell>
          <cell r="D480" t="str">
            <v>122017R</v>
          </cell>
          <cell r="E480" t="str">
            <v>4.3GB U8 IDE 3.5LP 10.5MS 5400</v>
          </cell>
          <cell r="F480">
            <v>18</v>
          </cell>
          <cell r="G480">
            <v>533.25</v>
          </cell>
          <cell r="J480">
            <v>5</v>
          </cell>
          <cell r="K480">
            <v>2666.25</v>
          </cell>
          <cell r="L480">
            <v>533.25</v>
          </cell>
          <cell r="M480">
            <v>1871.4689265536724</v>
          </cell>
          <cell r="O480">
            <v>1800</v>
          </cell>
          <cell r="P480">
            <v>9000</v>
          </cell>
        </row>
        <row r="481">
          <cell r="A481" t="str">
            <v>ST34313A122017X19</v>
          </cell>
          <cell r="B481" t="str">
            <v>ST34313A</v>
          </cell>
          <cell r="C481" t="str">
            <v>122017X</v>
          </cell>
          <cell r="D481" t="str">
            <v>122017X</v>
          </cell>
          <cell r="E481" t="str">
            <v>U8 4.3GB IDE ULTRA ATA/66</v>
          </cell>
          <cell r="F481">
            <v>19</v>
          </cell>
          <cell r="G481">
            <v>0</v>
          </cell>
          <cell r="J481">
            <v>6</v>
          </cell>
          <cell r="L481">
            <v>0</v>
          </cell>
          <cell r="O481">
            <v>1650</v>
          </cell>
          <cell r="P481">
            <v>9900</v>
          </cell>
        </row>
        <row r="482">
          <cell r="A482" t="str">
            <v>ST34520LW122004R18</v>
          </cell>
          <cell r="B482" t="str">
            <v>ST34520LW</v>
          </cell>
          <cell r="C482" t="str">
            <v>122004R</v>
          </cell>
          <cell r="D482" t="str">
            <v>122004R</v>
          </cell>
          <cell r="E482" t="str">
            <v>MEDALIST PRO 4.5GB ULTRA 2 SCSI</v>
          </cell>
          <cell r="F482">
            <v>18</v>
          </cell>
          <cell r="G482">
            <v>1231.6199999999999</v>
          </cell>
          <cell r="J482">
            <v>1</v>
          </cell>
          <cell r="K482">
            <v>1231.6199999999999</v>
          </cell>
          <cell r="L482">
            <v>1231.6199999999999</v>
          </cell>
          <cell r="O482">
            <v>5000</v>
          </cell>
          <cell r="P482">
            <v>5000</v>
          </cell>
        </row>
        <row r="483">
          <cell r="A483" t="str">
            <v>ST38410A12201118</v>
          </cell>
          <cell r="B483" t="str">
            <v>ST38410A</v>
          </cell>
          <cell r="C483" t="str">
            <v>122011</v>
          </cell>
          <cell r="D483" t="str">
            <v>122011</v>
          </cell>
          <cell r="E483" t="str">
            <v>U8 8.4GB IDE ULTRA ATA/66</v>
          </cell>
          <cell r="F483">
            <v>18</v>
          </cell>
          <cell r="G483">
            <v>4492.04</v>
          </cell>
          <cell r="J483">
            <v>12</v>
          </cell>
          <cell r="K483">
            <v>53904.53</v>
          </cell>
          <cell r="L483">
            <v>4492.04</v>
          </cell>
          <cell r="M483">
            <v>4850</v>
          </cell>
          <cell r="N483">
            <v>4492.04</v>
          </cell>
          <cell r="O483">
            <v>1950</v>
          </cell>
          <cell r="P483">
            <v>23400</v>
          </cell>
        </row>
        <row r="484">
          <cell r="A484" t="str">
            <v>ST38410A122011R18</v>
          </cell>
          <cell r="B484" t="str">
            <v>ST38410A</v>
          </cell>
          <cell r="C484" t="str">
            <v>122011R</v>
          </cell>
          <cell r="D484" t="str">
            <v>122011R</v>
          </cell>
          <cell r="E484" t="str">
            <v>8.4GB IDE 3.5LP 10.5MS 5400 RP</v>
          </cell>
          <cell r="F484">
            <v>18</v>
          </cell>
          <cell r="G484">
            <v>594</v>
          </cell>
          <cell r="J484">
            <v>6</v>
          </cell>
          <cell r="K484">
            <v>3563.99</v>
          </cell>
          <cell r="L484">
            <v>594</v>
          </cell>
          <cell r="M484">
            <v>2429.3397305022459</v>
          </cell>
          <cell r="N484">
            <v>4492.04</v>
          </cell>
          <cell r="O484">
            <v>1950</v>
          </cell>
          <cell r="P484">
            <v>11700</v>
          </cell>
        </row>
        <row r="485">
          <cell r="A485" t="str">
            <v>ST38410A122011R48</v>
          </cell>
          <cell r="B485" t="str">
            <v>ST38410A</v>
          </cell>
          <cell r="C485" t="str">
            <v>122011R</v>
          </cell>
          <cell r="D485" t="str">
            <v>122011R</v>
          </cell>
          <cell r="E485" t="str">
            <v>8.4GB IDE 3.5LP 10.5MS 5400 RP</v>
          </cell>
          <cell r="F485">
            <v>48</v>
          </cell>
          <cell r="G485">
            <v>594</v>
          </cell>
          <cell r="J485">
            <v>17</v>
          </cell>
          <cell r="K485">
            <v>10097.99</v>
          </cell>
          <cell r="L485">
            <v>594</v>
          </cell>
          <cell r="M485">
            <v>2429.3397305022459</v>
          </cell>
          <cell r="N485">
            <v>4492.04</v>
          </cell>
          <cell r="O485">
            <v>1950</v>
          </cell>
          <cell r="P485">
            <v>33150</v>
          </cell>
        </row>
        <row r="486">
          <cell r="A486" t="str">
            <v>ST38410A122011X19</v>
          </cell>
          <cell r="B486" t="str">
            <v>ST38410A</v>
          </cell>
          <cell r="C486" t="str">
            <v>122011X</v>
          </cell>
          <cell r="D486" t="str">
            <v>122011X</v>
          </cell>
          <cell r="E486" t="str">
            <v>U8 8.4GB IDE ULTRA ATA/66</v>
          </cell>
          <cell r="F486">
            <v>19</v>
          </cell>
          <cell r="G486">
            <v>0</v>
          </cell>
          <cell r="J486">
            <v>253</v>
          </cell>
          <cell r="L486">
            <v>0</v>
          </cell>
          <cell r="N486">
            <v>4492.04</v>
          </cell>
          <cell r="O486">
            <v>1950</v>
          </cell>
          <cell r="P486">
            <v>493350</v>
          </cell>
        </row>
        <row r="487">
          <cell r="A487" t="str">
            <v>ST38421A122003X19</v>
          </cell>
          <cell r="B487" t="str">
            <v>ST38421A</v>
          </cell>
          <cell r="C487" t="str">
            <v>122003X</v>
          </cell>
          <cell r="D487" t="str">
            <v>122003X</v>
          </cell>
          <cell r="E487" t="str">
            <v>U4 8.4GB IDE ULTRA ATA/66</v>
          </cell>
          <cell r="F487">
            <v>19</v>
          </cell>
          <cell r="G487">
            <v>0</v>
          </cell>
          <cell r="J487">
            <v>25</v>
          </cell>
          <cell r="L487">
            <v>0</v>
          </cell>
          <cell r="O487">
            <v>1950</v>
          </cell>
          <cell r="P487">
            <v>48750</v>
          </cell>
        </row>
        <row r="488">
          <cell r="A488" t="str">
            <v>ST39102LW/LC122014R18</v>
          </cell>
          <cell r="B488" t="str">
            <v>ST39102LW/LC</v>
          </cell>
          <cell r="C488" t="str">
            <v>122014R</v>
          </cell>
          <cell r="D488" t="str">
            <v>122014R</v>
          </cell>
          <cell r="E488" t="str">
            <v>9.1GB ULTRAWIDE SCSI 10000 RPM</v>
          </cell>
          <cell r="F488">
            <v>18</v>
          </cell>
          <cell r="G488">
            <v>2022.32</v>
          </cell>
          <cell r="J488">
            <v>12</v>
          </cell>
          <cell r="K488">
            <v>24267.85</v>
          </cell>
          <cell r="L488">
            <v>2022.32</v>
          </cell>
          <cell r="N488">
            <v>1579.99</v>
          </cell>
          <cell r="O488">
            <v>15000</v>
          </cell>
          <cell r="P488">
            <v>180000</v>
          </cell>
        </row>
        <row r="489">
          <cell r="A489" t="str">
            <v>ST39102LW122014E18</v>
          </cell>
          <cell r="B489" t="str">
            <v>ST39102LW</v>
          </cell>
          <cell r="C489" t="str">
            <v>122014E</v>
          </cell>
          <cell r="D489" t="str">
            <v>122014E</v>
          </cell>
          <cell r="E489" t="str">
            <v>CHEETAH 9.1GB ULTRA 2 SCSI</v>
          </cell>
          <cell r="F489">
            <v>18</v>
          </cell>
          <cell r="G489">
            <v>1579.99</v>
          </cell>
          <cell r="J489">
            <v>4</v>
          </cell>
          <cell r="K489">
            <v>6319.97</v>
          </cell>
          <cell r="L489">
            <v>1579.99</v>
          </cell>
          <cell r="N489">
            <v>1579.99</v>
          </cell>
          <cell r="O489">
            <v>15000</v>
          </cell>
          <cell r="P489">
            <v>60000</v>
          </cell>
        </row>
        <row r="490">
          <cell r="A490" t="str">
            <v>ST39140LW122023R18</v>
          </cell>
          <cell r="B490" t="str">
            <v>ST39140LW</v>
          </cell>
          <cell r="C490" t="str">
            <v>122023R</v>
          </cell>
          <cell r="D490" t="str">
            <v>122023R</v>
          </cell>
          <cell r="E490" t="str">
            <v>MEDALIST PRO 9.1GB ULTRA 2 SCSI</v>
          </cell>
          <cell r="F490">
            <v>18</v>
          </cell>
          <cell r="G490">
            <v>1449</v>
          </cell>
          <cell r="J490">
            <v>32</v>
          </cell>
          <cell r="K490">
            <v>46368.12</v>
          </cell>
          <cell r="L490">
            <v>1449</v>
          </cell>
          <cell r="O490">
            <v>9000</v>
          </cell>
          <cell r="P490">
            <v>288000</v>
          </cell>
        </row>
        <row r="491">
          <cell r="A491" t="str">
            <v>ST39140LW122023X19</v>
          </cell>
          <cell r="B491" t="str">
            <v>ST39140LW</v>
          </cell>
          <cell r="C491" t="str">
            <v>122023X</v>
          </cell>
          <cell r="D491" t="str">
            <v>122023X</v>
          </cell>
          <cell r="E491" t="str">
            <v>MEDALIST PRO 9.1GB ULTRA 2 SCSI</v>
          </cell>
          <cell r="F491">
            <v>19</v>
          </cell>
          <cell r="G491">
            <v>0</v>
          </cell>
          <cell r="H491">
            <v>1</v>
          </cell>
          <cell r="L491">
            <v>0</v>
          </cell>
          <cell r="O491">
            <v>9000</v>
          </cell>
          <cell r="P491">
            <v>9000</v>
          </cell>
        </row>
        <row r="492">
          <cell r="A492" t="str">
            <v>ST39175LW122005E18</v>
          </cell>
          <cell r="B492" t="str">
            <v>ST39175LW</v>
          </cell>
          <cell r="C492" t="str">
            <v>122005E</v>
          </cell>
          <cell r="D492" t="str">
            <v>122005E</v>
          </cell>
          <cell r="E492" t="str">
            <v>BARRACUDA 9.1GB ULTRA 2 SCSI</v>
          </cell>
          <cell r="F492">
            <v>18</v>
          </cell>
          <cell r="G492">
            <v>2123.0100000000002</v>
          </cell>
          <cell r="J492">
            <v>8</v>
          </cell>
          <cell r="K492">
            <v>16984.04</v>
          </cell>
          <cell r="L492">
            <v>2123.0100000000002</v>
          </cell>
          <cell r="N492">
            <v>2123.0100000000002</v>
          </cell>
          <cell r="O492">
            <v>10000</v>
          </cell>
          <cell r="P492">
            <v>80000</v>
          </cell>
        </row>
        <row r="493">
          <cell r="A493" t="str">
            <v>ST39175LW122005R18</v>
          </cell>
          <cell r="B493" t="str">
            <v>ST39175LW</v>
          </cell>
          <cell r="C493" t="str">
            <v>122005R</v>
          </cell>
          <cell r="D493" t="str">
            <v>122005R</v>
          </cell>
          <cell r="E493" t="str">
            <v>9.1GB ULTRA SCSI 3.5LP 7.1MS 7</v>
          </cell>
          <cell r="F493">
            <v>18</v>
          </cell>
          <cell r="G493">
            <v>1517.49</v>
          </cell>
          <cell r="J493">
            <v>9</v>
          </cell>
          <cell r="K493">
            <v>13657.44</v>
          </cell>
          <cell r="L493">
            <v>1517.49</v>
          </cell>
          <cell r="N493">
            <v>2123.0100000000002</v>
          </cell>
          <cell r="O493">
            <v>7000</v>
          </cell>
          <cell r="P493">
            <v>63000</v>
          </cell>
        </row>
        <row r="494">
          <cell r="A494" t="str">
            <v>ST39236LC12203368</v>
          </cell>
          <cell r="B494" t="str">
            <v>ST39236LC</v>
          </cell>
          <cell r="C494" t="str">
            <v>122033</v>
          </cell>
          <cell r="D494" t="str">
            <v>122033</v>
          </cell>
          <cell r="E494" t="str">
            <v>BARRACUDA 9.1GB ULTRA SCA</v>
          </cell>
          <cell r="F494">
            <v>68</v>
          </cell>
          <cell r="G494">
            <v>10652.55</v>
          </cell>
          <cell r="J494">
            <v>1</v>
          </cell>
          <cell r="K494">
            <v>10652.55</v>
          </cell>
          <cell r="L494">
            <v>10652.55</v>
          </cell>
          <cell r="M494">
            <v>11509.259259259259</v>
          </cell>
          <cell r="N494">
            <v>10652.55</v>
          </cell>
          <cell r="O494">
            <v>8000</v>
          </cell>
          <cell r="P494">
            <v>8000</v>
          </cell>
        </row>
        <row r="495">
          <cell r="A495" t="str">
            <v>ST39236LC122033R18</v>
          </cell>
          <cell r="B495" t="str">
            <v>ST39236LC</v>
          </cell>
          <cell r="C495" t="str">
            <v>122033R</v>
          </cell>
          <cell r="D495" t="str">
            <v>122033R</v>
          </cell>
          <cell r="E495" t="str">
            <v>BARRACUDA 9.1GB ULTRA SCA</v>
          </cell>
          <cell r="F495">
            <v>18</v>
          </cell>
          <cell r="G495">
            <v>1479.64</v>
          </cell>
          <cell r="J495">
            <v>3</v>
          </cell>
          <cell r="K495">
            <v>4438.92</v>
          </cell>
          <cell r="L495">
            <v>1479.64</v>
          </cell>
          <cell r="N495">
            <v>10652.55</v>
          </cell>
          <cell r="O495">
            <v>8000</v>
          </cell>
          <cell r="P495">
            <v>24000</v>
          </cell>
        </row>
        <row r="496">
          <cell r="A496" t="str">
            <v>ST39236LW122032R18</v>
          </cell>
          <cell r="B496" t="str">
            <v>ST39236LW</v>
          </cell>
          <cell r="C496" t="str">
            <v>122032R</v>
          </cell>
          <cell r="D496" t="str">
            <v>122032R</v>
          </cell>
          <cell r="E496" t="str">
            <v>BARRACUDA 9.1GB ULTRA SCSI</v>
          </cell>
          <cell r="F496">
            <v>18</v>
          </cell>
          <cell r="G496">
            <v>1622.69</v>
          </cell>
          <cell r="J496">
            <v>4</v>
          </cell>
          <cell r="K496">
            <v>6490.74</v>
          </cell>
          <cell r="L496">
            <v>1622.69</v>
          </cell>
          <cell r="O496">
            <v>8000</v>
          </cell>
          <cell r="P496">
            <v>32000</v>
          </cell>
        </row>
        <row r="497">
          <cell r="A497" t="str">
            <v>SU1000INET102011PY58</v>
          </cell>
          <cell r="B497" t="str">
            <v>SU1000INET</v>
          </cell>
          <cell r="C497" t="str">
            <v>102011PY</v>
          </cell>
          <cell r="D497" t="str">
            <v>102011PY</v>
          </cell>
          <cell r="E497" t="str">
            <v>APC SMART UP 1000LINE INTERACTI</v>
          </cell>
          <cell r="F497">
            <v>58</v>
          </cell>
          <cell r="G497">
            <v>17984.849999999999</v>
          </cell>
          <cell r="J497">
            <v>1</v>
          </cell>
          <cell r="K497">
            <v>17984.849999999999</v>
          </cell>
          <cell r="L497">
            <v>17984.849999999999</v>
          </cell>
          <cell r="M497">
            <v>17890.048192771083</v>
          </cell>
          <cell r="N497">
            <v>17984.849999999999</v>
          </cell>
          <cell r="O497">
            <v>17900</v>
          </cell>
          <cell r="P497">
            <v>17900</v>
          </cell>
        </row>
        <row r="498">
          <cell r="A498" t="str">
            <v>SU700INET102010R58</v>
          </cell>
          <cell r="B498" t="str">
            <v>SU700INET</v>
          </cell>
          <cell r="C498" t="str">
            <v>102010R</v>
          </cell>
          <cell r="D498" t="str">
            <v>102010R</v>
          </cell>
          <cell r="E498" t="str">
            <v>APC SMART UP 700 LINE INTERACTI</v>
          </cell>
          <cell r="F498">
            <v>58</v>
          </cell>
          <cell r="G498">
            <v>0.01</v>
          </cell>
          <cell r="J498">
            <v>1</v>
          </cell>
          <cell r="K498">
            <v>0.01</v>
          </cell>
          <cell r="L498">
            <v>0.01</v>
          </cell>
          <cell r="O498">
            <v>5000</v>
          </cell>
          <cell r="P498">
            <v>5000</v>
          </cell>
        </row>
        <row r="499">
          <cell r="A499" t="str">
            <v>TDC3720124054R18</v>
          </cell>
          <cell r="B499" t="str">
            <v>TDC3720</v>
          </cell>
          <cell r="C499" t="str">
            <v>124054R</v>
          </cell>
          <cell r="D499" t="str">
            <v>124054R</v>
          </cell>
          <cell r="E499" t="str">
            <v>REF MINI PANTHER CTD</v>
          </cell>
          <cell r="F499">
            <v>18</v>
          </cell>
          <cell r="G499">
            <v>0.01</v>
          </cell>
          <cell r="J499">
            <v>1</v>
          </cell>
          <cell r="K499">
            <v>0.01</v>
          </cell>
          <cell r="L499">
            <v>0.01</v>
          </cell>
          <cell r="O499">
            <v>5000</v>
          </cell>
          <cell r="P499">
            <v>5000</v>
          </cell>
        </row>
        <row r="500">
          <cell r="A500" t="str">
            <v>TN-1513603418</v>
          </cell>
          <cell r="B500" t="str">
            <v>TN-15</v>
          </cell>
          <cell r="C500" t="str">
            <v>136034</v>
          </cell>
          <cell r="D500" t="str">
            <v>136034</v>
          </cell>
          <cell r="E500" t="str">
            <v>VESTA PENTIUM 4 CHASSIS</v>
          </cell>
          <cell r="F500">
            <v>18</v>
          </cell>
          <cell r="G500">
            <v>2340.36</v>
          </cell>
          <cell r="J500">
            <v>7</v>
          </cell>
          <cell r="K500">
            <v>16382.52</v>
          </cell>
          <cell r="L500">
            <v>2340.36</v>
          </cell>
          <cell r="M500">
            <v>3291.0033296337401</v>
          </cell>
          <cell r="N500">
            <v>2340.36</v>
          </cell>
          <cell r="O500">
            <v>2800</v>
          </cell>
          <cell r="P500">
            <v>19600</v>
          </cell>
        </row>
        <row r="501">
          <cell r="A501" t="str">
            <v>TN-15136034X19</v>
          </cell>
          <cell r="B501" t="str">
            <v>TN-15</v>
          </cell>
          <cell r="C501" t="str">
            <v>136034X</v>
          </cell>
          <cell r="D501" t="str">
            <v>136034X</v>
          </cell>
          <cell r="E501" t="str">
            <v>VESTA PENTIUM 4 CHASIS*****.**</v>
          </cell>
          <cell r="F501">
            <v>19</v>
          </cell>
          <cell r="G501">
            <v>0</v>
          </cell>
          <cell r="J501">
            <v>3</v>
          </cell>
          <cell r="L501">
            <v>0</v>
          </cell>
          <cell r="M501">
            <v>550</v>
          </cell>
          <cell r="N501">
            <v>2340.36</v>
          </cell>
          <cell r="O501">
            <v>200</v>
          </cell>
          <cell r="P501">
            <v>600</v>
          </cell>
        </row>
        <row r="502">
          <cell r="A502" t="str">
            <v>TN15PANEL13604348</v>
          </cell>
          <cell r="B502" t="str">
            <v>TN15PANEL</v>
          </cell>
          <cell r="C502" t="str">
            <v>136043</v>
          </cell>
          <cell r="D502" t="str">
            <v>136043</v>
          </cell>
          <cell r="E502" t="str">
            <v>FRONT PANEL FOR P4 CHASIS</v>
          </cell>
          <cell r="F502">
            <v>48</v>
          </cell>
          <cell r="G502">
            <v>7.49</v>
          </cell>
          <cell r="J502">
            <v>1</v>
          </cell>
          <cell r="K502">
            <v>7.49</v>
          </cell>
          <cell r="L502">
            <v>7.49</v>
          </cell>
          <cell r="N502">
            <v>7.49</v>
          </cell>
          <cell r="O502">
            <v>100</v>
          </cell>
          <cell r="P502">
            <v>100</v>
          </cell>
        </row>
        <row r="503">
          <cell r="A503" t="str">
            <v>TN15PANEL136045G18</v>
          </cell>
          <cell r="B503" t="str">
            <v>TN15PANEL</v>
          </cell>
          <cell r="C503" t="str">
            <v>136045G</v>
          </cell>
          <cell r="D503" t="str">
            <v>136043</v>
          </cell>
          <cell r="E503" t="str">
            <v>FRONT PANEL FOR P4 CHASIS</v>
          </cell>
          <cell r="F503">
            <v>18</v>
          </cell>
          <cell r="G503">
            <v>837.86</v>
          </cell>
          <cell r="J503">
            <v>4</v>
          </cell>
          <cell r="K503">
            <v>3351.42</v>
          </cell>
          <cell r="L503">
            <v>837.86</v>
          </cell>
          <cell r="N503">
            <v>837.86</v>
          </cell>
          <cell r="O503">
            <v>0</v>
          </cell>
          <cell r="P503">
            <v>0</v>
          </cell>
        </row>
        <row r="504">
          <cell r="A504" t="str">
            <v>TN15PANEL136045X19</v>
          </cell>
          <cell r="B504" t="str">
            <v>TN15PANEL</v>
          </cell>
          <cell r="C504" t="str">
            <v>136045X</v>
          </cell>
          <cell r="D504" t="str">
            <v>136043X</v>
          </cell>
          <cell r="E504" t="str">
            <v>FRONT PANEL FOR P4 CHASIS**.**</v>
          </cell>
          <cell r="F504">
            <v>19</v>
          </cell>
          <cell r="G504">
            <v>0</v>
          </cell>
          <cell r="H504">
            <v>1</v>
          </cell>
          <cell r="J504">
            <v>3</v>
          </cell>
          <cell r="L504">
            <v>0</v>
          </cell>
          <cell r="N504">
            <v>837.86</v>
          </cell>
          <cell r="O504">
            <v>0</v>
          </cell>
          <cell r="P504">
            <v>0</v>
          </cell>
        </row>
        <row r="505">
          <cell r="A505" t="str">
            <v>V1456VQE-R1130001P18</v>
          </cell>
          <cell r="B505" t="str">
            <v>V1456VQE-R1</v>
          </cell>
          <cell r="C505" t="str">
            <v>130001P</v>
          </cell>
          <cell r="D505" t="str">
            <v>130001P</v>
          </cell>
          <cell r="E505" t="str">
            <v>MODEM EXTERNAL 56KBPS</v>
          </cell>
          <cell r="F505">
            <v>18</v>
          </cell>
          <cell r="G505">
            <v>2503.42</v>
          </cell>
          <cell r="J505">
            <v>7</v>
          </cell>
          <cell r="K505">
            <v>17523.96</v>
          </cell>
          <cell r="L505">
            <v>2503.42</v>
          </cell>
          <cell r="M505">
            <v>2525.2702702702704</v>
          </cell>
          <cell r="N505">
            <v>2503.42</v>
          </cell>
          <cell r="O505">
            <v>1250</v>
          </cell>
          <cell r="P505">
            <v>8750</v>
          </cell>
        </row>
        <row r="506">
          <cell r="A506" t="str">
            <v>V1456VQH-P2130000K18</v>
          </cell>
          <cell r="B506" t="str">
            <v>V1456VQH-P2</v>
          </cell>
          <cell r="C506" t="str">
            <v>130000K</v>
          </cell>
          <cell r="D506" t="str">
            <v>130000K</v>
          </cell>
          <cell r="E506" t="str">
            <v>DAX MODEM 56KBPSINT</v>
          </cell>
          <cell r="F506">
            <v>18</v>
          </cell>
          <cell r="G506">
            <v>1205</v>
          </cell>
          <cell r="J506">
            <v>3</v>
          </cell>
          <cell r="K506">
            <v>3615</v>
          </cell>
          <cell r="L506">
            <v>1205</v>
          </cell>
          <cell r="N506">
            <v>1205</v>
          </cell>
          <cell r="O506">
            <v>750</v>
          </cell>
          <cell r="P506">
            <v>2250</v>
          </cell>
        </row>
        <row r="507">
          <cell r="A507" t="str">
            <v>V1456VQH-P2130000P18</v>
          </cell>
          <cell r="B507" t="str">
            <v>V1456VQH-P2</v>
          </cell>
          <cell r="C507" t="str">
            <v>130000P</v>
          </cell>
          <cell r="D507" t="str">
            <v>130000P</v>
          </cell>
          <cell r="E507" t="str">
            <v>MODEM INTERNAL 56KBPS</v>
          </cell>
          <cell r="F507">
            <v>18</v>
          </cell>
          <cell r="G507">
            <v>806</v>
          </cell>
          <cell r="J507">
            <v>7</v>
          </cell>
          <cell r="K507">
            <v>5642</v>
          </cell>
          <cell r="L507">
            <v>806</v>
          </cell>
          <cell r="M507">
            <v>746.09990476190478</v>
          </cell>
          <cell r="N507">
            <v>806</v>
          </cell>
          <cell r="O507">
            <v>750</v>
          </cell>
          <cell r="P507">
            <v>5250</v>
          </cell>
        </row>
        <row r="508">
          <cell r="A508" t="str">
            <v>V1456VQH-P2130000R18</v>
          </cell>
          <cell r="B508" t="str">
            <v>V1456VQH-P2</v>
          </cell>
          <cell r="C508" t="str">
            <v>130000R</v>
          </cell>
          <cell r="D508" t="str">
            <v>130000R</v>
          </cell>
          <cell r="E508" t="str">
            <v>DAX MODEM 56KBPSINT</v>
          </cell>
          <cell r="F508">
            <v>18</v>
          </cell>
          <cell r="G508">
            <v>0.21</v>
          </cell>
          <cell r="J508">
            <v>7</v>
          </cell>
          <cell r="K508">
            <v>1.46</v>
          </cell>
          <cell r="L508">
            <v>0.21</v>
          </cell>
          <cell r="N508">
            <v>1205</v>
          </cell>
          <cell r="O508">
            <v>750</v>
          </cell>
          <cell r="P508">
            <v>5250</v>
          </cell>
        </row>
        <row r="509">
          <cell r="A509" t="str">
            <v>VIC-2FXO=104149R18</v>
          </cell>
          <cell r="B509" t="str">
            <v>VIC-2FXO=</v>
          </cell>
          <cell r="C509" t="str">
            <v>104149R</v>
          </cell>
          <cell r="D509" t="str">
            <v>104149R</v>
          </cell>
          <cell r="E509" t="str">
            <v>2 PORT VOICE INTERFACE CARD.**</v>
          </cell>
          <cell r="F509">
            <v>18</v>
          </cell>
          <cell r="G509">
            <v>0.65</v>
          </cell>
          <cell r="J509">
            <v>1</v>
          </cell>
          <cell r="K509">
            <v>0.65</v>
          </cell>
          <cell r="L509">
            <v>0.65</v>
          </cell>
          <cell r="O509">
            <v>13000</v>
          </cell>
          <cell r="P509">
            <v>13000</v>
          </cell>
        </row>
        <row r="510">
          <cell r="A510" t="str">
            <v>VMB0-10213600118</v>
          </cell>
          <cell r="B510" t="str">
            <v>VMB0-102</v>
          </cell>
          <cell r="C510" t="str">
            <v>136001</v>
          </cell>
          <cell r="D510" t="str">
            <v>136001</v>
          </cell>
          <cell r="E510" t="str">
            <v>VESTA INTEL 810 CHIPSET FCPGA*</v>
          </cell>
          <cell r="F510">
            <v>18</v>
          </cell>
          <cell r="G510">
            <v>2728.67</v>
          </cell>
          <cell r="J510">
            <v>7</v>
          </cell>
          <cell r="K510">
            <v>19100.689999999999</v>
          </cell>
          <cell r="L510">
            <v>2728.67</v>
          </cell>
          <cell r="M510">
            <v>3025.314508524325</v>
          </cell>
          <cell r="N510">
            <v>2728.67</v>
          </cell>
          <cell r="O510">
            <v>2500</v>
          </cell>
          <cell r="P510">
            <v>17500</v>
          </cell>
        </row>
        <row r="511">
          <cell r="A511" t="str">
            <v>VMB0-10213600168</v>
          </cell>
          <cell r="B511" t="str">
            <v>VMB0-102</v>
          </cell>
          <cell r="C511" t="str">
            <v>136001</v>
          </cell>
          <cell r="D511" t="str">
            <v>136001</v>
          </cell>
          <cell r="E511" t="str">
            <v>VESTA INTEL 810 CHIPSET FCPGA*</v>
          </cell>
          <cell r="F511">
            <v>68</v>
          </cell>
          <cell r="G511">
            <v>2728.67</v>
          </cell>
          <cell r="H511">
            <v>1</v>
          </cell>
          <cell r="I511">
            <v>2728.67</v>
          </cell>
          <cell r="L511">
            <v>2728.67</v>
          </cell>
          <cell r="M511">
            <v>3025.314508524325</v>
          </cell>
          <cell r="N511">
            <v>2728.67</v>
          </cell>
          <cell r="O511">
            <v>2500</v>
          </cell>
          <cell r="P511">
            <v>2500</v>
          </cell>
        </row>
        <row r="512">
          <cell r="A512" t="str">
            <v>VMB0-102136001A18</v>
          </cell>
          <cell r="B512" t="str">
            <v>VMB0-102</v>
          </cell>
          <cell r="C512" t="str">
            <v>136001A</v>
          </cell>
          <cell r="D512" t="str">
            <v>136001A</v>
          </cell>
          <cell r="E512" t="str">
            <v>VESTA INTEL 810 CHIPSET FCPGA*</v>
          </cell>
          <cell r="F512">
            <v>18</v>
          </cell>
          <cell r="G512">
            <v>3740.28</v>
          </cell>
          <cell r="J512">
            <v>6</v>
          </cell>
          <cell r="K512">
            <v>22441.68</v>
          </cell>
          <cell r="L512">
            <v>3740.28</v>
          </cell>
          <cell r="N512">
            <v>3740.28</v>
          </cell>
          <cell r="O512">
            <v>2500</v>
          </cell>
          <cell r="P512">
            <v>15000</v>
          </cell>
        </row>
        <row r="513">
          <cell r="A513" t="str">
            <v>VMB0-102136001B18</v>
          </cell>
          <cell r="B513" t="str">
            <v>VMB0-102</v>
          </cell>
          <cell r="C513" t="str">
            <v>136001B</v>
          </cell>
          <cell r="D513" t="str">
            <v>136001B</v>
          </cell>
          <cell r="E513" t="str">
            <v>VESTA INTEL 810 CHIPSET FCPGA*</v>
          </cell>
          <cell r="F513">
            <v>18</v>
          </cell>
          <cell r="G513">
            <v>3740.28</v>
          </cell>
          <cell r="J513">
            <v>6</v>
          </cell>
          <cell r="K513">
            <v>22441.68</v>
          </cell>
          <cell r="L513">
            <v>3740.28</v>
          </cell>
          <cell r="N513">
            <v>3740.28</v>
          </cell>
          <cell r="O513">
            <v>2500</v>
          </cell>
          <cell r="P513">
            <v>15000</v>
          </cell>
        </row>
        <row r="514">
          <cell r="A514" t="str">
            <v>VMB0-102136001C18</v>
          </cell>
          <cell r="B514" t="str">
            <v>VMB0-102</v>
          </cell>
          <cell r="C514" t="str">
            <v>136001C</v>
          </cell>
          <cell r="D514" t="str">
            <v>136001C</v>
          </cell>
          <cell r="E514" t="str">
            <v>VESTA INTEL 810 CHIPSET FCPGA*</v>
          </cell>
          <cell r="F514">
            <v>18</v>
          </cell>
          <cell r="G514">
            <v>3740.28</v>
          </cell>
          <cell r="J514">
            <v>6</v>
          </cell>
          <cell r="K514">
            <v>22441.68</v>
          </cell>
          <cell r="L514">
            <v>3740.28</v>
          </cell>
          <cell r="N514">
            <v>3740.28</v>
          </cell>
          <cell r="O514">
            <v>2500</v>
          </cell>
          <cell r="P514">
            <v>15000</v>
          </cell>
        </row>
        <row r="515">
          <cell r="A515" t="str">
            <v>VMB0-102136001G18</v>
          </cell>
          <cell r="B515" t="str">
            <v>VMB0-102</v>
          </cell>
          <cell r="C515" t="str">
            <v>136001G</v>
          </cell>
          <cell r="D515" t="str">
            <v>136001G</v>
          </cell>
          <cell r="E515" t="str">
            <v>VESTA INTEL 810 CHIPSET FCPGA*</v>
          </cell>
          <cell r="F515">
            <v>18</v>
          </cell>
          <cell r="G515">
            <v>798.45</v>
          </cell>
          <cell r="J515">
            <v>7</v>
          </cell>
          <cell r="K515">
            <v>5589.16</v>
          </cell>
          <cell r="L515">
            <v>798.45</v>
          </cell>
          <cell r="N515">
            <v>798.45</v>
          </cell>
          <cell r="O515">
            <v>2500</v>
          </cell>
          <cell r="P515">
            <v>17500</v>
          </cell>
        </row>
        <row r="516">
          <cell r="A516" t="str">
            <v>VMB0-102136001G58</v>
          </cell>
          <cell r="B516" t="str">
            <v>VMB0-102</v>
          </cell>
          <cell r="C516" t="str">
            <v>136001G</v>
          </cell>
          <cell r="D516" t="str">
            <v>136001G</v>
          </cell>
          <cell r="E516" t="str">
            <v>VESTA INTEL 810 CHIPSET FCPGA*</v>
          </cell>
          <cell r="F516">
            <v>58</v>
          </cell>
          <cell r="G516">
            <v>798.45</v>
          </cell>
          <cell r="J516">
            <v>12</v>
          </cell>
          <cell r="K516">
            <v>9581.42</v>
          </cell>
          <cell r="L516">
            <v>798.45</v>
          </cell>
          <cell r="N516">
            <v>798.45</v>
          </cell>
          <cell r="O516">
            <v>2500</v>
          </cell>
          <cell r="P516">
            <v>30000</v>
          </cell>
        </row>
        <row r="517">
          <cell r="A517" t="str">
            <v>VMB0-102136001G68</v>
          </cell>
          <cell r="B517" t="str">
            <v>VMB0-102</v>
          </cell>
          <cell r="C517" t="str">
            <v>136001G</v>
          </cell>
          <cell r="D517" t="str">
            <v>136001G</v>
          </cell>
          <cell r="E517" t="str">
            <v>VESTA INTEL 810 CHIPSET FCPGA*</v>
          </cell>
          <cell r="F517">
            <v>68</v>
          </cell>
          <cell r="G517">
            <v>798.45</v>
          </cell>
          <cell r="J517">
            <v>6</v>
          </cell>
          <cell r="K517">
            <v>4790.71</v>
          </cell>
          <cell r="L517">
            <v>798.45</v>
          </cell>
          <cell r="N517">
            <v>798.45</v>
          </cell>
          <cell r="O517">
            <v>2500</v>
          </cell>
          <cell r="P517">
            <v>15000</v>
          </cell>
        </row>
        <row r="518">
          <cell r="A518" t="str">
            <v>VMB0-102136001H18</v>
          </cell>
          <cell r="B518" t="str">
            <v>VMB0-102</v>
          </cell>
          <cell r="C518" t="str">
            <v>136001H</v>
          </cell>
          <cell r="D518" t="str">
            <v>136001H</v>
          </cell>
          <cell r="E518" t="str">
            <v>VESTA INTEL 810 CHIPSET FCPGA*</v>
          </cell>
          <cell r="F518">
            <v>18</v>
          </cell>
          <cell r="G518">
            <v>3740.28</v>
          </cell>
          <cell r="J518">
            <v>5</v>
          </cell>
          <cell r="K518">
            <v>18701.400000000001</v>
          </cell>
          <cell r="L518">
            <v>3740.28</v>
          </cell>
          <cell r="N518">
            <v>3740.28</v>
          </cell>
          <cell r="O518">
            <v>2500</v>
          </cell>
          <cell r="P518">
            <v>12500</v>
          </cell>
        </row>
        <row r="519">
          <cell r="A519" t="str">
            <v>VMB0-102136001K18</v>
          </cell>
          <cell r="B519" t="str">
            <v>VMB0-102</v>
          </cell>
          <cell r="C519" t="str">
            <v>136001K</v>
          </cell>
          <cell r="D519" t="str">
            <v>136001K</v>
          </cell>
          <cell r="E519" t="str">
            <v>VESTA INTEL 810 CHIPSET FCPGA*</v>
          </cell>
          <cell r="F519">
            <v>18</v>
          </cell>
          <cell r="G519">
            <v>3740.28</v>
          </cell>
          <cell r="J519">
            <v>5</v>
          </cell>
          <cell r="K519">
            <v>18701.400000000001</v>
          </cell>
          <cell r="L519">
            <v>3740.28</v>
          </cell>
          <cell r="N519">
            <v>3740.28</v>
          </cell>
          <cell r="O519">
            <v>2500</v>
          </cell>
          <cell r="P519">
            <v>12500</v>
          </cell>
        </row>
        <row r="520">
          <cell r="A520" t="str">
            <v>VMB0-102136001L18</v>
          </cell>
          <cell r="B520" t="str">
            <v>VMB0-102</v>
          </cell>
          <cell r="C520" t="str">
            <v>136001L</v>
          </cell>
          <cell r="D520" t="str">
            <v>136001L</v>
          </cell>
          <cell r="E520" t="str">
            <v>VESTA INTEL 810 CHIPSET FCPGA*</v>
          </cell>
          <cell r="F520">
            <v>18</v>
          </cell>
          <cell r="G520">
            <v>3740.28</v>
          </cell>
          <cell r="J520">
            <v>6</v>
          </cell>
          <cell r="K520">
            <v>22441.68</v>
          </cell>
          <cell r="L520">
            <v>3740.28</v>
          </cell>
          <cell r="N520">
            <v>3740.28</v>
          </cell>
          <cell r="O520">
            <v>2500</v>
          </cell>
          <cell r="P520">
            <v>15000</v>
          </cell>
        </row>
        <row r="521">
          <cell r="A521" t="str">
            <v>VMB0-102136001R68</v>
          </cell>
          <cell r="B521" t="str">
            <v>VMB0-102</v>
          </cell>
          <cell r="C521" t="str">
            <v>136001R</v>
          </cell>
          <cell r="D521" t="str">
            <v>136001R</v>
          </cell>
          <cell r="E521" t="str">
            <v>VESTA INTEL 810 CHIPSET FCPGA*</v>
          </cell>
          <cell r="F521">
            <v>68</v>
          </cell>
          <cell r="G521">
            <v>141.83000000000001</v>
          </cell>
          <cell r="J521">
            <v>8</v>
          </cell>
          <cell r="K521">
            <v>1134.6500000000001</v>
          </cell>
          <cell r="L521">
            <v>141.83000000000001</v>
          </cell>
          <cell r="M521">
            <v>2087.5</v>
          </cell>
          <cell r="N521">
            <v>3740.28</v>
          </cell>
          <cell r="O521">
            <v>2500</v>
          </cell>
          <cell r="P521">
            <v>20000</v>
          </cell>
        </row>
        <row r="522">
          <cell r="A522" t="str">
            <v>VMB0-102136001RR18</v>
          </cell>
          <cell r="B522" t="str">
            <v>VMB0-102</v>
          </cell>
          <cell r="C522" t="str">
            <v>136001RR</v>
          </cell>
          <cell r="D522" t="str">
            <v>136001RR</v>
          </cell>
          <cell r="E522" t="str">
            <v>VESTA INTEL 810 CHIPSET FCPGA*</v>
          </cell>
          <cell r="F522">
            <v>18</v>
          </cell>
          <cell r="G522">
            <v>230</v>
          </cell>
          <cell r="J522">
            <v>8</v>
          </cell>
          <cell r="K522">
            <v>1840.02</v>
          </cell>
          <cell r="L522">
            <v>230</v>
          </cell>
          <cell r="M522">
            <v>1473.4042553191489</v>
          </cell>
          <cell r="N522">
            <v>3740.28</v>
          </cell>
          <cell r="O522">
            <v>1500</v>
          </cell>
          <cell r="P522">
            <v>12000</v>
          </cell>
        </row>
        <row r="523">
          <cell r="A523" t="str">
            <v>VMB0-106136045X49</v>
          </cell>
          <cell r="B523" t="str">
            <v>VMB0-106</v>
          </cell>
          <cell r="C523" t="str">
            <v>136045X</v>
          </cell>
          <cell r="D523" t="str">
            <v>136045G</v>
          </cell>
          <cell r="E523" t="str">
            <v>VESTA INTEL 810E CHIPSET FCPGA</v>
          </cell>
          <cell r="F523">
            <v>49</v>
          </cell>
          <cell r="G523">
            <v>0</v>
          </cell>
          <cell r="J523">
            <v>1</v>
          </cell>
          <cell r="L523">
            <v>0</v>
          </cell>
          <cell r="N523">
            <v>837.86</v>
          </cell>
          <cell r="O523">
            <v>2700</v>
          </cell>
          <cell r="P523">
            <v>2700</v>
          </cell>
        </row>
        <row r="524">
          <cell r="A524" t="str">
            <v>VMB0-106136045X59</v>
          </cell>
          <cell r="B524" t="str">
            <v>VMB0-106</v>
          </cell>
          <cell r="C524" t="str">
            <v>136045X</v>
          </cell>
          <cell r="D524" t="str">
            <v>136045X</v>
          </cell>
          <cell r="E524" t="str">
            <v>VESTA INTEL 810E CHIPSET FCPGA</v>
          </cell>
          <cell r="F524">
            <v>59</v>
          </cell>
          <cell r="G524">
            <v>0</v>
          </cell>
          <cell r="J524">
            <v>1</v>
          </cell>
          <cell r="L524">
            <v>0</v>
          </cell>
          <cell r="N524">
            <v>837.86</v>
          </cell>
          <cell r="O524">
            <v>2700</v>
          </cell>
          <cell r="P524">
            <v>2700</v>
          </cell>
        </row>
        <row r="525">
          <cell r="A525" t="str">
            <v>VMB0-106136045X49</v>
          </cell>
          <cell r="B525" t="str">
            <v>VMB0-106</v>
          </cell>
          <cell r="C525" t="str">
            <v>136045X</v>
          </cell>
          <cell r="D525" t="str">
            <v>136045X</v>
          </cell>
          <cell r="E525" t="str">
            <v>VESTA INTEL 810E CHIPSET FCPGA</v>
          </cell>
          <cell r="F525">
            <v>49</v>
          </cell>
          <cell r="G525">
            <v>0</v>
          </cell>
          <cell r="J525">
            <v>1</v>
          </cell>
          <cell r="O525">
            <v>2700</v>
          </cell>
          <cell r="P525">
            <v>2700</v>
          </cell>
        </row>
        <row r="526">
          <cell r="A526" t="str">
            <v>VMB0-106136045X59</v>
          </cell>
          <cell r="B526" t="str">
            <v>VMB0-106</v>
          </cell>
          <cell r="C526" t="str">
            <v>136045X</v>
          </cell>
          <cell r="D526" t="str">
            <v>136045X</v>
          </cell>
          <cell r="E526" t="str">
            <v>VESTA INTEL 810E CHIPSET FCPGA</v>
          </cell>
          <cell r="F526">
            <v>59</v>
          </cell>
          <cell r="G526">
            <v>0</v>
          </cell>
          <cell r="J526">
            <v>1</v>
          </cell>
          <cell r="O526">
            <v>2700</v>
          </cell>
          <cell r="P526">
            <v>2700</v>
          </cell>
        </row>
        <row r="527">
          <cell r="A527" t="str">
            <v>VMBO-102 LUCKY TECH136001XX19</v>
          </cell>
          <cell r="B527" t="str">
            <v>VMBO-102 LUCKY TECH</v>
          </cell>
          <cell r="C527" t="str">
            <v>136001XX</v>
          </cell>
          <cell r="D527" t="str">
            <v>136001XX</v>
          </cell>
          <cell r="E527" t="str">
            <v>VESTA INTEL 810 CHIPSET FCPGA</v>
          </cell>
          <cell r="F527">
            <v>19</v>
          </cell>
          <cell r="G527">
            <v>0</v>
          </cell>
          <cell r="H527">
            <v>6</v>
          </cell>
          <cell r="J527">
            <v>62</v>
          </cell>
          <cell r="L527">
            <v>0</v>
          </cell>
          <cell r="N527">
            <v>3740.28</v>
          </cell>
          <cell r="O527">
            <v>1500</v>
          </cell>
          <cell r="P527">
            <v>102000</v>
          </cell>
        </row>
        <row r="528">
          <cell r="A528" t="str">
            <v>VMBO-102 LUCKY TECH136001XX49</v>
          </cell>
          <cell r="B528" t="str">
            <v>VMBO-102 LUCKY TECH</v>
          </cell>
          <cell r="C528" t="str">
            <v>136001XX</v>
          </cell>
          <cell r="D528" t="str">
            <v>136001XX</v>
          </cell>
          <cell r="E528" t="str">
            <v>VESTA INTEL 810 CHIPSET FCPGA</v>
          </cell>
          <cell r="F528">
            <v>49</v>
          </cell>
          <cell r="G528">
            <v>0</v>
          </cell>
          <cell r="J528">
            <v>13</v>
          </cell>
          <cell r="L528">
            <v>0</v>
          </cell>
          <cell r="N528">
            <v>3740.28</v>
          </cell>
          <cell r="O528">
            <v>1500</v>
          </cell>
          <cell r="P528">
            <v>19500</v>
          </cell>
        </row>
        <row r="529">
          <cell r="A529" t="str">
            <v>VMBO-102 LUCKY TECH136001XX59</v>
          </cell>
          <cell r="B529" t="str">
            <v>VMBO-102 LUCKY TECH</v>
          </cell>
          <cell r="C529" t="str">
            <v>136001XX</v>
          </cell>
          <cell r="D529" t="str">
            <v>136001XX</v>
          </cell>
          <cell r="E529" t="str">
            <v>VESTA INTEL 810 CHIPSET FCPGA</v>
          </cell>
          <cell r="F529">
            <v>59</v>
          </cell>
          <cell r="G529">
            <v>0</v>
          </cell>
          <cell r="J529">
            <v>4</v>
          </cell>
          <cell r="L529">
            <v>0</v>
          </cell>
          <cell r="N529">
            <v>3740.28</v>
          </cell>
          <cell r="O529">
            <v>1500</v>
          </cell>
          <cell r="P529">
            <v>6000</v>
          </cell>
        </row>
        <row r="530">
          <cell r="A530" t="str">
            <v>VMBO-102 LUCKY TECH13600318</v>
          </cell>
          <cell r="B530" t="str">
            <v>VMBO-102 LUCKY TECH</v>
          </cell>
          <cell r="C530" t="str">
            <v>136003</v>
          </cell>
          <cell r="D530" t="str">
            <v>136001XX</v>
          </cell>
          <cell r="E530" t="str">
            <v>VESTA INTEL 810 CHIPSET FCPGA</v>
          </cell>
          <cell r="F530">
            <v>18</v>
          </cell>
          <cell r="G530">
            <v>3950</v>
          </cell>
          <cell r="J530">
            <v>8</v>
          </cell>
          <cell r="K530">
            <v>31600</v>
          </cell>
          <cell r="L530">
            <v>3950</v>
          </cell>
          <cell r="M530">
            <v>3785.2415966386557</v>
          </cell>
          <cell r="N530">
            <v>3950</v>
          </cell>
          <cell r="O530">
            <v>2000</v>
          </cell>
          <cell r="P530">
            <v>16000</v>
          </cell>
        </row>
        <row r="531">
          <cell r="A531" t="str">
            <v>VMBO-102136001X19</v>
          </cell>
          <cell r="B531" t="str">
            <v>VMBO-102</v>
          </cell>
          <cell r="C531" t="str">
            <v>136001X</v>
          </cell>
          <cell r="D531" t="str">
            <v>136001X</v>
          </cell>
          <cell r="E531" t="str">
            <v>VESTA INTEL 810 CHIPSET FCPGA</v>
          </cell>
          <cell r="F531">
            <v>19</v>
          </cell>
          <cell r="G531">
            <v>0</v>
          </cell>
          <cell r="H531">
            <v>4</v>
          </cell>
          <cell r="J531">
            <v>868</v>
          </cell>
          <cell r="L531">
            <v>0</v>
          </cell>
          <cell r="N531">
            <v>3740.28</v>
          </cell>
          <cell r="O531">
            <v>2000</v>
          </cell>
          <cell r="P531">
            <v>1744000</v>
          </cell>
        </row>
        <row r="532">
          <cell r="A532" t="str">
            <v>VMBO-102136001X49</v>
          </cell>
          <cell r="B532" t="str">
            <v>VMBO-102</v>
          </cell>
          <cell r="C532" t="str">
            <v>136001X</v>
          </cell>
          <cell r="D532" t="str">
            <v>136001X</v>
          </cell>
          <cell r="E532" t="str">
            <v>VESTA INTEL 810 CHIPSET FCPGA</v>
          </cell>
          <cell r="F532">
            <v>49</v>
          </cell>
          <cell r="G532">
            <v>0</v>
          </cell>
          <cell r="J532">
            <v>5</v>
          </cell>
          <cell r="L532">
            <v>0</v>
          </cell>
          <cell r="N532">
            <v>3740.28</v>
          </cell>
          <cell r="O532">
            <v>2500</v>
          </cell>
          <cell r="P532">
            <v>12500</v>
          </cell>
        </row>
        <row r="533">
          <cell r="A533" t="str">
            <v>VMBO-102136001X59</v>
          </cell>
          <cell r="B533" t="str">
            <v>VMBO-102</v>
          </cell>
          <cell r="C533" t="str">
            <v>136001X</v>
          </cell>
          <cell r="D533" t="str">
            <v>136001X</v>
          </cell>
          <cell r="E533" t="str">
            <v>VESTA INTEL 810 CHIPSET FCPGA</v>
          </cell>
          <cell r="F533">
            <v>59</v>
          </cell>
          <cell r="G533">
            <v>0</v>
          </cell>
          <cell r="J533">
            <v>8</v>
          </cell>
          <cell r="L533">
            <v>0</v>
          </cell>
          <cell r="N533">
            <v>3740.28</v>
          </cell>
          <cell r="O533">
            <v>2500</v>
          </cell>
          <cell r="P533">
            <v>20000</v>
          </cell>
        </row>
        <row r="534">
          <cell r="A534" t="str">
            <v>VMBO-102136001X39</v>
          </cell>
          <cell r="B534" t="str">
            <v>VMBO-102</v>
          </cell>
          <cell r="C534" t="str">
            <v>136001X</v>
          </cell>
          <cell r="D534" t="str">
            <v>136001X</v>
          </cell>
          <cell r="E534" t="str">
            <v>VESTA INTEL 810 CHIPSET FCPGA</v>
          </cell>
          <cell r="F534">
            <v>39</v>
          </cell>
          <cell r="G534">
            <v>0</v>
          </cell>
          <cell r="J534">
            <v>39</v>
          </cell>
          <cell r="O534">
            <v>2500</v>
          </cell>
          <cell r="P534">
            <v>97500</v>
          </cell>
        </row>
        <row r="535">
          <cell r="A535" t="str">
            <v>VMBO-10313600348</v>
          </cell>
          <cell r="B535" t="str">
            <v>VMBO-103</v>
          </cell>
          <cell r="C535" t="str">
            <v>136003</v>
          </cell>
          <cell r="D535" t="str">
            <v>136003</v>
          </cell>
          <cell r="E535" t="str">
            <v>VESTA INTEL 810 CHIPSET FCPGA*</v>
          </cell>
          <cell r="F535">
            <v>48</v>
          </cell>
          <cell r="G535">
            <v>3950</v>
          </cell>
          <cell r="J535">
            <v>7</v>
          </cell>
          <cell r="K535">
            <v>27650</v>
          </cell>
          <cell r="L535">
            <v>3950</v>
          </cell>
          <cell r="M535">
            <v>3785.2415966386557</v>
          </cell>
          <cell r="N535">
            <v>3950</v>
          </cell>
          <cell r="O535">
            <v>20000</v>
          </cell>
          <cell r="P535">
            <v>140000</v>
          </cell>
        </row>
        <row r="536">
          <cell r="A536" t="str">
            <v>VMBO-10313600358</v>
          </cell>
          <cell r="B536" t="str">
            <v>VMBO-103</v>
          </cell>
          <cell r="C536" t="str">
            <v>136003</v>
          </cell>
          <cell r="D536" t="str">
            <v>136003</v>
          </cell>
          <cell r="E536" t="str">
            <v>VESTA INTEL 810 CHIPSET FCPGA*</v>
          </cell>
          <cell r="F536">
            <v>58</v>
          </cell>
          <cell r="G536">
            <v>3950</v>
          </cell>
          <cell r="J536">
            <v>5</v>
          </cell>
          <cell r="K536">
            <v>19750</v>
          </cell>
          <cell r="L536">
            <v>3950</v>
          </cell>
          <cell r="M536">
            <v>3785.2415966386557</v>
          </cell>
          <cell r="N536">
            <v>3950</v>
          </cell>
          <cell r="O536">
            <v>2000</v>
          </cell>
          <cell r="P536">
            <v>10000</v>
          </cell>
        </row>
        <row r="537">
          <cell r="A537" t="str">
            <v>VMBO-10313600348</v>
          </cell>
          <cell r="B537" t="str">
            <v>VMBO-103</v>
          </cell>
          <cell r="C537" t="str">
            <v>136003</v>
          </cell>
          <cell r="D537" t="str">
            <v>136003</v>
          </cell>
          <cell r="E537" t="str">
            <v>VESTA INTEL 810 CHIPSET FCPGA*</v>
          </cell>
          <cell r="F537">
            <v>48</v>
          </cell>
          <cell r="G537">
            <v>3950</v>
          </cell>
          <cell r="J537">
            <v>7</v>
          </cell>
          <cell r="O537">
            <v>2000</v>
          </cell>
          <cell r="P537">
            <v>14000</v>
          </cell>
        </row>
        <row r="538">
          <cell r="A538" t="str">
            <v>VMBO-103136003X19</v>
          </cell>
          <cell r="B538" t="str">
            <v>VMBO-103</v>
          </cell>
          <cell r="C538" t="str">
            <v>136003X</v>
          </cell>
          <cell r="D538" t="str">
            <v>136003X</v>
          </cell>
          <cell r="E538" t="str">
            <v>VESTA INTEL 810 CHIPSET FCPGA</v>
          </cell>
          <cell r="F538">
            <v>19</v>
          </cell>
          <cell r="G538">
            <v>0</v>
          </cell>
          <cell r="H538">
            <v>1</v>
          </cell>
          <cell r="J538">
            <v>42</v>
          </cell>
          <cell r="L538">
            <v>0</v>
          </cell>
          <cell r="N538">
            <v>3950</v>
          </cell>
          <cell r="O538">
            <v>2000</v>
          </cell>
          <cell r="P538">
            <v>86000</v>
          </cell>
        </row>
        <row r="539">
          <cell r="A539" t="str">
            <v>VMBO10313603018</v>
          </cell>
          <cell r="B539" t="str">
            <v>VMBO103</v>
          </cell>
          <cell r="C539" t="str">
            <v>136030</v>
          </cell>
          <cell r="D539" t="str">
            <v>136030</v>
          </cell>
          <cell r="E539" t="str">
            <v>VESTA INTEL 810E CHIPSET FCPGA</v>
          </cell>
          <cell r="F539">
            <v>18</v>
          </cell>
          <cell r="G539">
            <v>2722.25</v>
          </cell>
          <cell r="J539">
            <v>36</v>
          </cell>
          <cell r="K539">
            <v>98001</v>
          </cell>
          <cell r="L539">
            <v>2722.25</v>
          </cell>
          <cell r="M539">
            <v>3288.2320710508325</v>
          </cell>
          <cell r="N539">
            <v>2722.25</v>
          </cell>
          <cell r="O539">
            <v>3900</v>
          </cell>
          <cell r="P539">
            <v>140400</v>
          </cell>
        </row>
        <row r="540">
          <cell r="A540" t="str">
            <v>VMBO10313603058</v>
          </cell>
          <cell r="B540" t="str">
            <v>VMBO103</v>
          </cell>
          <cell r="C540" t="str">
            <v>136030</v>
          </cell>
          <cell r="D540" t="str">
            <v>136030</v>
          </cell>
          <cell r="E540" t="str">
            <v>VESTA INTEL 810E CHIPSET FCPGA</v>
          </cell>
          <cell r="F540">
            <v>58</v>
          </cell>
          <cell r="G540">
            <v>2722.25</v>
          </cell>
          <cell r="J540">
            <v>5</v>
          </cell>
          <cell r="K540">
            <v>13611.25</v>
          </cell>
          <cell r="L540">
            <v>2722.25</v>
          </cell>
          <cell r="M540">
            <v>3288.2320710508325</v>
          </cell>
          <cell r="N540">
            <v>2722.25</v>
          </cell>
          <cell r="O540">
            <v>3900</v>
          </cell>
          <cell r="P540">
            <v>19500</v>
          </cell>
        </row>
        <row r="541">
          <cell r="A541" t="str">
            <v>VMBO10313603068</v>
          </cell>
          <cell r="B541" t="str">
            <v>VMBO103</v>
          </cell>
          <cell r="C541" t="str">
            <v>136030</v>
          </cell>
          <cell r="D541" t="str">
            <v>136030</v>
          </cell>
          <cell r="E541" t="str">
            <v>VESTA INTEL 810E CHIPSET FCPGA</v>
          </cell>
          <cell r="F541">
            <v>68</v>
          </cell>
          <cell r="G541">
            <v>2722.25</v>
          </cell>
          <cell r="J541">
            <v>3</v>
          </cell>
          <cell r="K541">
            <v>8166.75</v>
          </cell>
          <cell r="L541">
            <v>2722.25</v>
          </cell>
          <cell r="M541">
            <v>3288.2320710508325</v>
          </cell>
          <cell r="N541">
            <v>2722.25</v>
          </cell>
          <cell r="O541">
            <v>3900</v>
          </cell>
          <cell r="P541">
            <v>11700</v>
          </cell>
        </row>
        <row r="542">
          <cell r="A542" t="str">
            <v>VMBO103136030G18</v>
          </cell>
          <cell r="B542" t="str">
            <v>VMBO103</v>
          </cell>
          <cell r="C542" t="str">
            <v>136030G</v>
          </cell>
          <cell r="D542" t="str">
            <v>136030G</v>
          </cell>
          <cell r="E542" t="str">
            <v>VESTA 810E CHIPSET BABY AT</v>
          </cell>
          <cell r="F542">
            <v>18</v>
          </cell>
          <cell r="G542">
            <v>768.32</v>
          </cell>
          <cell r="J542">
            <v>30</v>
          </cell>
          <cell r="K542">
            <v>23049.57</v>
          </cell>
          <cell r="L542">
            <v>768.32</v>
          </cell>
          <cell r="N542">
            <v>2722.25</v>
          </cell>
          <cell r="O542">
            <v>2700</v>
          </cell>
          <cell r="P542">
            <v>81000</v>
          </cell>
        </row>
        <row r="543">
          <cell r="A543" t="str">
            <v>VMBO103136030G58</v>
          </cell>
          <cell r="B543" t="str">
            <v>VMBO103</v>
          </cell>
          <cell r="C543" t="str">
            <v>136030G</v>
          </cell>
          <cell r="D543" t="str">
            <v>136030G</v>
          </cell>
          <cell r="E543" t="str">
            <v>VESTA 810E CHIPSET BABY AT</v>
          </cell>
          <cell r="F543">
            <v>58</v>
          </cell>
          <cell r="G543">
            <v>768.32</v>
          </cell>
          <cell r="J543">
            <v>27</v>
          </cell>
          <cell r="K543">
            <v>20744.61</v>
          </cell>
          <cell r="L543">
            <v>768.32</v>
          </cell>
          <cell r="N543">
            <v>2722.25</v>
          </cell>
          <cell r="O543">
            <v>2700</v>
          </cell>
          <cell r="P543">
            <v>72900</v>
          </cell>
        </row>
        <row r="544">
          <cell r="A544" t="str">
            <v>VMBO103136030G68</v>
          </cell>
          <cell r="B544" t="str">
            <v>VMBO103</v>
          </cell>
          <cell r="C544" t="str">
            <v>136030G</v>
          </cell>
          <cell r="D544" t="str">
            <v>136030G</v>
          </cell>
          <cell r="E544" t="str">
            <v>VESTA 810E CHIPSET BABY AT</v>
          </cell>
          <cell r="F544">
            <v>68</v>
          </cell>
          <cell r="G544">
            <v>768.32</v>
          </cell>
          <cell r="J544">
            <v>1</v>
          </cell>
          <cell r="K544">
            <v>768.31</v>
          </cell>
          <cell r="L544">
            <v>768.32</v>
          </cell>
          <cell r="N544">
            <v>2722.25</v>
          </cell>
          <cell r="O544">
            <v>2700</v>
          </cell>
          <cell r="P544">
            <v>2700</v>
          </cell>
        </row>
        <row r="545">
          <cell r="A545" t="str">
            <v>VMBO103136030R18</v>
          </cell>
          <cell r="B545" t="str">
            <v>VMBO103</v>
          </cell>
          <cell r="C545" t="str">
            <v>136030R</v>
          </cell>
          <cell r="D545" t="str">
            <v>136030R</v>
          </cell>
          <cell r="E545" t="str">
            <v>VESTA 810E CHIPSET BABY AT</v>
          </cell>
          <cell r="F545">
            <v>18</v>
          </cell>
          <cell r="G545">
            <v>151.79</v>
          </cell>
          <cell r="J545">
            <v>17</v>
          </cell>
          <cell r="K545">
            <v>2580.5</v>
          </cell>
          <cell r="L545">
            <v>151.79</v>
          </cell>
          <cell r="M545">
            <v>4500</v>
          </cell>
          <cell r="N545">
            <v>2722.25</v>
          </cell>
          <cell r="O545">
            <v>2700</v>
          </cell>
          <cell r="P545">
            <v>45900</v>
          </cell>
        </row>
        <row r="546">
          <cell r="A546" t="str">
            <v>VMBO103136030R58</v>
          </cell>
          <cell r="B546" t="str">
            <v>VMBO103</v>
          </cell>
          <cell r="C546" t="str">
            <v>136030R</v>
          </cell>
          <cell r="D546" t="str">
            <v>136030R</v>
          </cell>
          <cell r="E546" t="str">
            <v>VESTA 810E CHIPSET BABY AT</v>
          </cell>
          <cell r="F546">
            <v>58</v>
          </cell>
          <cell r="G546">
            <v>151.79</v>
          </cell>
          <cell r="J546">
            <v>23</v>
          </cell>
          <cell r="K546">
            <v>3491.27</v>
          </cell>
          <cell r="L546">
            <v>151.79</v>
          </cell>
          <cell r="M546">
            <v>4500</v>
          </cell>
          <cell r="N546">
            <v>2722.25</v>
          </cell>
          <cell r="O546">
            <v>2700</v>
          </cell>
          <cell r="P546">
            <v>62100</v>
          </cell>
        </row>
        <row r="547">
          <cell r="A547" t="str">
            <v>VMBO103136030R59</v>
          </cell>
          <cell r="B547" t="str">
            <v>VMBO103</v>
          </cell>
          <cell r="C547" t="str">
            <v>136030R</v>
          </cell>
          <cell r="D547" t="str">
            <v>136030R</v>
          </cell>
          <cell r="E547" t="str">
            <v>VESTA 810E CHIPSET BABY AT</v>
          </cell>
          <cell r="F547">
            <v>59</v>
          </cell>
          <cell r="G547">
            <v>151.79</v>
          </cell>
          <cell r="J547">
            <v>1</v>
          </cell>
          <cell r="K547">
            <v>151.79</v>
          </cell>
          <cell r="L547">
            <v>151.79</v>
          </cell>
          <cell r="M547">
            <v>4500</v>
          </cell>
          <cell r="N547">
            <v>2722.25</v>
          </cell>
          <cell r="O547">
            <v>2700</v>
          </cell>
          <cell r="P547">
            <v>2700</v>
          </cell>
        </row>
        <row r="548">
          <cell r="A548" t="str">
            <v>VMBO103136030R68</v>
          </cell>
          <cell r="B548" t="str">
            <v>VMBO103</v>
          </cell>
          <cell r="C548" t="str">
            <v>136030R</v>
          </cell>
          <cell r="D548" t="str">
            <v>136030R</v>
          </cell>
          <cell r="E548" t="str">
            <v>VESTA 810E CHIPSET BABY AT</v>
          </cell>
          <cell r="F548">
            <v>68</v>
          </cell>
          <cell r="G548">
            <v>151.79</v>
          </cell>
          <cell r="J548">
            <v>4</v>
          </cell>
          <cell r="K548">
            <v>607.16999999999996</v>
          </cell>
          <cell r="L548">
            <v>151.79</v>
          </cell>
          <cell r="M548">
            <v>4500</v>
          </cell>
          <cell r="N548">
            <v>2722.25</v>
          </cell>
          <cell r="O548">
            <v>2700</v>
          </cell>
          <cell r="P548">
            <v>10800</v>
          </cell>
        </row>
        <row r="549">
          <cell r="A549" t="str">
            <v>VMBO103136030X19</v>
          </cell>
          <cell r="B549" t="str">
            <v>VMBO103</v>
          </cell>
          <cell r="C549" t="str">
            <v>136030X</v>
          </cell>
          <cell r="D549" t="str">
            <v>136030X</v>
          </cell>
          <cell r="E549" t="str">
            <v>VESTA 810E CHIPSET BABY AT</v>
          </cell>
          <cell r="F549">
            <v>19</v>
          </cell>
          <cell r="G549">
            <v>0</v>
          </cell>
          <cell r="H549">
            <v>8</v>
          </cell>
          <cell r="J549">
            <v>404</v>
          </cell>
          <cell r="L549">
            <v>0</v>
          </cell>
          <cell r="N549">
            <v>2722.25</v>
          </cell>
          <cell r="O549">
            <v>2700</v>
          </cell>
          <cell r="P549">
            <v>1112400</v>
          </cell>
        </row>
        <row r="550">
          <cell r="A550" t="str">
            <v>VMBO103136030X49</v>
          </cell>
          <cell r="B550" t="str">
            <v>VMBO103</v>
          </cell>
          <cell r="C550" t="str">
            <v>136030X</v>
          </cell>
          <cell r="D550" t="str">
            <v>136030X</v>
          </cell>
          <cell r="E550" t="str">
            <v>VESTA 810E CHIPSET BABY AT</v>
          </cell>
          <cell r="F550">
            <v>49</v>
          </cell>
          <cell r="G550">
            <v>0</v>
          </cell>
          <cell r="J550">
            <v>10</v>
          </cell>
          <cell r="L550">
            <v>0</v>
          </cell>
          <cell r="N550">
            <v>2722.25</v>
          </cell>
          <cell r="O550">
            <v>2700</v>
          </cell>
          <cell r="P550">
            <v>27000</v>
          </cell>
        </row>
        <row r="551">
          <cell r="A551" t="str">
            <v>VMBO103136030X59</v>
          </cell>
          <cell r="B551" t="str">
            <v>VMBO103</v>
          </cell>
          <cell r="C551" t="str">
            <v>136030X</v>
          </cell>
          <cell r="D551" t="str">
            <v>136030X</v>
          </cell>
          <cell r="E551" t="str">
            <v>VESTA 810E CHIPSET BABY AT</v>
          </cell>
          <cell r="F551">
            <v>59</v>
          </cell>
          <cell r="G551">
            <v>0</v>
          </cell>
          <cell r="J551">
            <v>19</v>
          </cell>
          <cell r="L551">
            <v>0</v>
          </cell>
          <cell r="N551">
            <v>2722.25</v>
          </cell>
          <cell r="O551">
            <v>2700</v>
          </cell>
          <cell r="P551">
            <v>51300</v>
          </cell>
        </row>
        <row r="552">
          <cell r="A552" t="str">
            <v>VMBO103136030X39</v>
          </cell>
          <cell r="B552" t="str">
            <v>VMBO103</v>
          </cell>
          <cell r="C552" t="str">
            <v>136030X</v>
          </cell>
          <cell r="D552" t="str">
            <v>136030X</v>
          </cell>
          <cell r="E552" t="str">
            <v>VESTA 810E CHIPSET BABY AT</v>
          </cell>
          <cell r="F552">
            <v>39</v>
          </cell>
          <cell r="G552">
            <v>0</v>
          </cell>
          <cell r="J552">
            <v>15</v>
          </cell>
          <cell r="O552">
            <v>2700</v>
          </cell>
          <cell r="P552">
            <v>40500</v>
          </cell>
        </row>
        <row r="553">
          <cell r="A553" t="str">
            <v>VMBO-10413603158</v>
          </cell>
          <cell r="B553" t="str">
            <v>VMBO-104</v>
          </cell>
          <cell r="C553" t="str">
            <v>136031</v>
          </cell>
          <cell r="D553" t="str">
            <v>136031</v>
          </cell>
          <cell r="E553" t="str">
            <v>VESTA INTEL 815 CHIPSET FCPGA*</v>
          </cell>
          <cell r="F553">
            <v>58</v>
          </cell>
          <cell r="G553">
            <v>3455.24</v>
          </cell>
          <cell r="J553">
            <v>5</v>
          </cell>
          <cell r="K553">
            <v>17276.2</v>
          </cell>
          <cell r="L553">
            <v>3455.24</v>
          </cell>
          <cell r="M553">
            <v>4308.0352741740153</v>
          </cell>
          <cell r="N553">
            <v>3455.24</v>
          </cell>
          <cell r="O553">
            <v>3400</v>
          </cell>
          <cell r="P553">
            <v>17000</v>
          </cell>
        </row>
        <row r="554">
          <cell r="A554" t="str">
            <v>VMBO-104136031G58</v>
          </cell>
          <cell r="B554" t="str">
            <v>VMBO-104</v>
          </cell>
          <cell r="C554" t="str">
            <v>136031G</v>
          </cell>
          <cell r="D554" t="str">
            <v>136031G</v>
          </cell>
          <cell r="E554" t="str">
            <v>VESTA INTEL 815 CHIPSET FCPGA*</v>
          </cell>
          <cell r="F554">
            <v>58</v>
          </cell>
          <cell r="G554">
            <v>1093.0999999999999</v>
          </cell>
          <cell r="J554">
            <v>1</v>
          </cell>
          <cell r="K554">
            <v>1093.0999999999999</v>
          </cell>
          <cell r="L554">
            <v>1093.0999999999999</v>
          </cell>
          <cell r="N554">
            <v>3455.24</v>
          </cell>
          <cell r="O554">
            <v>3900</v>
          </cell>
          <cell r="P554">
            <v>3900</v>
          </cell>
        </row>
        <row r="555">
          <cell r="A555" t="str">
            <v>VMBO-104136031G68</v>
          </cell>
          <cell r="B555" t="str">
            <v>VMBO-104</v>
          </cell>
          <cell r="C555" t="str">
            <v>136031G</v>
          </cell>
          <cell r="D555" t="str">
            <v>136031G</v>
          </cell>
          <cell r="E555" t="str">
            <v>VESTA INTEL 815 CHIPSET FCPGA*</v>
          </cell>
          <cell r="F555">
            <v>68</v>
          </cell>
          <cell r="G555">
            <v>1093.0999999999999</v>
          </cell>
          <cell r="J555">
            <v>3</v>
          </cell>
          <cell r="K555">
            <v>3279.31</v>
          </cell>
          <cell r="L555">
            <v>1093.0999999999999</v>
          </cell>
          <cell r="N555">
            <v>3455.24</v>
          </cell>
          <cell r="O555">
            <v>3900</v>
          </cell>
          <cell r="P555">
            <v>11700</v>
          </cell>
        </row>
        <row r="556">
          <cell r="A556" t="str">
            <v>VMBO-104136031R58</v>
          </cell>
          <cell r="B556" t="str">
            <v>VMBO-104</v>
          </cell>
          <cell r="C556" t="str">
            <v>136031R</v>
          </cell>
          <cell r="D556" t="str">
            <v>136031R</v>
          </cell>
          <cell r="E556" t="str">
            <v>VESTA INTEL 815 CHIPSET FCPGA*</v>
          </cell>
          <cell r="F556">
            <v>58</v>
          </cell>
          <cell r="G556">
            <v>94.22</v>
          </cell>
          <cell r="H556">
            <v>2</v>
          </cell>
          <cell r="I556">
            <v>188.43</v>
          </cell>
          <cell r="J556">
            <v>8</v>
          </cell>
          <cell r="K556">
            <v>753.72</v>
          </cell>
          <cell r="L556">
            <v>94.22</v>
          </cell>
          <cell r="N556">
            <v>3455.24</v>
          </cell>
          <cell r="O556">
            <v>3400</v>
          </cell>
          <cell r="P556">
            <v>34000</v>
          </cell>
        </row>
        <row r="557">
          <cell r="A557" t="str">
            <v>VMBO-104136031X19</v>
          </cell>
          <cell r="B557" t="str">
            <v>VMBO-104</v>
          </cell>
          <cell r="C557" t="str">
            <v>136031X</v>
          </cell>
          <cell r="D557" t="str">
            <v>136031X</v>
          </cell>
          <cell r="E557" t="str">
            <v>VESTA INTEL 815 CHIPSET FCPGA*</v>
          </cell>
          <cell r="F557">
            <v>19</v>
          </cell>
          <cell r="G557">
            <v>0</v>
          </cell>
          <cell r="J557">
            <v>94</v>
          </cell>
          <cell r="L557">
            <v>0</v>
          </cell>
          <cell r="N557">
            <v>3455.24</v>
          </cell>
          <cell r="O557">
            <v>3500</v>
          </cell>
          <cell r="P557">
            <v>329000</v>
          </cell>
        </row>
        <row r="558">
          <cell r="A558" t="str">
            <v>VMBO-104136031X59</v>
          </cell>
          <cell r="B558" t="str">
            <v>VMBO-104</v>
          </cell>
          <cell r="C558" t="str">
            <v>136031X</v>
          </cell>
          <cell r="D558" t="str">
            <v>136031X</v>
          </cell>
          <cell r="E558" t="str">
            <v>VESTA INTEL 815 CHIPSET FCPGA*</v>
          </cell>
          <cell r="F558">
            <v>59</v>
          </cell>
          <cell r="G558">
            <v>0</v>
          </cell>
          <cell r="J558">
            <v>3</v>
          </cell>
          <cell r="L558">
            <v>0</v>
          </cell>
          <cell r="N558">
            <v>3455.24</v>
          </cell>
          <cell r="O558">
            <v>3500</v>
          </cell>
          <cell r="P558">
            <v>10500</v>
          </cell>
        </row>
        <row r="559">
          <cell r="A559" t="str">
            <v>VMBO-105136032R18</v>
          </cell>
          <cell r="B559" t="str">
            <v>VMBO-105</v>
          </cell>
          <cell r="C559" t="str">
            <v>136032R</v>
          </cell>
          <cell r="D559" t="str">
            <v>136032R</v>
          </cell>
          <cell r="E559" t="str">
            <v>VESTA INTEL 815E CHIPSET FCPGA</v>
          </cell>
          <cell r="F559">
            <v>18</v>
          </cell>
          <cell r="G559">
            <v>0.67</v>
          </cell>
          <cell r="J559">
            <v>1</v>
          </cell>
          <cell r="K559">
            <v>0.67</v>
          </cell>
          <cell r="L559">
            <v>0.67</v>
          </cell>
          <cell r="O559">
            <v>4000</v>
          </cell>
          <cell r="P559">
            <v>4000</v>
          </cell>
        </row>
        <row r="560">
          <cell r="A560" t="str">
            <v>VMBO-105136032X19</v>
          </cell>
          <cell r="B560" t="str">
            <v>VMBO-105</v>
          </cell>
          <cell r="C560" t="str">
            <v>136032X</v>
          </cell>
          <cell r="D560" t="str">
            <v>136032X</v>
          </cell>
          <cell r="E560" t="str">
            <v>VESTA INTEL 815E CHIPSET FCPGA</v>
          </cell>
          <cell r="F560">
            <v>19</v>
          </cell>
          <cell r="G560">
            <v>0</v>
          </cell>
          <cell r="J560">
            <v>9</v>
          </cell>
          <cell r="L560">
            <v>0</v>
          </cell>
          <cell r="O560">
            <v>3500</v>
          </cell>
          <cell r="P560">
            <v>31500</v>
          </cell>
        </row>
        <row r="561">
          <cell r="A561" t="str">
            <v>VOPT-103136004A18</v>
          </cell>
          <cell r="B561" t="str">
            <v>VOPT-103</v>
          </cell>
          <cell r="C561" t="str">
            <v>136004A</v>
          </cell>
          <cell r="D561" t="str">
            <v>136004A</v>
          </cell>
          <cell r="E561" t="str">
            <v>VESTA CD-ROM DRIVE 52X ****.**</v>
          </cell>
          <cell r="F561">
            <v>18</v>
          </cell>
          <cell r="G561">
            <v>1467.96</v>
          </cell>
          <cell r="J561">
            <v>1</v>
          </cell>
          <cell r="K561">
            <v>1467.96</v>
          </cell>
          <cell r="L561">
            <v>1467.96</v>
          </cell>
          <cell r="N561">
            <v>1467.96</v>
          </cell>
          <cell r="O561">
            <v>1500</v>
          </cell>
          <cell r="P561">
            <v>1500</v>
          </cell>
        </row>
        <row r="562">
          <cell r="A562" t="str">
            <v>VOPT-103136004B18</v>
          </cell>
          <cell r="B562" t="str">
            <v>VOPT-103</v>
          </cell>
          <cell r="C562" t="str">
            <v>136004B</v>
          </cell>
          <cell r="D562" t="str">
            <v>136004B</v>
          </cell>
          <cell r="E562" t="str">
            <v>VESTA CD-ROM DRIVE 52X ****.**</v>
          </cell>
          <cell r="F562">
            <v>18</v>
          </cell>
          <cell r="G562">
            <v>1467.96</v>
          </cell>
          <cell r="J562">
            <v>1</v>
          </cell>
          <cell r="K562">
            <v>1467.96</v>
          </cell>
          <cell r="L562">
            <v>1467.96</v>
          </cell>
          <cell r="N562">
            <v>1467.96</v>
          </cell>
          <cell r="O562">
            <v>1500</v>
          </cell>
          <cell r="P562">
            <v>1500</v>
          </cell>
        </row>
        <row r="563">
          <cell r="A563" t="str">
            <v>VOPT-103136004C18</v>
          </cell>
          <cell r="B563" t="str">
            <v>VOPT-103</v>
          </cell>
          <cell r="C563" t="str">
            <v>136004C</v>
          </cell>
          <cell r="D563" t="str">
            <v>136004C</v>
          </cell>
          <cell r="E563" t="str">
            <v>VESTA CD-ROM DRIVE 52X ****.**</v>
          </cell>
          <cell r="F563">
            <v>18</v>
          </cell>
          <cell r="G563">
            <v>1467.96</v>
          </cell>
          <cell r="J563">
            <v>1</v>
          </cell>
          <cell r="K563">
            <v>1467.96</v>
          </cell>
          <cell r="L563">
            <v>1467.96</v>
          </cell>
          <cell r="N563">
            <v>1467.96</v>
          </cell>
          <cell r="O563">
            <v>1500</v>
          </cell>
          <cell r="P563">
            <v>1500</v>
          </cell>
        </row>
        <row r="564">
          <cell r="A564" t="str">
            <v>VOPT-103136004G48</v>
          </cell>
          <cell r="B564" t="str">
            <v>VOPT-103</v>
          </cell>
          <cell r="C564" t="str">
            <v>136004G</v>
          </cell>
          <cell r="D564" t="str">
            <v>136004G</v>
          </cell>
          <cell r="E564" t="str">
            <v>VESTA CD-ROM DRIVE 52X ****.**</v>
          </cell>
          <cell r="F564">
            <v>48</v>
          </cell>
          <cell r="G564">
            <v>441.24</v>
          </cell>
          <cell r="J564">
            <v>1</v>
          </cell>
          <cell r="K564">
            <v>441.24</v>
          </cell>
          <cell r="L564">
            <v>441.24</v>
          </cell>
          <cell r="N564">
            <v>1467.96</v>
          </cell>
          <cell r="O564">
            <v>1500</v>
          </cell>
          <cell r="P564">
            <v>1500</v>
          </cell>
        </row>
        <row r="565">
          <cell r="A565" t="str">
            <v>VOPT-103136004G58</v>
          </cell>
          <cell r="B565" t="str">
            <v>VOPT-103</v>
          </cell>
          <cell r="C565" t="str">
            <v>136004G</v>
          </cell>
          <cell r="D565" t="str">
            <v>136004G</v>
          </cell>
          <cell r="E565" t="str">
            <v>VESTA CD-ROM DRIVE 52X ****.**</v>
          </cell>
          <cell r="F565">
            <v>58</v>
          </cell>
          <cell r="G565">
            <v>441.24</v>
          </cell>
          <cell r="J565">
            <v>4</v>
          </cell>
          <cell r="K565">
            <v>1764.96</v>
          </cell>
          <cell r="L565">
            <v>441.24</v>
          </cell>
          <cell r="N565">
            <v>1467.96</v>
          </cell>
          <cell r="O565">
            <v>1500</v>
          </cell>
          <cell r="P565">
            <v>6000</v>
          </cell>
        </row>
        <row r="566">
          <cell r="A566" t="str">
            <v>VOPT-103136004H18</v>
          </cell>
          <cell r="B566" t="str">
            <v>VOPT-103</v>
          </cell>
          <cell r="C566" t="str">
            <v>136004H</v>
          </cell>
          <cell r="D566" t="str">
            <v>136004H</v>
          </cell>
          <cell r="E566" t="str">
            <v>VESTA CD-ROM DRIVE 52X ****.**</v>
          </cell>
          <cell r="F566">
            <v>18</v>
          </cell>
          <cell r="G566">
            <v>1467.96</v>
          </cell>
          <cell r="J566">
            <v>1</v>
          </cell>
          <cell r="K566">
            <v>1467.96</v>
          </cell>
          <cell r="L566">
            <v>1467.96</v>
          </cell>
          <cell r="N566">
            <v>1467.96</v>
          </cell>
          <cell r="O566">
            <v>1500</v>
          </cell>
          <cell r="P566">
            <v>1500</v>
          </cell>
        </row>
        <row r="567">
          <cell r="A567" t="str">
            <v>VOPT-103136004I18</v>
          </cell>
          <cell r="B567" t="str">
            <v>VOPT-103</v>
          </cell>
          <cell r="C567" t="str">
            <v>136004I</v>
          </cell>
          <cell r="D567" t="str">
            <v>136004I</v>
          </cell>
          <cell r="E567" t="str">
            <v>VESTA CD-ROM DRIVE 52X ****.**</v>
          </cell>
          <cell r="F567">
            <v>18</v>
          </cell>
          <cell r="G567">
            <v>1467.96</v>
          </cell>
          <cell r="J567">
            <v>1</v>
          </cell>
          <cell r="K567">
            <v>1467.96</v>
          </cell>
          <cell r="L567">
            <v>1467.96</v>
          </cell>
          <cell r="N567">
            <v>1467.96</v>
          </cell>
          <cell r="O567">
            <v>1500</v>
          </cell>
          <cell r="P567">
            <v>1500</v>
          </cell>
        </row>
        <row r="568">
          <cell r="A568" t="str">
            <v>VOPT-103136004K18</v>
          </cell>
          <cell r="B568" t="str">
            <v>VOPT-103</v>
          </cell>
          <cell r="C568" t="str">
            <v>136004K</v>
          </cell>
          <cell r="D568" t="str">
            <v>136004K</v>
          </cell>
          <cell r="E568" t="str">
            <v>VESTA CD-ROM DRIVE 52X ****.**</v>
          </cell>
          <cell r="F568">
            <v>18</v>
          </cell>
          <cell r="G568">
            <v>1467.96</v>
          </cell>
          <cell r="J568">
            <v>1</v>
          </cell>
          <cell r="K568">
            <v>1467.96</v>
          </cell>
          <cell r="L568">
            <v>1467.96</v>
          </cell>
          <cell r="N568">
            <v>1467.96</v>
          </cell>
          <cell r="O568">
            <v>1500</v>
          </cell>
          <cell r="P568">
            <v>1500</v>
          </cell>
        </row>
        <row r="569">
          <cell r="A569" t="str">
            <v>VOPT-103136004L18</v>
          </cell>
          <cell r="B569" t="str">
            <v>VOPT-103</v>
          </cell>
          <cell r="C569" t="str">
            <v>136004L</v>
          </cell>
          <cell r="D569" t="str">
            <v>136004L</v>
          </cell>
          <cell r="E569" t="str">
            <v>VESTA CD-ROM DRIVE 52X ****.**</v>
          </cell>
          <cell r="F569">
            <v>18</v>
          </cell>
          <cell r="G569">
            <v>1467.96</v>
          </cell>
          <cell r="J569">
            <v>1</v>
          </cell>
          <cell r="K569">
            <v>1467.96</v>
          </cell>
          <cell r="L569">
            <v>1467.96</v>
          </cell>
          <cell r="N569">
            <v>1467.96</v>
          </cell>
          <cell r="O569">
            <v>1500</v>
          </cell>
          <cell r="P569">
            <v>1500</v>
          </cell>
        </row>
        <row r="570">
          <cell r="A570" t="str">
            <v>VOPT-103136004P18</v>
          </cell>
          <cell r="B570" t="str">
            <v>VOPT-103</v>
          </cell>
          <cell r="C570" t="str">
            <v>136004P</v>
          </cell>
          <cell r="D570" t="str">
            <v>136004P</v>
          </cell>
          <cell r="E570" t="str">
            <v>VESTA CD-ROM DRIVE 52X ****.**</v>
          </cell>
          <cell r="F570">
            <v>18</v>
          </cell>
          <cell r="G570">
            <v>1467.96</v>
          </cell>
          <cell r="J570">
            <v>1</v>
          </cell>
          <cell r="K570">
            <v>1467.96</v>
          </cell>
          <cell r="L570">
            <v>1467.96</v>
          </cell>
          <cell r="N570">
            <v>1467.96</v>
          </cell>
          <cell r="O570">
            <v>1500</v>
          </cell>
          <cell r="P570">
            <v>1500</v>
          </cell>
        </row>
        <row r="571">
          <cell r="A571" t="str">
            <v>VOPT-103136004R18</v>
          </cell>
          <cell r="B571" t="str">
            <v>VOPT-103</v>
          </cell>
          <cell r="C571" t="str">
            <v>136004R</v>
          </cell>
          <cell r="D571" t="str">
            <v>136004R</v>
          </cell>
          <cell r="E571" t="str">
            <v>VESTA CD-ROM DRIVE 52X ****.**</v>
          </cell>
          <cell r="F571">
            <v>18</v>
          </cell>
          <cell r="G571">
            <v>164.1</v>
          </cell>
          <cell r="J571">
            <v>14</v>
          </cell>
          <cell r="K571">
            <v>2297.42</v>
          </cell>
          <cell r="L571">
            <v>164.1</v>
          </cell>
          <cell r="N571">
            <v>1467.96</v>
          </cell>
          <cell r="O571">
            <v>2000</v>
          </cell>
          <cell r="P571">
            <v>28000</v>
          </cell>
        </row>
        <row r="572">
          <cell r="A572" t="str">
            <v>VOPT-103136004R58</v>
          </cell>
          <cell r="B572" t="str">
            <v>VOPT-103</v>
          </cell>
          <cell r="C572" t="str">
            <v>136004R</v>
          </cell>
          <cell r="D572" t="str">
            <v>136004R</v>
          </cell>
          <cell r="E572" t="str">
            <v>VESTA CD-ROM DRIVE 52X ****.**</v>
          </cell>
          <cell r="F572">
            <v>58</v>
          </cell>
          <cell r="G572">
            <v>164.1</v>
          </cell>
          <cell r="H572">
            <v>1</v>
          </cell>
          <cell r="I572">
            <v>164.1</v>
          </cell>
          <cell r="L572">
            <v>164.1</v>
          </cell>
          <cell r="N572">
            <v>1467.96</v>
          </cell>
          <cell r="O572">
            <v>2000</v>
          </cell>
          <cell r="P572">
            <v>2000</v>
          </cell>
        </row>
        <row r="573">
          <cell r="A573" t="str">
            <v>VOPT-103136004X19</v>
          </cell>
          <cell r="B573" t="str">
            <v>VOPT-103</v>
          </cell>
          <cell r="C573" t="str">
            <v>136004X</v>
          </cell>
          <cell r="D573" t="str">
            <v>136004X</v>
          </cell>
          <cell r="E573" t="str">
            <v>VESTA CD-ROM DRIVE 52X BOX PACK</v>
          </cell>
          <cell r="F573">
            <v>19</v>
          </cell>
          <cell r="G573">
            <v>0</v>
          </cell>
          <cell r="J573">
            <v>58</v>
          </cell>
          <cell r="L573">
            <v>0</v>
          </cell>
          <cell r="N573">
            <v>1467.96</v>
          </cell>
          <cell r="O573">
            <v>1800</v>
          </cell>
          <cell r="P573">
            <v>104400</v>
          </cell>
        </row>
        <row r="574">
          <cell r="A574" t="str">
            <v>VOPT-10313600548</v>
          </cell>
          <cell r="B574" t="str">
            <v>VOPT-103</v>
          </cell>
          <cell r="C574" t="str">
            <v>136005</v>
          </cell>
          <cell r="D574" t="str">
            <v>136005</v>
          </cell>
          <cell r="E574" t="str">
            <v>VESTA CD-ROM DRIVE 52X*****.**</v>
          </cell>
          <cell r="F574">
            <v>48</v>
          </cell>
          <cell r="G574">
            <v>2000</v>
          </cell>
          <cell r="J574">
            <v>9</v>
          </cell>
          <cell r="K574">
            <v>18000</v>
          </cell>
          <cell r="L574">
            <v>2000</v>
          </cell>
          <cell r="M574">
            <v>1540.4288577154309</v>
          </cell>
          <cell r="N574">
            <v>2000</v>
          </cell>
          <cell r="O574">
            <v>2000</v>
          </cell>
          <cell r="P574">
            <v>18000</v>
          </cell>
        </row>
        <row r="575">
          <cell r="A575" t="str">
            <v>VOPT-10313600568</v>
          </cell>
          <cell r="B575" t="str">
            <v>VOPT-103</v>
          </cell>
          <cell r="C575" t="str">
            <v>136005</v>
          </cell>
          <cell r="D575" t="str">
            <v>136005</v>
          </cell>
          <cell r="E575" t="str">
            <v>VESTA CD-ROM DRIVE 52X*****.**</v>
          </cell>
          <cell r="F575">
            <v>68</v>
          </cell>
          <cell r="G575">
            <v>2000</v>
          </cell>
          <cell r="J575">
            <v>8</v>
          </cell>
          <cell r="K575">
            <v>16000</v>
          </cell>
          <cell r="L575">
            <v>2000</v>
          </cell>
          <cell r="M575">
            <v>1540.4288577154309</v>
          </cell>
          <cell r="N575">
            <v>2000</v>
          </cell>
          <cell r="O575">
            <v>2000</v>
          </cell>
          <cell r="P575">
            <v>16000</v>
          </cell>
        </row>
        <row r="576">
          <cell r="A576" t="str">
            <v>VOPT-103136005X19</v>
          </cell>
          <cell r="B576" t="str">
            <v>VOPT-103</v>
          </cell>
          <cell r="C576" t="str">
            <v>136005X</v>
          </cell>
          <cell r="D576" t="str">
            <v>136005X</v>
          </cell>
          <cell r="E576" t="str">
            <v>VESTA CD-ROM DRIVE 52X*****.**</v>
          </cell>
          <cell r="F576">
            <v>19</v>
          </cell>
          <cell r="G576">
            <v>0</v>
          </cell>
          <cell r="J576">
            <v>7</v>
          </cell>
          <cell r="L576">
            <v>0</v>
          </cell>
          <cell r="N576">
            <v>2000</v>
          </cell>
          <cell r="O576">
            <v>1800</v>
          </cell>
          <cell r="P576">
            <v>12600</v>
          </cell>
        </row>
        <row r="577">
          <cell r="A577" t="str">
            <v>VOPT-103136005X59</v>
          </cell>
          <cell r="B577" t="str">
            <v>VOPT-103</v>
          </cell>
          <cell r="C577" t="str">
            <v>136005X</v>
          </cell>
          <cell r="D577" t="str">
            <v>136005X</v>
          </cell>
          <cell r="E577" t="str">
            <v>VESTA CD-ROM DRIVE 52X*****.**</v>
          </cell>
          <cell r="F577">
            <v>59</v>
          </cell>
          <cell r="G577">
            <v>0</v>
          </cell>
          <cell r="J577">
            <v>1</v>
          </cell>
          <cell r="L577">
            <v>0</v>
          </cell>
          <cell r="N577">
            <v>2000</v>
          </cell>
          <cell r="O577">
            <v>1800</v>
          </cell>
          <cell r="P577">
            <v>1800</v>
          </cell>
        </row>
        <row r="578">
          <cell r="A578" t="str">
            <v>WS-C1924-A104046X19</v>
          </cell>
          <cell r="B578" t="str">
            <v>WS-C1924-A</v>
          </cell>
          <cell r="C578" t="str">
            <v>104046X</v>
          </cell>
          <cell r="D578" t="str">
            <v>104046X</v>
          </cell>
          <cell r="E578" t="str">
            <v>CATALYST1924,24PORT 10MB SWITCH</v>
          </cell>
          <cell r="F578">
            <v>19</v>
          </cell>
          <cell r="G578">
            <v>0</v>
          </cell>
          <cell r="J578">
            <v>4</v>
          </cell>
          <cell r="L578">
            <v>0</v>
          </cell>
          <cell r="O578">
            <v>40000</v>
          </cell>
          <cell r="P578">
            <v>160000</v>
          </cell>
        </row>
        <row r="579">
          <cell r="A579" t="str">
            <v>WS-C2924-XL-A104050X19</v>
          </cell>
          <cell r="B579" t="str">
            <v>WS-C2924-XL-A</v>
          </cell>
          <cell r="C579" t="str">
            <v>104050X</v>
          </cell>
          <cell r="D579" t="str">
            <v>104050X</v>
          </cell>
          <cell r="E579" t="str">
            <v>CATALYST 2924, 24-PORT 10/100</v>
          </cell>
          <cell r="F579">
            <v>19</v>
          </cell>
          <cell r="G579">
            <v>0</v>
          </cell>
          <cell r="J579">
            <v>1</v>
          </cell>
          <cell r="L579">
            <v>0</v>
          </cell>
          <cell r="O579">
            <v>65000</v>
          </cell>
          <cell r="P579">
            <v>65000</v>
          </cell>
        </row>
        <row r="580">
          <cell r="A580" t="str">
            <v>WS-C2924-XL-EN104064X19</v>
          </cell>
          <cell r="B580" t="str">
            <v>WS-C2924-XL-EN</v>
          </cell>
          <cell r="C580" t="str">
            <v>104064X</v>
          </cell>
          <cell r="D580" t="str">
            <v>104064X</v>
          </cell>
          <cell r="E580" t="str">
            <v>CATALYST 2924, 10/100 24 PORT*</v>
          </cell>
          <cell r="F580">
            <v>19</v>
          </cell>
          <cell r="G580">
            <v>0</v>
          </cell>
          <cell r="J580">
            <v>1</v>
          </cell>
          <cell r="L580">
            <v>0</v>
          </cell>
          <cell r="O580">
            <v>66000</v>
          </cell>
          <cell r="P580">
            <v>66000</v>
          </cell>
        </row>
        <row r="581">
          <cell r="A581" t="str">
            <v>WS-C3524-XL-EN10416058</v>
          </cell>
          <cell r="B581" t="str">
            <v>WS-C3524-XL-EN</v>
          </cell>
          <cell r="C581" t="str">
            <v>104160</v>
          </cell>
          <cell r="D581" t="str">
            <v>104160</v>
          </cell>
          <cell r="E581" t="str">
            <v>CATALYST 3524 XL ENTERPRISE</v>
          </cell>
          <cell r="F581">
            <v>58</v>
          </cell>
          <cell r="G581">
            <v>112968.17</v>
          </cell>
          <cell r="J581">
            <v>1</v>
          </cell>
          <cell r="K581">
            <v>112968.16</v>
          </cell>
          <cell r="L581">
            <v>112968.17</v>
          </cell>
          <cell r="M581">
            <v>124436.06992592594</v>
          </cell>
          <cell r="N581">
            <v>112968.17</v>
          </cell>
          <cell r="O581">
            <v>117000</v>
          </cell>
          <cell r="P581">
            <v>117000</v>
          </cell>
        </row>
        <row r="582">
          <cell r="A582" t="str">
            <v>WS-G5484104153X19</v>
          </cell>
          <cell r="B582" t="str">
            <v>WS-G5484</v>
          </cell>
          <cell r="C582" t="str">
            <v>104153X</v>
          </cell>
          <cell r="D582" t="str">
            <v>104153X</v>
          </cell>
          <cell r="E582" t="str">
            <v>1000 BASE SX SHORT WAVELENGTH*</v>
          </cell>
          <cell r="F582">
            <v>19</v>
          </cell>
          <cell r="G582">
            <v>0</v>
          </cell>
          <cell r="H582">
            <v>1</v>
          </cell>
          <cell r="L582">
            <v>0</v>
          </cell>
          <cell r="O582">
            <v>19000</v>
          </cell>
          <cell r="P582">
            <v>19000</v>
          </cell>
        </row>
        <row r="583">
          <cell r="A583" t="str">
            <v>WS-X3500-XL10418148</v>
          </cell>
          <cell r="B583" t="str">
            <v>WS-X3500-XL</v>
          </cell>
          <cell r="C583" t="str">
            <v>104181</v>
          </cell>
          <cell r="D583" t="str">
            <v>104181</v>
          </cell>
          <cell r="E583" t="str">
            <v>GIGASTACK STACKING GBIC</v>
          </cell>
          <cell r="F583">
            <v>48</v>
          </cell>
          <cell r="G583">
            <v>9872.16</v>
          </cell>
          <cell r="J583">
            <v>3</v>
          </cell>
          <cell r="K583">
            <v>29616.48</v>
          </cell>
          <cell r="L583">
            <v>9872.16</v>
          </cell>
          <cell r="M583">
            <v>10434.257874999999</v>
          </cell>
          <cell r="N583">
            <v>9872.16</v>
          </cell>
          <cell r="O583">
            <v>9800</v>
          </cell>
          <cell r="P583">
            <v>29400</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s"/>
      <sheetName val="Rate Table"/>
      <sheetName val="Useful Life"/>
      <sheetName val="working sheet"/>
      <sheetName val="Additions"/>
      <sheetName val="Opening-Deletions"/>
      <sheetName val="Compilation"/>
      <sheetName val="Depreciation-Chart"/>
    </sheetNames>
    <sheetDataSet>
      <sheetData sheetId="0"/>
      <sheetData sheetId="1"/>
      <sheetData sheetId="2"/>
      <sheetData sheetId="3">
        <row r="3">
          <cell r="A3" t="str">
            <v>Yes</v>
          </cell>
        </row>
        <row r="4">
          <cell r="A4" t="str">
            <v>No</v>
          </cell>
        </row>
      </sheetData>
      <sheetData sheetId="4"/>
      <sheetData sheetId="5"/>
      <sheetData sheetId="6"/>
      <sheetData sheetId="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alis with ladle"/>
      <sheetName val="DETAILED BUDGET PLAN"/>
    </sheetNames>
    <sheetDataSet>
      <sheetData sheetId="0" refreshError="1">
        <row r="7">
          <cell r="F7">
            <v>62308</v>
          </cell>
        </row>
        <row r="10">
          <cell r="E10">
            <v>11823</v>
          </cell>
          <cell r="F10">
            <v>51023.78</v>
          </cell>
        </row>
      </sheetData>
      <sheetData sheetId="1" refreshError="1"/>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Summary_contr."/>
      <sheetName val="var"/>
      <sheetName val="RM "/>
      <sheetName val="rej_overs_exprt"/>
      <sheetName val="no.of days holding"/>
      <sheetName val="Plantwise"/>
      <sheetName val="SLB_PROD"/>
      <sheetName val="Sales Qty"/>
      <sheetName val="Pkg matr"/>
      <sheetName val="Page 1"/>
      <sheetName val="Payment_oa"/>
      <sheetName val="4yrs fixed exps"/>
      <sheetName val="Manpower_impact"/>
      <sheetName val="FC_Gain"/>
      <sheetName val="summary "/>
      <sheetName val="Working 2 "/>
      <sheetName val="Working"/>
      <sheetName val="Page 4 "/>
      <sheetName val="Page 3 "/>
      <sheetName val="Page 2"/>
      <sheetName val="de_dec._trgt"/>
      <sheetName val="de_wrkg_trgt"/>
      <sheetName val="Q.E Dec Summary"/>
      <sheetName val="power units"/>
      <sheetName val="M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url adrs'!A1</v>
          </cell>
        </row>
        <row r="3">
          <cell r="A3" t="str">
            <v>S A L E A B L E       P R O D U C T I O N           2004-05  (F I G U R E S   I N   MT)</v>
          </cell>
        </row>
        <row r="5">
          <cell r="B5" t="str">
            <v>Fireclay</v>
          </cell>
          <cell r="L5" t="str">
            <v>Basic Burnt</v>
          </cell>
          <cell r="AB5" t="str">
            <v>Silica Bricks</v>
          </cell>
          <cell r="AH5" t="str">
            <v>Silica Mortar</v>
          </cell>
          <cell r="AK5" t="str">
            <v>Bricks-Saleable</v>
          </cell>
          <cell r="AL5" t="str">
            <v>BricksRejection from overs</v>
          </cell>
          <cell r="AM5" t="str">
            <v>Net Saleable Production</v>
          </cell>
          <cell r="AN5" t="str">
            <v>Total Mortar</v>
          </cell>
          <cell r="AO5" t="str">
            <v>Grand Total</v>
          </cell>
          <cell r="AP5" t="str">
            <v>Gross Production</v>
          </cell>
        </row>
        <row r="6">
          <cell r="B6" t="str">
            <v>Fire Bricks (Others)</v>
          </cell>
          <cell r="D6" t="str">
            <v>Fire Bricks (HAAF)</v>
          </cell>
          <cell r="F6" t="str">
            <v>CONCAST</v>
          </cell>
          <cell r="H6" t="str">
            <v>CASTABEL BRICKS</v>
          </cell>
          <cell r="J6" t="str">
            <v>Castable - Mortar</v>
          </cell>
          <cell r="K6" t="str">
            <v>F/C -Mortar</v>
          </cell>
          <cell r="L6" t="str">
            <v>BASIC BRICKS (OTHERS)</v>
          </cell>
          <cell r="Q6" t="str">
            <v>BASIC BRICKS (BHT)</v>
          </cell>
          <cell r="U6" t="str">
            <v>SGP</v>
          </cell>
          <cell r="W6" t="str">
            <v>MGC</v>
          </cell>
          <cell r="Y6" t="str">
            <v>CBB</v>
          </cell>
          <cell r="AA6" t="str">
            <v>Basic Mortar</v>
          </cell>
          <cell r="AB6" t="str">
            <v>Silica I &amp; II</v>
          </cell>
          <cell r="AD6" t="str">
            <v>SILICA III</v>
          </cell>
          <cell r="AF6" t="str">
            <v>SLC IN F/C</v>
          </cell>
          <cell r="AH6" t="str">
            <v>Silica I &amp; II</v>
          </cell>
          <cell r="AI6" t="str">
            <v>Silica III</v>
          </cell>
          <cell r="AJ6" t="str">
            <v>Slc in F/c</v>
          </cell>
        </row>
        <row r="7">
          <cell r="L7" t="str">
            <v>Saleable</v>
          </cell>
          <cell r="M7" t="str">
            <v>Rejection From Overs</v>
          </cell>
          <cell r="Q7" t="str">
            <v>Saleable</v>
          </cell>
          <cell r="R7" t="str">
            <v>Rejection from Overs</v>
          </cell>
        </row>
        <row r="8">
          <cell r="B8" t="str">
            <v>Saleable</v>
          </cell>
          <cell r="C8" t="str">
            <v>Rej. fromOVers</v>
          </cell>
          <cell r="D8" t="str">
            <v>Saleable</v>
          </cell>
          <cell r="E8" t="str">
            <v>Rej. fromOVers</v>
          </cell>
          <cell r="F8" t="str">
            <v>Saleable</v>
          </cell>
          <cell r="G8" t="str">
            <v>Rej. fromOVers</v>
          </cell>
          <cell r="H8" t="str">
            <v>Saleable</v>
          </cell>
          <cell r="I8" t="str">
            <v>Rej. fromOVers</v>
          </cell>
          <cell r="M8" t="str">
            <v>Magzir</v>
          </cell>
          <cell r="N8" t="str">
            <v>CH</v>
          </cell>
          <cell r="O8" t="str">
            <v>Mixed-Others</v>
          </cell>
          <cell r="P8" t="str">
            <v>MGT-Others</v>
          </cell>
          <cell r="R8" t="str">
            <v>TIM</v>
          </cell>
          <cell r="S8" t="str">
            <v>Mixed - BHT</v>
          </cell>
          <cell r="T8" t="str">
            <v>MGT - BHT</v>
          </cell>
          <cell r="U8" t="str">
            <v>Saleable</v>
          </cell>
          <cell r="V8" t="str">
            <v>Rej. fromOVers</v>
          </cell>
          <cell r="W8" t="str">
            <v>Saleable</v>
          </cell>
          <cell r="X8" t="str">
            <v>Rej. From OVers</v>
          </cell>
          <cell r="Y8" t="str">
            <v>Saleable</v>
          </cell>
          <cell r="Z8" t="str">
            <v>Rej. fromOVers</v>
          </cell>
          <cell r="AB8" t="str">
            <v>Saleable</v>
          </cell>
          <cell r="AC8" t="str">
            <v>Rej. fromOVers</v>
          </cell>
          <cell r="AD8" t="str">
            <v>Saleable</v>
          </cell>
          <cell r="AE8" t="str">
            <v>Rej. fromOVers</v>
          </cell>
          <cell r="AF8" t="str">
            <v>Saleable</v>
          </cell>
          <cell r="AG8" t="str">
            <v>Rej. fromOVers</v>
          </cell>
          <cell r="AP8" t="str">
            <v>Gross Production</v>
          </cell>
        </row>
        <row r="9">
          <cell r="A9">
            <v>38078</v>
          </cell>
        </row>
        <row r="10">
          <cell r="A10">
            <v>38108</v>
          </cell>
        </row>
        <row r="11">
          <cell r="A11">
            <v>38139</v>
          </cell>
        </row>
        <row r="12">
          <cell r="A12">
            <v>38169</v>
          </cell>
        </row>
        <row r="13">
          <cell r="A13">
            <v>38200</v>
          </cell>
        </row>
        <row r="14">
          <cell r="A14">
            <v>38231</v>
          </cell>
        </row>
        <row r="15">
          <cell r="A15">
            <v>38261</v>
          </cell>
        </row>
        <row r="16">
          <cell r="A16">
            <v>38292</v>
          </cell>
        </row>
        <row r="17">
          <cell r="A17">
            <v>38322</v>
          </cell>
        </row>
        <row r="18">
          <cell r="A18">
            <v>38353</v>
          </cell>
        </row>
        <row r="19">
          <cell r="A19">
            <v>38384</v>
          </cell>
        </row>
        <row r="20">
          <cell r="A20">
            <v>38412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sheetName val="BS"/>
      <sheetName val="Cash Flow"/>
      <sheetName val="P &amp; L"/>
      <sheetName val="Sch - liab (2)"/>
      <sheetName val="Notes"/>
      <sheetName val="AS-22"/>
      <sheetName val="DEP assets as on 01.04.2020"/>
      <sheetName val="Assets purchase after 1.4.2020"/>
      <sheetName val="DEP CO aCT"/>
      <sheetName val="Income Tax Act"/>
      <sheetName val="Sch-Debtor_Creditors"/>
      <sheetName val="Ratios (2)"/>
      <sheetName val="BRS"/>
      <sheetName val="Trade Payable"/>
      <sheetName val="Trade Receivable"/>
    </sheetNames>
    <sheetDataSet>
      <sheetData sheetId="0">
        <row r="3">
          <cell r="B3" t="str">
            <v>Particulars</v>
          </cell>
          <cell r="C3" t="str">
            <v>Amount</v>
          </cell>
          <cell r="D3" t="str">
            <v>Consider or Not</v>
          </cell>
          <cell r="E3" t="str">
            <v>In Thousands</v>
          </cell>
          <cell r="F3" t="str">
            <v>A/L/I/E</v>
          </cell>
          <cell r="G3" t="str">
            <v>Grouping</v>
          </cell>
        </row>
        <row r="4">
          <cell r="B4" t="str">
            <v>Discount As (Direct Income)</v>
          </cell>
          <cell r="C4">
            <v>-3234</v>
          </cell>
          <cell r="D4" t="str">
            <v>Y</v>
          </cell>
          <cell r="E4">
            <v>-3.23</v>
          </cell>
          <cell r="F4" t="str">
            <v>I</v>
          </cell>
          <cell r="G4" t="str">
            <v>Misc. Income</v>
          </cell>
        </row>
        <row r="5">
          <cell r="B5" t="str">
            <v>Reserve &amp; Surplus A/c</v>
          </cell>
          <cell r="C5">
            <v>-1565348.19</v>
          </cell>
          <cell r="D5" t="str">
            <v>Y</v>
          </cell>
          <cell r="E5">
            <v>-1565.35</v>
          </cell>
          <cell r="F5" t="str">
            <v>L</v>
          </cell>
          <cell r="G5" t="str">
            <v>Opening balance</v>
          </cell>
        </row>
        <row r="6">
          <cell r="B6" t="str">
            <v>SHARE CAPITAL PREMIUM ACCOUNT</v>
          </cell>
          <cell r="C6">
            <v>-1439800</v>
          </cell>
          <cell r="D6" t="str">
            <v>Y</v>
          </cell>
          <cell r="E6">
            <v>-1439.8</v>
          </cell>
          <cell r="F6" t="str">
            <v>L</v>
          </cell>
          <cell r="G6" t="str">
            <v>Share Security Premium</v>
          </cell>
        </row>
        <row r="7">
          <cell r="B7" t="str">
            <v>Shares Capital</v>
          </cell>
          <cell r="C7">
            <v>-975400</v>
          </cell>
          <cell r="D7" t="str">
            <v>Y</v>
          </cell>
          <cell r="E7">
            <v>-975.4</v>
          </cell>
          <cell r="F7" t="str">
            <v>L</v>
          </cell>
          <cell r="G7" t="str">
            <v>Opening balance                                             97,540                           97,540</v>
          </cell>
        </row>
        <row r="8">
          <cell r="B8" t="str">
            <v>Shri Ganesh Jee</v>
          </cell>
          <cell r="C8">
            <v>-35</v>
          </cell>
          <cell r="D8" t="str">
            <v>Y</v>
          </cell>
          <cell r="E8">
            <v>-0.04</v>
          </cell>
          <cell r="F8" t="str">
            <v>L</v>
          </cell>
          <cell r="G8" t="str">
            <v>Shri Ganesh Jee</v>
          </cell>
        </row>
        <row r="9">
          <cell r="B9" t="str">
            <v>Axis Bank Ltd. (Loan No. PCR053307208921)</v>
          </cell>
          <cell r="C9">
            <v>-10640068</v>
          </cell>
          <cell r="D9" t="str">
            <v>Y</v>
          </cell>
          <cell r="E9">
            <v>-10640.07</v>
          </cell>
          <cell r="F9" t="str">
            <v>L</v>
          </cell>
          <cell r="G9" t="str">
            <v>Secured From Banks</v>
          </cell>
        </row>
        <row r="10">
          <cell r="B10" t="str">
            <v>Axis Bank Ltd.( Loan No. PCR053307210594)</v>
          </cell>
          <cell r="C10">
            <v>-11583371</v>
          </cell>
          <cell r="D10" t="str">
            <v>Y</v>
          </cell>
          <cell r="E10">
            <v>-11583.37</v>
          </cell>
          <cell r="F10" t="str">
            <v>L</v>
          </cell>
          <cell r="G10" t="str">
            <v>Secured From Banks</v>
          </cell>
        </row>
        <row r="11">
          <cell r="B11" t="str">
            <v>Axis Bank Ltd. (Loan No. PCR053307210732)</v>
          </cell>
          <cell r="C11">
            <v>-12700000</v>
          </cell>
          <cell r="D11" t="str">
            <v>Y</v>
          </cell>
          <cell r="E11">
            <v>-12700</v>
          </cell>
          <cell r="F11" t="str">
            <v>L</v>
          </cell>
          <cell r="G11" t="str">
            <v>Secured From Banks</v>
          </cell>
        </row>
        <row r="12">
          <cell r="B12" t="str">
            <v>CLIX FINANACE</v>
          </cell>
          <cell r="C12">
            <v>-1240325.1000000001</v>
          </cell>
          <cell r="D12" t="str">
            <v>Y</v>
          </cell>
          <cell r="E12">
            <v>-1240.33</v>
          </cell>
          <cell r="F12" t="str">
            <v>L</v>
          </cell>
          <cell r="G12" t="str">
            <v>Secured From Others</v>
          </cell>
        </row>
        <row r="13">
          <cell r="B13" t="str">
            <v>AXIS BANK LOAN</v>
          </cell>
          <cell r="C13">
            <v>-135860</v>
          </cell>
          <cell r="D13" t="str">
            <v>Y</v>
          </cell>
          <cell r="E13">
            <v>-135.86000000000001</v>
          </cell>
          <cell r="F13" t="str">
            <v>L</v>
          </cell>
          <cell r="G13" t="str">
            <v>Unsecured from Banks</v>
          </cell>
        </row>
        <row r="14">
          <cell r="B14" t="str">
            <v>Bela Keshan</v>
          </cell>
          <cell r="C14">
            <v>-1087857</v>
          </cell>
          <cell r="D14" t="str">
            <v>Y</v>
          </cell>
          <cell r="E14">
            <v>-1087.8599999999999</v>
          </cell>
          <cell r="F14" t="str">
            <v>L</v>
          </cell>
          <cell r="G14" t="str">
            <v>Long term borrowings from Directors</v>
          </cell>
        </row>
        <row r="15">
          <cell r="B15" t="str">
            <v>CAPITAL FIRST 2</v>
          </cell>
          <cell r="C15">
            <v>-120618.7</v>
          </cell>
          <cell r="D15" t="str">
            <v>Y</v>
          </cell>
          <cell r="E15">
            <v>-120.62</v>
          </cell>
          <cell r="F15" t="str">
            <v>L</v>
          </cell>
          <cell r="G15" t="str">
            <v>Unsecured from others</v>
          </cell>
        </row>
        <row r="16">
          <cell r="B16" t="str">
            <v>Clix Capital Loan A/c 2</v>
          </cell>
          <cell r="C16">
            <v>-442592</v>
          </cell>
          <cell r="D16" t="str">
            <v>Y</v>
          </cell>
          <cell r="E16">
            <v>-442.59</v>
          </cell>
          <cell r="F16" t="str">
            <v>L</v>
          </cell>
          <cell r="G16" t="str">
            <v>Unsecured from others</v>
          </cell>
        </row>
        <row r="17">
          <cell r="B17" t="str">
            <v>ECL Finance Loan A/c</v>
          </cell>
          <cell r="C17">
            <v>-214445</v>
          </cell>
          <cell r="D17" t="str">
            <v>Y</v>
          </cell>
          <cell r="E17">
            <v>-214.45</v>
          </cell>
          <cell r="F17" t="str">
            <v>L</v>
          </cell>
          <cell r="G17" t="str">
            <v>Unsecured from Banks</v>
          </cell>
        </row>
        <row r="18">
          <cell r="B18" t="str">
            <v>HDFC BANK LTD (LOAN)</v>
          </cell>
          <cell r="C18">
            <v>-28194.74</v>
          </cell>
          <cell r="D18" t="str">
            <v>Y</v>
          </cell>
          <cell r="E18">
            <v>-28.19</v>
          </cell>
          <cell r="F18" t="str">
            <v>L</v>
          </cell>
          <cell r="G18" t="str">
            <v>Unsecured from Banks</v>
          </cell>
        </row>
        <row r="19">
          <cell r="B19" t="str">
            <v>Mahindra &amp; Mahindra Finance (Loan A/c)</v>
          </cell>
          <cell r="C19">
            <v>-204275.52</v>
          </cell>
          <cell r="D19" t="str">
            <v>Y</v>
          </cell>
          <cell r="E19">
            <v>-204.28</v>
          </cell>
          <cell r="F19" t="str">
            <v>L</v>
          </cell>
          <cell r="G19" t="str">
            <v>Unsecured from others</v>
          </cell>
        </row>
        <row r="20">
          <cell r="B20" t="str">
            <v>Shiv Prakash Keshan (Director)</v>
          </cell>
          <cell r="C20">
            <v>-1669841.3</v>
          </cell>
          <cell r="D20" t="str">
            <v>Y</v>
          </cell>
          <cell r="E20">
            <v>-1669.84</v>
          </cell>
          <cell r="F20" t="str">
            <v>L</v>
          </cell>
          <cell r="G20" t="str">
            <v>Short term borrowings from Directors</v>
          </cell>
        </row>
        <row r="21">
          <cell r="B21" t="str">
            <v>Utkarsh Keshan</v>
          </cell>
          <cell r="C21">
            <v>-55536.54</v>
          </cell>
          <cell r="D21" t="str">
            <v>Y</v>
          </cell>
          <cell r="E21">
            <v>-55.54</v>
          </cell>
          <cell r="F21" t="str">
            <v>L</v>
          </cell>
          <cell r="G21" t="str">
            <v>Short term borrowings from Directors</v>
          </cell>
        </row>
        <row r="22">
          <cell r="B22" t="str">
            <v>Duty Igst Import</v>
          </cell>
          <cell r="C22">
            <v>16106.76</v>
          </cell>
          <cell r="D22" t="str">
            <v>Y</v>
          </cell>
          <cell r="E22">
            <v>16.11</v>
          </cell>
          <cell r="F22" t="str">
            <v>A</v>
          </cell>
          <cell r="G22" t="str">
            <v>Balance with revenue authorities</v>
          </cell>
        </row>
        <row r="23">
          <cell r="B23" t="str">
            <v>Input CGST @ 14%</v>
          </cell>
          <cell r="C23">
            <v>53183.14</v>
          </cell>
          <cell r="D23" t="str">
            <v>Y</v>
          </cell>
          <cell r="E23">
            <v>53.18</v>
          </cell>
          <cell r="F23" t="str">
            <v>A</v>
          </cell>
          <cell r="G23" t="str">
            <v>Balance with revenue authorities</v>
          </cell>
        </row>
        <row r="24">
          <cell r="B24" t="str">
            <v>Input CGST @ 2.5%</v>
          </cell>
          <cell r="C24">
            <v>7161.05</v>
          </cell>
          <cell r="D24" t="str">
            <v>Y</v>
          </cell>
          <cell r="E24">
            <v>7.16</v>
          </cell>
          <cell r="F24" t="str">
            <v>A</v>
          </cell>
          <cell r="G24" t="str">
            <v>Balance with revenue authorities</v>
          </cell>
        </row>
        <row r="25">
          <cell r="B25" t="str">
            <v>Input CGST @ 6%</v>
          </cell>
          <cell r="C25">
            <v>4902.24</v>
          </cell>
          <cell r="D25" t="str">
            <v>Y</v>
          </cell>
          <cell r="E25">
            <v>4.9000000000000004</v>
          </cell>
          <cell r="F25" t="str">
            <v>A</v>
          </cell>
          <cell r="G25" t="str">
            <v>Balance with revenue authorities</v>
          </cell>
        </row>
        <row r="26">
          <cell r="B26" t="str">
            <v>Input CGST @ 9%</v>
          </cell>
          <cell r="C26">
            <v>51550.27</v>
          </cell>
          <cell r="D26" t="str">
            <v>Y</v>
          </cell>
          <cell r="E26">
            <v>51.55</v>
          </cell>
          <cell r="F26" t="str">
            <v>A</v>
          </cell>
          <cell r="G26" t="str">
            <v>Balance with revenue authorities</v>
          </cell>
        </row>
        <row r="27">
          <cell r="B27" t="str">
            <v>Input IGST @ 12%</v>
          </cell>
          <cell r="C27">
            <v>2113.46</v>
          </cell>
          <cell r="D27" t="str">
            <v>Y</v>
          </cell>
          <cell r="E27">
            <v>2.11</v>
          </cell>
          <cell r="F27" t="str">
            <v>A</v>
          </cell>
          <cell r="G27" t="str">
            <v>Balance with revenue authorities</v>
          </cell>
        </row>
        <row r="28">
          <cell r="B28" t="str">
            <v>Input IGST @ 18%</v>
          </cell>
          <cell r="C28">
            <v>219706.78</v>
          </cell>
          <cell r="D28" t="str">
            <v>Y</v>
          </cell>
          <cell r="E28">
            <v>219.71</v>
          </cell>
          <cell r="F28" t="str">
            <v>A</v>
          </cell>
          <cell r="G28" t="str">
            <v>Balance with revenue authorities</v>
          </cell>
        </row>
        <row r="29">
          <cell r="B29" t="str">
            <v>Input IGST @ 28%</v>
          </cell>
          <cell r="C29">
            <v>28.22</v>
          </cell>
          <cell r="D29" t="str">
            <v>Y</v>
          </cell>
          <cell r="E29">
            <v>0.03</v>
          </cell>
          <cell r="F29" t="str">
            <v>A</v>
          </cell>
          <cell r="G29" t="str">
            <v>Balance with revenue authorities</v>
          </cell>
        </row>
        <row r="30">
          <cell r="B30" t="str">
            <v>Input IGST @ 5%</v>
          </cell>
          <cell r="C30">
            <v>41335.730000000003</v>
          </cell>
          <cell r="D30" t="str">
            <v>Y</v>
          </cell>
          <cell r="E30">
            <v>41.34</v>
          </cell>
          <cell r="F30" t="str">
            <v>A</v>
          </cell>
          <cell r="G30" t="str">
            <v>Balance with revenue authorities</v>
          </cell>
        </row>
        <row r="31">
          <cell r="B31" t="str">
            <v>Input SGST @ 14%</v>
          </cell>
          <cell r="C31">
            <v>53183.14</v>
          </cell>
          <cell r="D31" t="str">
            <v>Y</v>
          </cell>
          <cell r="E31">
            <v>53.18</v>
          </cell>
          <cell r="F31" t="str">
            <v>A</v>
          </cell>
          <cell r="G31" t="str">
            <v>Balance with revenue authorities</v>
          </cell>
        </row>
        <row r="32">
          <cell r="B32" t="str">
            <v>Input SGST @ 2.5%</v>
          </cell>
          <cell r="C32">
            <v>7161.05</v>
          </cell>
          <cell r="D32" t="str">
            <v>Y</v>
          </cell>
          <cell r="E32">
            <v>7.16</v>
          </cell>
          <cell r="F32" t="str">
            <v>A</v>
          </cell>
          <cell r="G32" t="str">
            <v>Balance with revenue authorities</v>
          </cell>
        </row>
        <row r="33">
          <cell r="B33" t="str">
            <v>Input SGST @ 6%</v>
          </cell>
          <cell r="C33">
            <v>4902.24</v>
          </cell>
          <cell r="D33" t="str">
            <v>Y</v>
          </cell>
          <cell r="E33">
            <v>4.9000000000000004</v>
          </cell>
          <cell r="F33" t="str">
            <v>A</v>
          </cell>
          <cell r="G33" t="str">
            <v>Balance with revenue authorities</v>
          </cell>
        </row>
        <row r="34">
          <cell r="B34" t="str">
            <v>Input SGST @ 9%</v>
          </cell>
          <cell r="C34">
            <v>51550.27</v>
          </cell>
          <cell r="D34" t="str">
            <v>Y</v>
          </cell>
          <cell r="E34">
            <v>51.55</v>
          </cell>
          <cell r="F34" t="str">
            <v>A</v>
          </cell>
          <cell r="G34" t="str">
            <v>Balance with revenue authorities</v>
          </cell>
        </row>
        <row r="35">
          <cell r="B35" t="str">
            <v>Output CGST @ 2.5%</v>
          </cell>
          <cell r="C35">
            <v>-14843.41</v>
          </cell>
          <cell r="D35" t="str">
            <v>Y</v>
          </cell>
          <cell r="E35">
            <v>-14.84</v>
          </cell>
          <cell r="F35" t="str">
            <v>A</v>
          </cell>
          <cell r="G35" t="str">
            <v>Balance with revenue authorities</v>
          </cell>
        </row>
        <row r="36">
          <cell r="B36" t="str">
            <v>Output CGST @ 9%</v>
          </cell>
          <cell r="C36">
            <v>-89.22</v>
          </cell>
          <cell r="D36" t="str">
            <v>Y</v>
          </cell>
          <cell r="E36">
            <v>-0.09</v>
          </cell>
          <cell r="F36" t="str">
            <v>A</v>
          </cell>
          <cell r="G36" t="str">
            <v>Balance with revenue authorities</v>
          </cell>
        </row>
        <row r="37">
          <cell r="B37" t="str">
            <v>Output IGST 5%</v>
          </cell>
          <cell r="C37">
            <v>-67049.100000000006</v>
          </cell>
          <cell r="D37" t="str">
            <v>Y</v>
          </cell>
          <cell r="E37">
            <v>-67.05</v>
          </cell>
          <cell r="F37" t="str">
            <v>A</v>
          </cell>
          <cell r="G37" t="str">
            <v>Balance with revenue authorities</v>
          </cell>
        </row>
        <row r="38">
          <cell r="B38" t="str">
            <v>Output IGST @ 18%</v>
          </cell>
          <cell r="C38">
            <v>-142179.45000000001</v>
          </cell>
          <cell r="D38" t="str">
            <v>Y</v>
          </cell>
          <cell r="E38">
            <v>-142.18</v>
          </cell>
          <cell r="F38" t="str">
            <v>A</v>
          </cell>
          <cell r="G38" t="str">
            <v>Balance with revenue authorities</v>
          </cell>
        </row>
        <row r="39">
          <cell r="B39" t="str">
            <v>Output SGST @ 2.5%</v>
          </cell>
          <cell r="C39">
            <v>-14843.41</v>
          </cell>
          <cell r="D39" t="str">
            <v>Y</v>
          </cell>
          <cell r="E39">
            <v>-14.84</v>
          </cell>
          <cell r="F39" t="str">
            <v>A</v>
          </cell>
          <cell r="G39" t="str">
            <v>Balance with revenue authorities</v>
          </cell>
        </row>
        <row r="40">
          <cell r="B40" t="str">
            <v>Output SGST @ 9%</v>
          </cell>
          <cell r="C40">
            <v>-89.22</v>
          </cell>
          <cell r="D40" t="str">
            <v>Y</v>
          </cell>
          <cell r="E40">
            <v>-0.09</v>
          </cell>
          <cell r="F40" t="str">
            <v>A</v>
          </cell>
          <cell r="G40" t="str">
            <v>Balance with revenue authorities</v>
          </cell>
        </row>
        <row r="41">
          <cell r="B41" t="str">
            <v>Tcs CSGT @ 0.50%</v>
          </cell>
          <cell r="C41">
            <v>103.38</v>
          </cell>
          <cell r="D41" t="str">
            <v>Y</v>
          </cell>
          <cell r="E41">
            <v>0.1</v>
          </cell>
          <cell r="F41" t="str">
            <v>A</v>
          </cell>
          <cell r="G41" t="str">
            <v>Balance with revenue authorities</v>
          </cell>
        </row>
        <row r="42">
          <cell r="B42" t="str">
            <v>TCS IGST @ 1.00%</v>
          </cell>
          <cell r="C42">
            <v>3267.59</v>
          </cell>
          <cell r="D42" t="str">
            <v>Y</v>
          </cell>
          <cell r="E42">
            <v>3.27</v>
          </cell>
          <cell r="F42" t="str">
            <v>A</v>
          </cell>
          <cell r="G42" t="str">
            <v>Balance with revenue authorities</v>
          </cell>
        </row>
        <row r="43">
          <cell r="B43" t="str">
            <v>TCS SGST @ 0.50%</v>
          </cell>
          <cell r="C43">
            <v>103.38</v>
          </cell>
          <cell r="D43" t="str">
            <v>Y</v>
          </cell>
          <cell r="E43">
            <v>0.1</v>
          </cell>
          <cell r="F43" t="str">
            <v>A</v>
          </cell>
          <cell r="G43" t="str">
            <v>Balance with revenue authorities</v>
          </cell>
        </row>
        <row r="44">
          <cell r="B44" t="str">
            <v>Pallavi Enterprises</v>
          </cell>
          <cell r="C44">
            <v>-18184</v>
          </cell>
          <cell r="D44" t="str">
            <v>Y</v>
          </cell>
          <cell r="E44">
            <v>-18.18</v>
          </cell>
          <cell r="F44" t="str">
            <v>L</v>
          </cell>
          <cell r="G44" t="str">
            <v>Other trade payable (Including acceptance)</v>
          </cell>
        </row>
        <row r="45">
          <cell r="B45" t="str">
            <v>Securement Packaging Pvt. Ltd.</v>
          </cell>
          <cell r="C45">
            <v>-0.01</v>
          </cell>
          <cell r="D45" t="str">
            <v>Y</v>
          </cell>
          <cell r="E45">
            <v>0</v>
          </cell>
          <cell r="F45" t="str">
            <v>L</v>
          </cell>
          <cell r="G45" t="str">
            <v>Other trade payable (Including acceptance)</v>
          </cell>
        </row>
        <row r="46">
          <cell r="B46" t="str">
            <v>AUDIT FEE PAYABLE</v>
          </cell>
          <cell r="C46">
            <v>-63000</v>
          </cell>
          <cell r="D46" t="str">
            <v>Y</v>
          </cell>
          <cell r="E46">
            <v>-63</v>
          </cell>
          <cell r="F46" t="str">
            <v>L</v>
          </cell>
          <cell r="G46" t="str">
            <v>Expenses Payable</v>
          </cell>
        </row>
        <row r="47">
          <cell r="B47" t="str">
            <v>Electricity Charges Payable</v>
          </cell>
          <cell r="C47">
            <v>-1970</v>
          </cell>
          <cell r="D47" t="str">
            <v>Y</v>
          </cell>
          <cell r="E47">
            <v>-1.97</v>
          </cell>
          <cell r="F47" t="str">
            <v>L</v>
          </cell>
          <cell r="G47" t="str">
            <v>Expenses Payable</v>
          </cell>
        </row>
        <row r="48">
          <cell r="B48" t="str">
            <v>Nayan Keshan</v>
          </cell>
          <cell r="C48">
            <v>-750000</v>
          </cell>
          <cell r="D48" t="str">
            <v>Y</v>
          </cell>
          <cell r="E48">
            <v>-750</v>
          </cell>
          <cell r="F48" t="str">
            <v>L</v>
          </cell>
          <cell r="G48" t="str">
            <v>Short term borrowings from Directors</v>
          </cell>
        </row>
        <row r="49">
          <cell r="B49" t="str">
            <v>T.D.S Payable</v>
          </cell>
          <cell r="C49">
            <v>-5400</v>
          </cell>
          <cell r="D49" t="str">
            <v>Y</v>
          </cell>
          <cell r="E49">
            <v>-5.4</v>
          </cell>
          <cell r="F49" t="str">
            <v>L</v>
          </cell>
          <cell r="G49" t="str">
            <v>Statutory Dues</v>
          </cell>
        </row>
        <row r="50">
          <cell r="B50" t="str">
            <v>Telephone Exp. Payable</v>
          </cell>
          <cell r="C50">
            <v>-3292.79</v>
          </cell>
          <cell r="D50" t="str">
            <v>Y</v>
          </cell>
          <cell r="E50">
            <v>-3.29</v>
          </cell>
          <cell r="F50" t="str">
            <v>L</v>
          </cell>
          <cell r="G50" t="str">
            <v>Expenses Payable</v>
          </cell>
        </row>
        <row r="51">
          <cell r="B51" t="str">
            <v>Car A/c</v>
          </cell>
          <cell r="C51">
            <v>2924460.57</v>
          </cell>
          <cell r="D51" t="str">
            <v>Y</v>
          </cell>
          <cell r="E51">
            <v>2924.46</v>
          </cell>
          <cell r="F51" t="str">
            <v>A</v>
          </cell>
          <cell r="G51" t="str">
            <v>(a) Property Plant &amp; Equipment</v>
          </cell>
        </row>
        <row r="52">
          <cell r="B52" t="str">
            <v>Computer A/c</v>
          </cell>
          <cell r="C52">
            <v>103624.13</v>
          </cell>
          <cell r="D52" t="str">
            <v>Y</v>
          </cell>
          <cell r="E52">
            <v>103.62</v>
          </cell>
          <cell r="F52" t="str">
            <v>A</v>
          </cell>
          <cell r="G52" t="str">
            <v>(a) Property Plant &amp; Equipment</v>
          </cell>
        </row>
        <row r="53">
          <cell r="B53" t="str">
            <v>Electricity Fittings</v>
          </cell>
          <cell r="C53">
            <v>2917.35</v>
          </cell>
          <cell r="D53" t="str">
            <v>Y</v>
          </cell>
          <cell r="E53">
            <v>2.92</v>
          </cell>
          <cell r="F53" t="str">
            <v>A</v>
          </cell>
          <cell r="G53" t="str">
            <v>(a) Property Plant &amp; Equipment</v>
          </cell>
        </row>
        <row r="54">
          <cell r="B54" t="str">
            <v>EPABX</v>
          </cell>
          <cell r="C54">
            <v>1457</v>
          </cell>
          <cell r="D54" t="str">
            <v>Y</v>
          </cell>
          <cell r="E54">
            <v>1.46</v>
          </cell>
          <cell r="F54" t="str">
            <v>A</v>
          </cell>
          <cell r="G54" t="str">
            <v>(a) Property Plant &amp; Equipment</v>
          </cell>
        </row>
        <row r="55">
          <cell r="B55" t="str">
            <v>Furniture Taxable A/c</v>
          </cell>
          <cell r="C55">
            <v>11018.84</v>
          </cell>
          <cell r="D55" t="str">
            <v>Y</v>
          </cell>
          <cell r="E55">
            <v>11.02</v>
          </cell>
          <cell r="F55" t="str">
            <v>A</v>
          </cell>
          <cell r="G55" t="str">
            <v>(a) Property Plant &amp; Equipment</v>
          </cell>
        </row>
        <row r="56">
          <cell r="B56" t="str">
            <v>INVERTOR</v>
          </cell>
          <cell r="C56">
            <v>1076.3599999999999</v>
          </cell>
          <cell r="D56" t="str">
            <v>Y</v>
          </cell>
          <cell r="E56">
            <v>1.08</v>
          </cell>
          <cell r="F56" t="str">
            <v>A</v>
          </cell>
          <cell r="G56" t="str">
            <v>(a) Property Plant &amp; Equipment</v>
          </cell>
        </row>
        <row r="57">
          <cell r="B57" t="str">
            <v>Jeeto Pick Up Van (DL-1LAA 0989)</v>
          </cell>
          <cell r="C57">
            <v>81414.95</v>
          </cell>
          <cell r="D57" t="str">
            <v>Y</v>
          </cell>
          <cell r="E57">
            <v>81.41</v>
          </cell>
          <cell r="F57" t="str">
            <v>A</v>
          </cell>
          <cell r="G57" t="str">
            <v>(a) Property Plant &amp; Equipment</v>
          </cell>
        </row>
        <row r="58">
          <cell r="B58" t="str">
            <v>JEETO PICKUP VAN (DL1LAE8623)</v>
          </cell>
          <cell r="C58">
            <v>348032.03</v>
          </cell>
          <cell r="D58" t="str">
            <v>Y</v>
          </cell>
          <cell r="E58">
            <v>348.03</v>
          </cell>
          <cell r="F58" t="str">
            <v>A</v>
          </cell>
          <cell r="G58" t="str">
            <v>(a) Property Plant &amp; Equipment</v>
          </cell>
        </row>
        <row r="59">
          <cell r="B59" t="str">
            <v>Jeeto Pick Up Van (DL-1LY 5339)</v>
          </cell>
          <cell r="C59">
            <v>94355.11</v>
          </cell>
          <cell r="D59" t="str">
            <v>Y</v>
          </cell>
          <cell r="E59">
            <v>94.36</v>
          </cell>
          <cell r="F59" t="str">
            <v>A</v>
          </cell>
          <cell r="G59" t="str">
            <v>(a) Property Plant &amp; Equipment</v>
          </cell>
        </row>
        <row r="60">
          <cell r="B60" t="str">
            <v>Securty System(Warehouse Securty System)</v>
          </cell>
          <cell r="C60">
            <v>2136</v>
          </cell>
          <cell r="D60" t="str">
            <v>Y</v>
          </cell>
          <cell r="E60">
            <v>2.14</v>
          </cell>
          <cell r="F60" t="str">
            <v>A</v>
          </cell>
          <cell r="G60" t="str">
            <v>(a) Property Plant &amp; Equipment</v>
          </cell>
        </row>
        <row r="61">
          <cell r="B61" t="str">
            <v>TWO WHILER</v>
          </cell>
          <cell r="C61">
            <v>11299.63</v>
          </cell>
          <cell r="D61" t="str">
            <v>Y</v>
          </cell>
          <cell r="E61">
            <v>11.3</v>
          </cell>
          <cell r="F61" t="str">
            <v>A</v>
          </cell>
          <cell r="G61" t="str">
            <v>(a) Property Plant &amp; Equipment</v>
          </cell>
        </row>
        <row r="62">
          <cell r="B62" t="str">
            <v>WATER PURIFIER</v>
          </cell>
          <cell r="C62">
            <v>585</v>
          </cell>
          <cell r="D62" t="str">
            <v>Y</v>
          </cell>
          <cell r="E62">
            <v>0.59</v>
          </cell>
          <cell r="F62" t="str">
            <v>A</v>
          </cell>
          <cell r="G62" t="str">
            <v>(a) Property Plant &amp; Equipment</v>
          </cell>
        </row>
        <row r="63">
          <cell r="B63" t="str">
            <v>Opening Stock</v>
          </cell>
          <cell r="C63">
            <v>119455.94</v>
          </cell>
          <cell r="D63" t="str">
            <v>Y</v>
          </cell>
          <cell r="E63">
            <v>0</v>
          </cell>
          <cell r="F63" t="str">
            <v>A</v>
          </cell>
          <cell r="G63" t="str">
            <v xml:space="preserve">Closing Stock </v>
          </cell>
        </row>
        <row r="64">
          <cell r="B64" t="str">
            <v>Daksh Enterprises</v>
          </cell>
          <cell r="C64">
            <v>21977</v>
          </cell>
          <cell r="D64" t="str">
            <v>Y</v>
          </cell>
          <cell r="E64">
            <v>21.98</v>
          </cell>
          <cell r="F64" t="str">
            <v>A</v>
          </cell>
          <cell r="G64" t="str">
            <v xml:space="preserve">  secured, considered good </v>
          </cell>
        </row>
        <row r="65">
          <cell r="B65" t="str">
            <v>Flipkart Internet Pvt. Ltd.</v>
          </cell>
          <cell r="C65">
            <v>92.13</v>
          </cell>
          <cell r="D65" t="str">
            <v>Y</v>
          </cell>
          <cell r="E65">
            <v>0.09</v>
          </cell>
          <cell r="F65" t="str">
            <v>A</v>
          </cell>
          <cell r="G65" t="str">
            <v xml:space="preserve">  secured, considered good </v>
          </cell>
        </row>
        <row r="66">
          <cell r="B66" t="str">
            <v>M/S Veer Enterprises</v>
          </cell>
          <cell r="C66">
            <v>15441</v>
          </cell>
          <cell r="D66" t="str">
            <v>Y</v>
          </cell>
          <cell r="E66">
            <v>15.44</v>
          </cell>
          <cell r="F66" t="str">
            <v>A</v>
          </cell>
          <cell r="G66" t="str">
            <v xml:space="preserve">secured, considered good </v>
          </cell>
        </row>
        <row r="67">
          <cell r="B67" t="str">
            <v>Sage Apparels Pvt. Ltd.</v>
          </cell>
          <cell r="C67">
            <v>8815</v>
          </cell>
          <cell r="D67" t="str">
            <v>Y</v>
          </cell>
          <cell r="E67">
            <v>8.82</v>
          </cell>
          <cell r="F67" t="str">
            <v>A</v>
          </cell>
          <cell r="G67" t="str">
            <v xml:space="preserve">  secured, considered good </v>
          </cell>
        </row>
        <row r="68">
          <cell r="B68" t="str">
            <v>Virgo Clothing Culture Pvt. Ltd.</v>
          </cell>
          <cell r="C68">
            <v>97024</v>
          </cell>
          <cell r="D68" t="str">
            <v>Y</v>
          </cell>
          <cell r="E68">
            <v>97.02</v>
          </cell>
          <cell r="F68" t="str">
            <v>A</v>
          </cell>
          <cell r="G68" t="str">
            <v xml:space="preserve">  secured, considered good </v>
          </cell>
        </row>
        <row r="69">
          <cell r="B69" t="str">
            <v>Cash</v>
          </cell>
          <cell r="C69">
            <v>424137.93</v>
          </cell>
          <cell r="D69" t="str">
            <v>Y</v>
          </cell>
          <cell r="E69">
            <v>424.14</v>
          </cell>
          <cell r="F69" t="str">
            <v>A</v>
          </cell>
          <cell r="G69" t="str">
            <v>Cash in Hand</v>
          </cell>
        </row>
        <row r="70">
          <cell r="B70" t="str">
            <v>IDBI Bank Ltd</v>
          </cell>
          <cell r="C70">
            <v>540602.53</v>
          </cell>
          <cell r="D70" t="str">
            <v>Y</v>
          </cell>
          <cell r="E70">
            <v>540.6</v>
          </cell>
          <cell r="F70" t="str">
            <v>A</v>
          </cell>
          <cell r="G70" t="str">
            <v>Balance with Banks</v>
          </cell>
        </row>
        <row r="71">
          <cell r="B71" t="str">
            <v>IDFC FIRST BANK LTD.</v>
          </cell>
          <cell r="C71">
            <v>472656.75</v>
          </cell>
          <cell r="D71" t="str">
            <v>Y</v>
          </cell>
          <cell r="E71">
            <v>472.66</v>
          </cell>
          <cell r="F71" t="str">
            <v>A</v>
          </cell>
          <cell r="G71" t="str">
            <v>Balance with Banks</v>
          </cell>
        </row>
        <row r="72">
          <cell r="B72" t="str">
            <v>CAPITAL FIRST LOAN EXCESS REFUNDABLE</v>
          </cell>
          <cell r="C72">
            <v>15403.31</v>
          </cell>
          <cell r="D72" t="str">
            <v>Y</v>
          </cell>
          <cell r="E72">
            <v>15.4</v>
          </cell>
          <cell r="F72" t="str">
            <v>A</v>
          </cell>
          <cell r="G72" t="str">
            <v>Other Current Assets</v>
          </cell>
        </row>
        <row r="73">
          <cell r="B73" t="str">
            <v>DEFFERED TAX Asset</v>
          </cell>
          <cell r="C73">
            <v>1507705.98</v>
          </cell>
          <cell r="D73" t="str">
            <v>Y</v>
          </cell>
          <cell r="E73">
            <v>1507.71</v>
          </cell>
          <cell r="F73" t="str">
            <v>A</v>
          </cell>
          <cell r="G73" t="str">
            <v>(c) Deferred tax assets (net)</v>
          </cell>
        </row>
        <row r="74">
          <cell r="B74" t="str">
            <v>GST Receivable</v>
          </cell>
          <cell r="C74">
            <v>91986.79</v>
          </cell>
          <cell r="D74" t="str">
            <v>Y</v>
          </cell>
          <cell r="E74">
            <v>91.99</v>
          </cell>
          <cell r="F74" t="str">
            <v>A</v>
          </cell>
          <cell r="G74" t="str">
            <v>Balance with revenue authorities</v>
          </cell>
        </row>
        <row r="75">
          <cell r="B75" t="str">
            <v>GST Refundable</v>
          </cell>
          <cell r="C75">
            <v>214009</v>
          </cell>
          <cell r="D75" t="str">
            <v>Y</v>
          </cell>
          <cell r="E75">
            <v>214.01</v>
          </cell>
          <cell r="F75" t="str">
            <v>A</v>
          </cell>
          <cell r="G75" t="str">
            <v>Balance with revenue authorities</v>
          </cell>
        </row>
        <row r="76">
          <cell r="B76" t="str">
            <v>HSIIDC</v>
          </cell>
          <cell r="C76">
            <v>242105</v>
          </cell>
          <cell r="D76" t="str">
            <v>Y</v>
          </cell>
          <cell r="E76">
            <v>242.11</v>
          </cell>
          <cell r="F76" t="str">
            <v>A</v>
          </cell>
          <cell r="G76" t="str">
            <v>Security with government authorities</v>
          </cell>
        </row>
        <row r="77">
          <cell r="B77" t="str">
            <v>HSPCB</v>
          </cell>
          <cell r="C77">
            <v>25000</v>
          </cell>
          <cell r="D77" t="str">
            <v>Y</v>
          </cell>
          <cell r="E77">
            <v>25</v>
          </cell>
          <cell r="F77" t="str">
            <v>A</v>
          </cell>
          <cell r="G77" t="str">
            <v>Security with government authorities</v>
          </cell>
        </row>
        <row r="78">
          <cell r="B78" t="str">
            <v>Prepaid Insurance A/c</v>
          </cell>
          <cell r="C78">
            <v>57991</v>
          </cell>
          <cell r="D78" t="str">
            <v>Y</v>
          </cell>
          <cell r="E78">
            <v>57.99</v>
          </cell>
          <cell r="F78" t="str">
            <v>A</v>
          </cell>
          <cell r="G78" t="str">
            <v>Prepaid expenses</v>
          </cell>
        </row>
        <row r="79">
          <cell r="B79" t="str">
            <v>Security (Refundable) with Clix Finance</v>
          </cell>
          <cell r="C79">
            <v>185696</v>
          </cell>
          <cell r="D79" t="str">
            <v>Y</v>
          </cell>
          <cell r="E79">
            <v>185.7</v>
          </cell>
          <cell r="F79" t="str">
            <v>A</v>
          </cell>
          <cell r="G79" t="str">
            <v>Security with others</v>
          </cell>
        </row>
        <row r="80">
          <cell r="B80" t="str">
            <v>TDS A.Y (2022-23)</v>
          </cell>
          <cell r="C80">
            <v>849.82</v>
          </cell>
          <cell r="D80" t="str">
            <v>Y</v>
          </cell>
          <cell r="E80">
            <v>0.85</v>
          </cell>
          <cell r="F80" t="str">
            <v>A</v>
          </cell>
          <cell r="G80" t="str">
            <v>Balance with revenue authorities</v>
          </cell>
        </row>
        <row r="81">
          <cell r="B81" t="str">
            <v>TDS Recoverable (Bajaj Finanace)</v>
          </cell>
          <cell r="C81">
            <v>92543</v>
          </cell>
          <cell r="D81" t="str">
            <v>Y</v>
          </cell>
          <cell r="E81">
            <v>92.54</v>
          </cell>
          <cell r="F81" t="str">
            <v>A</v>
          </cell>
          <cell r="G81" t="str">
            <v>Balance with revenue authorities</v>
          </cell>
        </row>
        <row r="82">
          <cell r="B82" t="str">
            <v>TDS Recoverable ( Capital First)</v>
          </cell>
          <cell r="C82">
            <v>4077.28</v>
          </cell>
          <cell r="D82" t="str">
            <v>Y</v>
          </cell>
          <cell r="E82">
            <v>4.08</v>
          </cell>
          <cell r="F82" t="str">
            <v>A</v>
          </cell>
          <cell r="G82" t="str">
            <v>Balance with revenue authorities</v>
          </cell>
        </row>
        <row r="83">
          <cell r="B83" t="str">
            <v>TDS Recoverable (Clix Capital Pvt. Ltd.)</v>
          </cell>
          <cell r="C83">
            <v>1867</v>
          </cell>
          <cell r="D83" t="str">
            <v>Y</v>
          </cell>
          <cell r="E83">
            <v>1.87</v>
          </cell>
          <cell r="F83" t="str">
            <v>A</v>
          </cell>
          <cell r="G83" t="str">
            <v>Balance with revenue authorities</v>
          </cell>
        </row>
        <row r="84">
          <cell r="B84" t="str">
            <v>TDS Recoverable (Clix Finance India Pvt. Ltd.)</v>
          </cell>
          <cell r="C84">
            <v>5181</v>
          </cell>
          <cell r="D84" t="str">
            <v>Y</v>
          </cell>
          <cell r="E84">
            <v>5.18</v>
          </cell>
          <cell r="F84" t="str">
            <v>A</v>
          </cell>
          <cell r="G84" t="str">
            <v>Balance with revenue authorities</v>
          </cell>
        </row>
        <row r="85">
          <cell r="B85" t="str">
            <v>TDS Recoverable (Edelweiss)</v>
          </cell>
          <cell r="C85">
            <v>3913.5</v>
          </cell>
          <cell r="D85" t="str">
            <v>Y</v>
          </cell>
          <cell r="E85">
            <v>3.91</v>
          </cell>
          <cell r="F85" t="str">
            <v>A</v>
          </cell>
          <cell r="G85" t="str">
            <v>Balance with revenue authorities</v>
          </cell>
        </row>
        <row r="86">
          <cell r="B86" t="str">
            <v>TDS Recoverable (Mahindra &amp; Mahindra Loan Finance)</v>
          </cell>
          <cell r="C86">
            <v>813</v>
          </cell>
          <cell r="D86" t="str">
            <v>Y</v>
          </cell>
          <cell r="E86">
            <v>0.81</v>
          </cell>
          <cell r="F86" t="str">
            <v>A</v>
          </cell>
          <cell r="G86" t="str">
            <v>Balance with revenue authorities</v>
          </cell>
        </row>
        <row r="87">
          <cell r="B87" t="str">
            <v>Barhi Works</v>
          </cell>
          <cell r="C87">
            <v>28026773.73</v>
          </cell>
          <cell r="D87" t="str">
            <v>Y</v>
          </cell>
          <cell r="E87">
            <v>28026.77</v>
          </cell>
          <cell r="F87"/>
          <cell r="G87" t="str">
            <v>Inter Branch</v>
          </cell>
        </row>
        <row r="88">
          <cell r="B88" t="str">
            <v>Amazon Sales</v>
          </cell>
          <cell r="C88">
            <v>-79561.52</v>
          </cell>
          <cell r="D88" t="str">
            <v>Y</v>
          </cell>
          <cell r="E88">
            <v>-79.56</v>
          </cell>
          <cell r="F88" t="str">
            <v>I</v>
          </cell>
          <cell r="G88" t="str">
            <v>Sales</v>
          </cell>
        </row>
        <row r="89">
          <cell r="B89" t="str">
            <v>Flikart Sales</v>
          </cell>
          <cell r="C89">
            <v>-6172.36</v>
          </cell>
          <cell r="D89" t="str">
            <v>Y</v>
          </cell>
          <cell r="E89">
            <v>-6.17</v>
          </cell>
          <cell r="F89" t="str">
            <v>I</v>
          </cell>
          <cell r="G89" t="str">
            <v>Sales</v>
          </cell>
        </row>
        <row r="90">
          <cell r="B90" t="str">
            <v>GST ( Interstate )</v>
          </cell>
          <cell r="C90">
            <v>-13999.9</v>
          </cell>
          <cell r="D90" t="str">
            <v>Y</v>
          </cell>
          <cell r="E90">
            <v>-14</v>
          </cell>
          <cell r="F90" t="str">
            <v>I</v>
          </cell>
          <cell r="G90" t="str">
            <v>Sales</v>
          </cell>
        </row>
        <row r="91">
          <cell r="B91" t="str">
            <v>GST JOB WORK (Interstate)</v>
          </cell>
          <cell r="C91">
            <v>-570890</v>
          </cell>
          <cell r="D91" t="str">
            <v>Y</v>
          </cell>
          <cell r="E91">
            <v>-570.89</v>
          </cell>
          <cell r="F91" t="str">
            <v>I</v>
          </cell>
          <cell r="G91" t="str">
            <v>Sales</v>
          </cell>
        </row>
        <row r="92">
          <cell r="B92" t="str">
            <v>GST Job Work (Local)</v>
          </cell>
          <cell r="C92">
            <v>-23620</v>
          </cell>
          <cell r="D92" t="str">
            <v>Y</v>
          </cell>
          <cell r="E92">
            <v>-23.62</v>
          </cell>
          <cell r="F92" t="str">
            <v>I</v>
          </cell>
          <cell r="G92" t="str">
            <v>Sales</v>
          </cell>
        </row>
        <row r="93">
          <cell r="B93" t="str">
            <v>GST SALE ( LOCAL)</v>
          </cell>
          <cell r="C93">
            <v>-460000</v>
          </cell>
          <cell r="D93" t="str">
            <v>Y</v>
          </cell>
          <cell r="E93">
            <v>-460</v>
          </cell>
          <cell r="F93" t="str">
            <v>I</v>
          </cell>
          <cell r="G93" t="str">
            <v>Sales</v>
          </cell>
        </row>
        <row r="94">
          <cell r="B94" t="str">
            <v>Custom Duty</v>
          </cell>
          <cell r="C94">
            <v>8867</v>
          </cell>
          <cell r="D94" t="str">
            <v>Y</v>
          </cell>
          <cell r="E94">
            <v>8.8699999999999992</v>
          </cell>
          <cell r="F94" t="str">
            <v>E</v>
          </cell>
          <cell r="G94" t="str">
            <v xml:space="preserve">Purchase </v>
          </cell>
        </row>
        <row r="95">
          <cell r="B95" t="str">
            <v>GST (TRANSFER FROM BARHI)</v>
          </cell>
          <cell r="C95">
            <v>123604</v>
          </cell>
          <cell r="D95" t="str">
            <v>Y</v>
          </cell>
          <cell r="E95">
            <v>123.6</v>
          </cell>
          <cell r="F95" t="str">
            <v>E</v>
          </cell>
          <cell r="G95" t="str">
            <v>Less:Inter Branch Purchase</v>
          </cell>
        </row>
        <row r="96">
          <cell r="B96" t="str">
            <v>Interstate Purchase</v>
          </cell>
          <cell r="C96">
            <v>258.04000000000002</v>
          </cell>
          <cell r="D96" t="str">
            <v>Y</v>
          </cell>
          <cell r="E96">
            <v>0.26</v>
          </cell>
          <cell r="F96" t="str">
            <v>E</v>
          </cell>
          <cell r="G96" t="str">
            <v xml:space="preserve">Purchase </v>
          </cell>
        </row>
        <row r="97">
          <cell r="B97" t="str">
            <v>Interstate Purchase @ 5%</v>
          </cell>
          <cell r="C97">
            <v>213430</v>
          </cell>
          <cell r="D97" t="str">
            <v>Y</v>
          </cell>
          <cell r="E97">
            <v>213.43</v>
          </cell>
          <cell r="F97" t="str">
            <v>E</v>
          </cell>
          <cell r="G97" t="str">
            <v xml:space="preserve">Purchase </v>
          </cell>
        </row>
        <row r="98">
          <cell r="B98" t="str">
            <v>Local Purchase 5%</v>
          </cell>
          <cell r="C98">
            <v>254400</v>
          </cell>
          <cell r="D98" t="str">
            <v>Y</v>
          </cell>
          <cell r="E98">
            <v>254.4</v>
          </cell>
          <cell r="F98" t="str">
            <v>E</v>
          </cell>
          <cell r="G98" t="str">
            <v xml:space="preserve">Purchase </v>
          </cell>
        </row>
        <row r="99">
          <cell r="B99" t="str">
            <v>Packing Material (Import)</v>
          </cell>
          <cell r="C99">
            <v>89482</v>
          </cell>
          <cell r="D99" t="str">
            <v>Y</v>
          </cell>
          <cell r="E99">
            <v>89.48</v>
          </cell>
          <cell r="F99" t="str">
            <v>E</v>
          </cell>
          <cell r="G99" t="str">
            <v xml:space="preserve">Purchase </v>
          </cell>
        </row>
        <row r="100">
          <cell r="B100" t="str">
            <v>Cash Back Received</v>
          </cell>
          <cell r="C100">
            <v>-1139.78</v>
          </cell>
          <cell r="D100" t="str">
            <v>Y</v>
          </cell>
          <cell r="E100">
            <v>-1.1399999999999999</v>
          </cell>
          <cell r="F100" t="str">
            <v>I</v>
          </cell>
          <cell r="G100" t="str">
            <v>Misc. Income</v>
          </cell>
        </row>
        <row r="101">
          <cell r="B101" t="str">
            <v>Commission @1%</v>
          </cell>
          <cell r="C101">
            <v>-4758.21</v>
          </cell>
          <cell r="D101" t="str">
            <v>Y</v>
          </cell>
          <cell r="E101">
            <v>-4.76</v>
          </cell>
          <cell r="F101" t="str">
            <v>I</v>
          </cell>
          <cell r="G101" t="str">
            <v>Misc. Income</v>
          </cell>
        </row>
        <row r="102">
          <cell r="B102" t="str">
            <v>Courier Charges Taxable 5%</v>
          </cell>
          <cell r="C102">
            <v>-9377</v>
          </cell>
          <cell r="D102" t="str">
            <v>Y</v>
          </cell>
          <cell r="E102">
            <v>-9.3800000000000008</v>
          </cell>
          <cell r="F102" t="str">
            <v>I</v>
          </cell>
          <cell r="G102" t="str">
            <v>Courier Charges Received</v>
          </cell>
        </row>
        <row r="103">
          <cell r="B103" t="str">
            <v>Currency Exchange Price Difference</v>
          </cell>
          <cell r="C103">
            <v>-5518.32</v>
          </cell>
          <cell r="D103" t="str">
            <v>Y</v>
          </cell>
          <cell r="E103">
            <v>-5.52</v>
          </cell>
          <cell r="F103" t="str">
            <v>I</v>
          </cell>
          <cell r="G103" t="str">
            <v>Misc. Income</v>
          </cell>
        </row>
        <row r="104">
          <cell r="B104" t="str">
            <v>FREIGHT TAXABLE</v>
          </cell>
          <cell r="C104">
            <v>-5915</v>
          </cell>
          <cell r="D104" t="str">
            <v>Y</v>
          </cell>
          <cell r="E104">
            <v>-5.92</v>
          </cell>
          <cell r="F104" t="str">
            <v>I</v>
          </cell>
          <cell r="G104" t="str">
            <v>Misc. Income</v>
          </cell>
        </row>
        <row r="105">
          <cell r="B105" t="str">
            <v>Interest of Income Tax Refund</v>
          </cell>
          <cell r="C105">
            <v>-42603</v>
          </cell>
          <cell r="D105" t="str">
            <v>Y</v>
          </cell>
          <cell r="E105">
            <v>-42.6</v>
          </cell>
          <cell r="F105" t="str">
            <v>I</v>
          </cell>
          <cell r="G105" t="str">
            <v>Interest on IT Refund</v>
          </cell>
        </row>
        <row r="106">
          <cell r="B106" t="str">
            <v>Rounded</v>
          </cell>
          <cell r="C106">
            <v>3.73</v>
          </cell>
          <cell r="D106" t="str">
            <v>Y</v>
          </cell>
          <cell r="E106">
            <v>0</v>
          </cell>
          <cell r="F106" t="str">
            <v>I</v>
          </cell>
          <cell r="G106" t="str">
            <v>Misc. Income</v>
          </cell>
        </row>
        <row r="107">
          <cell r="B107" t="str">
            <v>Short &amp; Excess</v>
          </cell>
          <cell r="C107">
            <v>-11.46</v>
          </cell>
          <cell r="D107" t="str">
            <v>Y</v>
          </cell>
          <cell r="E107">
            <v>-0.01</v>
          </cell>
          <cell r="F107" t="str">
            <v>I</v>
          </cell>
          <cell r="G107" t="str">
            <v>Misc. Income</v>
          </cell>
        </row>
        <row r="108">
          <cell r="B108" t="str">
            <v>Audit Fees</v>
          </cell>
          <cell r="C108">
            <v>70000</v>
          </cell>
          <cell r="D108" t="str">
            <v>Y</v>
          </cell>
          <cell r="E108">
            <v>70</v>
          </cell>
          <cell r="F108" t="str">
            <v>E</v>
          </cell>
          <cell r="G108" t="str">
            <v>Audit</v>
          </cell>
        </row>
        <row r="109">
          <cell r="B109" t="str">
            <v>Bank Charges</v>
          </cell>
          <cell r="C109">
            <v>119.04</v>
          </cell>
          <cell r="D109" t="str">
            <v>Y</v>
          </cell>
          <cell r="E109">
            <v>0.12</v>
          </cell>
          <cell r="F109" t="str">
            <v>E</v>
          </cell>
          <cell r="G109" t="str">
            <v>Bank Charges</v>
          </cell>
        </row>
        <row r="110">
          <cell r="B110" t="str">
            <v>Bank Charges Taxable</v>
          </cell>
          <cell r="C110">
            <v>1610</v>
          </cell>
          <cell r="D110" t="str">
            <v>Y</v>
          </cell>
          <cell r="E110">
            <v>1.61</v>
          </cell>
          <cell r="F110" t="str">
            <v>E</v>
          </cell>
          <cell r="G110" t="str">
            <v>Bank Charges</v>
          </cell>
        </row>
        <row r="111">
          <cell r="B111" t="str">
            <v>Bank Interest</v>
          </cell>
          <cell r="C111">
            <v>5205126.62</v>
          </cell>
          <cell r="D111" t="str">
            <v>Y</v>
          </cell>
          <cell r="E111">
            <v>5205.13</v>
          </cell>
          <cell r="F111" t="str">
            <v>E</v>
          </cell>
          <cell r="G111" t="str">
            <v xml:space="preserve">Bank Interest </v>
          </cell>
        </row>
        <row r="112">
          <cell r="B112" t="str">
            <v>Car Repair &amp; Maintanace</v>
          </cell>
          <cell r="C112">
            <v>2966.06</v>
          </cell>
          <cell r="D112" t="str">
            <v>Y</v>
          </cell>
          <cell r="E112">
            <v>2.97</v>
          </cell>
          <cell r="F112" t="str">
            <v>E</v>
          </cell>
          <cell r="G112" t="str">
            <v xml:space="preserve">      - Vehicle</v>
          </cell>
        </row>
        <row r="113">
          <cell r="B113" t="str">
            <v>Car Repair &amp; Maintanace @ 28%</v>
          </cell>
          <cell r="C113">
            <v>5600</v>
          </cell>
          <cell r="D113" t="str">
            <v>Y</v>
          </cell>
          <cell r="E113">
            <v>5.6</v>
          </cell>
          <cell r="F113" t="str">
            <v>E</v>
          </cell>
          <cell r="G113" t="str">
            <v xml:space="preserve">      - Vehicle</v>
          </cell>
        </row>
        <row r="114">
          <cell r="B114" t="str">
            <v>Collection Fees (Flipkart)</v>
          </cell>
          <cell r="C114">
            <v>173.74</v>
          </cell>
          <cell r="D114" t="str">
            <v>Y</v>
          </cell>
          <cell r="E114">
            <v>0.17</v>
          </cell>
          <cell r="F114" t="str">
            <v>E</v>
          </cell>
          <cell r="G114" t="str">
            <v>E-Commerce Charges</v>
          </cell>
        </row>
        <row r="115">
          <cell r="B115" t="str">
            <v>Commercial Import Bill Advance</v>
          </cell>
          <cell r="C115">
            <v>1500</v>
          </cell>
          <cell r="D115" t="str">
            <v>Y</v>
          </cell>
          <cell r="E115">
            <v>1.5</v>
          </cell>
          <cell r="F115" t="str">
            <v>E</v>
          </cell>
          <cell r="G115" t="str">
            <v>Custom Clearance Charges</v>
          </cell>
        </row>
        <row r="116">
          <cell r="B116" t="str">
            <v>Commission Fees (Flipkart)</v>
          </cell>
          <cell r="C116">
            <v>216.35</v>
          </cell>
          <cell r="D116" t="str">
            <v>Y</v>
          </cell>
          <cell r="E116">
            <v>0.22</v>
          </cell>
          <cell r="F116" t="str">
            <v>E</v>
          </cell>
          <cell r="G116" t="str">
            <v>E-Commerce Charges</v>
          </cell>
        </row>
        <row r="117">
          <cell r="B117" t="str">
            <v>Computer Exp Taxable</v>
          </cell>
          <cell r="C117">
            <v>6000</v>
          </cell>
          <cell r="D117" t="str">
            <v>Y</v>
          </cell>
          <cell r="E117">
            <v>6</v>
          </cell>
          <cell r="F117" t="str">
            <v>E</v>
          </cell>
          <cell r="G117" t="str">
            <v xml:space="preserve">      - Others</v>
          </cell>
        </row>
        <row r="118">
          <cell r="B118" t="str">
            <v>Directors Remunaration A/C</v>
          </cell>
          <cell r="C118">
            <v>2520000</v>
          </cell>
          <cell r="D118" t="str">
            <v>Y</v>
          </cell>
          <cell r="E118">
            <v>2520</v>
          </cell>
          <cell r="F118" t="str">
            <v>E</v>
          </cell>
          <cell r="G118" t="str">
            <v xml:space="preserve">Director Remuneration </v>
          </cell>
        </row>
        <row r="119">
          <cell r="B119" t="str">
            <v>Duty Advance Charges</v>
          </cell>
          <cell r="C119">
            <v>624.35</v>
          </cell>
          <cell r="D119" t="str">
            <v>Y</v>
          </cell>
          <cell r="E119">
            <v>0.62</v>
          </cell>
          <cell r="F119" t="str">
            <v>E</v>
          </cell>
          <cell r="G119" t="str">
            <v>E-Commerce Charges</v>
          </cell>
        </row>
        <row r="120">
          <cell r="B120" t="str">
            <v>EASYSHIP WEIGHT HANDLING FEES</v>
          </cell>
          <cell r="C120">
            <v>15336</v>
          </cell>
          <cell r="D120" t="str">
            <v>Y</v>
          </cell>
          <cell r="E120">
            <v>15.34</v>
          </cell>
          <cell r="F120" t="str">
            <v>E</v>
          </cell>
          <cell r="G120" t="str">
            <v>Freight</v>
          </cell>
        </row>
        <row r="121">
          <cell r="B121" t="str">
            <v>Electricity Expense A/c</v>
          </cell>
          <cell r="C121">
            <v>21763.89</v>
          </cell>
          <cell r="D121" t="str">
            <v>Y</v>
          </cell>
          <cell r="E121">
            <v>21.76</v>
          </cell>
          <cell r="F121" t="str">
            <v>E</v>
          </cell>
          <cell r="G121" t="str">
            <v>Electricity, Power &amp; Fuel</v>
          </cell>
        </row>
        <row r="122">
          <cell r="B122" t="str">
            <v>FBA Pick &amp; Pack Fees</v>
          </cell>
          <cell r="C122">
            <v>11</v>
          </cell>
          <cell r="D122" t="str">
            <v>Y</v>
          </cell>
          <cell r="E122">
            <v>0.01</v>
          </cell>
          <cell r="F122" t="str">
            <v>E</v>
          </cell>
          <cell r="G122" t="str">
            <v>E-Commerce Charges</v>
          </cell>
        </row>
        <row r="123">
          <cell r="B123" t="str">
            <v>FBA WEIGHT HANDLING SHIPPING FEES</v>
          </cell>
          <cell r="C123">
            <v>61</v>
          </cell>
          <cell r="D123" t="str">
            <v>Y</v>
          </cell>
          <cell r="E123">
            <v>0.06</v>
          </cell>
          <cell r="F123" t="str">
            <v>E</v>
          </cell>
          <cell r="G123" t="str">
            <v>E-Commerce Charges</v>
          </cell>
        </row>
        <row r="124">
          <cell r="B124" t="str">
            <v>FC Conversion</v>
          </cell>
          <cell r="C124">
            <v>201</v>
          </cell>
          <cell r="D124" t="str">
            <v>Y</v>
          </cell>
          <cell r="E124">
            <v>0.2</v>
          </cell>
          <cell r="F124" t="str">
            <v>E</v>
          </cell>
          <cell r="G124" t="str">
            <v>Misc. Exps</v>
          </cell>
        </row>
        <row r="125">
          <cell r="B125" t="str">
            <v>Fc Conversion Charges Taxable</v>
          </cell>
          <cell r="C125">
            <v>1005.56</v>
          </cell>
          <cell r="D125" t="str">
            <v>Y</v>
          </cell>
          <cell r="E125">
            <v>1.01</v>
          </cell>
          <cell r="F125" t="str">
            <v>E</v>
          </cell>
          <cell r="G125" t="str">
            <v>Misc. Exps</v>
          </cell>
        </row>
        <row r="126">
          <cell r="B126" t="str">
            <v>FIXED CLOSING FEES</v>
          </cell>
          <cell r="C126">
            <v>1733</v>
          </cell>
          <cell r="D126" t="str">
            <v>Y</v>
          </cell>
          <cell r="E126">
            <v>1.73</v>
          </cell>
          <cell r="F126" t="str">
            <v>E</v>
          </cell>
          <cell r="G126" t="str">
            <v>E-Commerce Charges</v>
          </cell>
        </row>
        <row r="127">
          <cell r="B127" t="str">
            <v>Fixed Fees (Flipkart)</v>
          </cell>
          <cell r="C127">
            <v>133</v>
          </cell>
          <cell r="D127" t="str">
            <v>Y</v>
          </cell>
          <cell r="E127">
            <v>0.13</v>
          </cell>
          <cell r="F127" t="str">
            <v>E</v>
          </cell>
          <cell r="G127" t="str">
            <v>E-Commerce Charges</v>
          </cell>
        </row>
        <row r="128">
          <cell r="B128" t="str">
            <v>Insurance A/c</v>
          </cell>
          <cell r="C128">
            <v>84936.57</v>
          </cell>
          <cell r="D128" t="str">
            <v>Y</v>
          </cell>
          <cell r="E128">
            <v>84.94</v>
          </cell>
          <cell r="F128" t="str">
            <v>E</v>
          </cell>
          <cell r="G128" t="str">
            <v xml:space="preserve">Insurance </v>
          </cell>
        </row>
        <row r="129">
          <cell r="B129" t="str">
            <v>Interest on TDS</v>
          </cell>
          <cell r="C129">
            <v>273</v>
          </cell>
          <cell r="D129" t="str">
            <v>Y</v>
          </cell>
          <cell r="E129">
            <v>0.27</v>
          </cell>
          <cell r="F129" t="str">
            <v>A</v>
          </cell>
          <cell r="G129" t="str">
            <v>Interest on TDS</v>
          </cell>
        </row>
        <row r="130">
          <cell r="B130" t="str">
            <v>Laon Fourcloser Charges</v>
          </cell>
          <cell r="C130">
            <v>951257</v>
          </cell>
          <cell r="D130" t="str">
            <v>Y</v>
          </cell>
          <cell r="E130">
            <v>951.26</v>
          </cell>
          <cell r="F130" t="str">
            <v>E</v>
          </cell>
          <cell r="G130" t="str">
            <v>Other Finance Related expenses</v>
          </cell>
        </row>
        <row r="131">
          <cell r="B131" t="str">
            <v>LISTING FEES</v>
          </cell>
          <cell r="C131">
            <v>5215.1899999999996</v>
          </cell>
          <cell r="D131" t="str">
            <v>Y</v>
          </cell>
          <cell r="E131">
            <v>5.22</v>
          </cell>
          <cell r="F131" t="str">
            <v>E</v>
          </cell>
          <cell r="G131" t="str">
            <v>E-Commerce Charges</v>
          </cell>
        </row>
        <row r="132">
          <cell r="B132" t="str">
            <v>Loan Processing Fee</v>
          </cell>
          <cell r="C132">
            <v>7670</v>
          </cell>
          <cell r="D132" t="str">
            <v>Y</v>
          </cell>
          <cell r="E132">
            <v>7.67</v>
          </cell>
          <cell r="F132" t="str">
            <v>E</v>
          </cell>
          <cell r="G132" t="str">
            <v>Other Finance Related expenses</v>
          </cell>
        </row>
        <row r="133">
          <cell r="B133" t="str">
            <v>Loan Processing Fee @18%</v>
          </cell>
          <cell r="C133">
            <v>1150</v>
          </cell>
          <cell r="D133" t="str">
            <v>Y</v>
          </cell>
          <cell r="E133">
            <v>1.1499999999999999</v>
          </cell>
          <cell r="F133" t="str">
            <v>E</v>
          </cell>
          <cell r="G133" t="str">
            <v>Other Finance Related expenses</v>
          </cell>
        </row>
        <row r="134">
          <cell r="B134" t="str">
            <v>Mics. A/c</v>
          </cell>
          <cell r="C134">
            <v>7680.8</v>
          </cell>
          <cell r="D134" t="str">
            <v>Y</v>
          </cell>
          <cell r="E134">
            <v>7.68</v>
          </cell>
          <cell r="F134" t="str">
            <v>E</v>
          </cell>
          <cell r="G134" t="str">
            <v>Misc. Exps</v>
          </cell>
        </row>
        <row r="135">
          <cell r="B135" t="str">
            <v>Mold Charges</v>
          </cell>
          <cell r="C135">
            <v>16107.47</v>
          </cell>
          <cell r="D135" t="str">
            <v>Y</v>
          </cell>
          <cell r="E135">
            <v>16.11</v>
          </cell>
          <cell r="F135" t="str">
            <v>E</v>
          </cell>
          <cell r="G135" t="str">
            <v>Store &amp; Spare</v>
          </cell>
        </row>
        <row r="136">
          <cell r="B136" t="str">
            <v>Office Expenses Taxable</v>
          </cell>
          <cell r="C136">
            <v>11523.72</v>
          </cell>
          <cell r="D136" t="str">
            <v>Y</v>
          </cell>
          <cell r="E136">
            <v>11.52</v>
          </cell>
          <cell r="F136" t="str">
            <v>E</v>
          </cell>
          <cell r="G136" t="str">
            <v>Office Expenses</v>
          </cell>
        </row>
        <row r="137">
          <cell r="B137" t="str">
            <v>Packing Material Taxable</v>
          </cell>
          <cell r="C137">
            <v>3416.91</v>
          </cell>
          <cell r="D137" t="str">
            <v>Y</v>
          </cell>
          <cell r="E137">
            <v>3.42</v>
          </cell>
          <cell r="F137" t="str">
            <v>E</v>
          </cell>
          <cell r="G137" t="str">
            <v>Packing Material</v>
          </cell>
        </row>
        <row r="138">
          <cell r="B138" t="str">
            <v>Petrol &amp; Conv. A/c</v>
          </cell>
          <cell r="C138">
            <v>130342.49</v>
          </cell>
          <cell r="D138" t="str">
            <v>Y</v>
          </cell>
          <cell r="E138">
            <v>130.34</v>
          </cell>
          <cell r="F138" t="str">
            <v>E</v>
          </cell>
          <cell r="G138" t="str">
            <v>Travelling &amp; Conveyance Exp.</v>
          </cell>
        </row>
        <row r="139">
          <cell r="B139" t="str">
            <v>Postage A/c Taxable</v>
          </cell>
          <cell r="C139">
            <v>41985</v>
          </cell>
          <cell r="D139" t="str">
            <v>Y</v>
          </cell>
          <cell r="E139">
            <v>41.99</v>
          </cell>
          <cell r="F139" t="str">
            <v>E</v>
          </cell>
          <cell r="G139" t="str">
            <v>Postage &amp; Courier</v>
          </cell>
        </row>
        <row r="140">
          <cell r="B140" t="str">
            <v>Printing &amp; Stationery @ 12%</v>
          </cell>
          <cell r="C140">
            <v>1371.43</v>
          </cell>
          <cell r="D140" t="str">
            <v>Y</v>
          </cell>
          <cell r="E140">
            <v>1.37</v>
          </cell>
          <cell r="F140" t="str">
            <v>E</v>
          </cell>
          <cell r="G140" t="str">
            <v xml:space="preserve">Printing &amp; Stationery </v>
          </cell>
        </row>
        <row r="141">
          <cell r="B141" t="str">
            <v>Printing &amp; Stationery A/c</v>
          </cell>
          <cell r="C141">
            <v>1150</v>
          </cell>
          <cell r="D141" t="str">
            <v>Y</v>
          </cell>
          <cell r="E141">
            <v>1.1499999999999999</v>
          </cell>
          <cell r="F141" t="str">
            <v>E</v>
          </cell>
          <cell r="G141" t="str">
            <v xml:space="preserve">Printing &amp; Stationery </v>
          </cell>
        </row>
        <row r="142">
          <cell r="B142" t="str">
            <v>Processing Fee (Amazon)</v>
          </cell>
          <cell r="C142">
            <v>36.65</v>
          </cell>
          <cell r="D142" t="str">
            <v>Y</v>
          </cell>
          <cell r="E142">
            <v>0.04</v>
          </cell>
          <cell r="F142" t="str">
            <v>E</v>
          </cell>
          <cell r="G142" t="str">
            <v>E-Commerce Charges</v>
          </cell>
        </row>
        <row r="143">
          <cell r="B143" t="str">
            <v>P&amp;T Charges (TF) TLX Taxable</v>
          </cell>
          <cell r="C143">
            <v>2000</v>
          </cell>
          <cell r="D143" t="str">
            <v>Y</v>
          </cell>
          <cell r="E143">
            <v>2</v>
          </cell>
          <cell r="F143" t="str">
            <v>E</v>
          </cell>
          <cell r="G143" t="str">
            <v>Bank Charges</v>
          </cell>
        </row>
        <row r="144">
          <cell r="B144" t="str">
            <v>Rent A/c</v>
          </cell>
          <cell r="C144">
            <v>199780</v>
          </cell>
          <cell r="D144" t="str">
            <v>Y</v>
          </cell>
          <cell r="E144">
            <v>199.78</v>
          </cell>
          <cell r="F144" t="str">
            <v>E</v>
          </cell>
          <cell r="G144" t="str">
            <v xml:space="preserve">Rent </v>
          </cell>
        </row>
        <row r="145">
          <cell r="B145" t="str">
            <v>Repair &amp; Maintanace of Delivery Van @ 18%</v>
          </cell>
          <cell r="C145">
            <v>11849.98</v>
          </cell>
          <cell r="D145" t="str">
            <v>Y</v>
          </cell>
          <cell r="E145">
            <v>11.85</v>
          </cell>
          <cell r="F145" t="str">
            <v>E</v>
          </cell>
          <cell r="G145" t="str">
            <v xml:space="preserve">      - Vehicle</v>
          </cell>
        </row>
        <row r="146">
          <cell r="B146" t="str">
            <v>Repair &amp; Maintenance Of Delivery Van</v>
          </cell>
          <cell r="C146">
            <v>1158.1400000000001</v>
          </cell>
          <cell r="D146" t="str">
            <v>Y</v>
          </cell>
          <cell r="E146">
            <v>1.1599999999999999</v>
          </cell>
          <cell r="F146" t="str">
            <v>E</v>
          </cell>
          <cell r="G146" t="str">
            <v xml:space="preserve">      - Vehicle</v>
          </cell>
        </row>
        <row r="147">
          <cell r="B147" t="str">
            <v>Roc Charges</v>
          </cell>
          <cell r="C147">
            <v>6500</v>
          </cell>
          <cell r="D147" t="str">
            <v>Y</v>
          </cell>
          <cell r="E147">
            <v>6.5</v>
          </cell>
          <cell r="F147" t="str">
            <v>E</v>
          </cell>
          <cell r="G147" t="str">
            <v>Legal &amp; Professional Charges</v>
          </cell>
        </row>
        <row r="148">
          <cell r="B148" t="str">
            <v>Sale of Space for Adv. on Amazon.in</v>
          </cell>
          <cell r="C148">
            <v>10542.48</v>
          </cell>
          <cell r="D148" t="str">
            <v>Y</v>
          </cell>
          <cell r="E148">
            <v>10.54</v>
          </cell>
          <cell r="F148" t="str">
            <v>E</v>
          </cell>
          <cell r="G148" t="str">
            <v>E-Commerce Charges</v>
          </cell>
        </row>
        <row r="149">
          <cell r="B149" t="str">
            <v>Shipping Fees</v>
          </cell>
          <cell r="C149">
            <v>756</v>
          </cell>
          <cell r="D149" t="str">
            <v>Y</v>
          </cell>
          <cell r="E149">
            <v>0.76</v>
          </cell>
          <cell r="F149" t="str">
            <v>E</v>
          </cell>
          <cell r="G149" t="str">
            <v>E-Commerce Charges</v>
          </cell>
        </row>
        <row r="150">
          <cell r="B150" t="str">
            <v>Tds Not Recoverable</v>
          </cell>
          <cell r="C150">
            <v>713.94</v>
          </cell>
          <cell r="D150" t="str">
            <v>Y</v>
          </cell>
          <cell r="E150">
            <v>0.71</v>
          </cell>
          <cell r="F150" t="str">
            <v>A</v>
          </cell>
          <cell r="G150" t="str">
            <v>Misc. Exps</v>
          </cell>
        </row>
        <row r="151">
          <cell r="B151" t="str">
            <v>Telephone &amp; Broadband Charges</v>
          </cell>
          <cell r="C151">
            <v>63601.56</v>
          </cell>
          <cell r="D151" t="str">
            <v>Y</v>
          </cell>
          <cell r="E151">
            <v>63.6</v>
          </cell>
          <cell r="F151" t="str">
            <v>E</v>
          </cell>
          <cell r="G151" t="str">
            <v>Telephone &amp; Broadband Charges</v>
          </cell>
        </row>
        <row r="152">
          <cell r="B152" t="str">
            <v>Travelling Exp. Taxable</v>
          </cell>
          <cell r="C152">
            <v>9384</v>
          </cell>
          <cell r="D152" t="str">
            <v>Y</v>
          </cell>
          <cell r="E152">
            <v>9.3800000000000008</v>
          </cell>
          <cell r="F152" t="str">
            <v>E</v>
          </cell>
          <cell r="G152" t="str">
            <v>Travelling &amp; Conveyance Exp.</v>
          </cell>
        </row>
        <row r="153">
          <cell r="B153" t="str">
            <v>Vehicle Repaire &amp; Mainatance Non Taxable</v>
          </cell>
          <cell r="C153">
            <v>665.04</v>
          </cell>
          <cell r="D153" t="str">
            <v>Y</v>
          </cell>
          <cell r="E153">
            <v>0.67</v>
          </cell>
          <cell r="F153" t="str">
            <v>E</v>
          </cell>
          <cell r="G153" t="str">
            <v xml:space="preserve">      - Vehicle</v>
          </cell>
        </row>
        <row r="154">
          <cell r="B154" t="str">
            <v>Vehicle Repaire &amp; Maintance @28%</v>
          </cell>
          <cell r="C154">
            <v>2012.5</v>
          </cell>
          <cell r="D154" t="str">
            <v>Y</v>
          </cell>
          <cell r="E154">
            <v>2.0099999999999998</v>
          </cell>
          <cell r="F154" t="str">
            <v>E</v>
          </cell>
          <cell r="G154" t="str">
            <v xml:space="preserve">      - Vehicle</v>
          </cell>
        </row>
        <row r="155">
          <cell r="B155" t="str">
            <v>Vehicle Repair &amp; Maintinance of Delivery Ven @18%</v>
          </cell>
          <cell r="C155">
            <v>8397.42</v>
          </cell>
          <cell r="D155" t="str">
            <v>Y</v>
          </cell>
          <cell r="E155">
            <v>8.4</v>
          </cell>
          <cell r="F155" t="str">
            <v>E</v>
          </cell>
          <cell r="G155" t="str">
            <v xml:space="preserve">      - Vehicle</v>
          </cell>
        </row>
        <row r="156">
          <cell r="B156" t="str">
            <v>Warehouse Charges</v>
          </cell>
          <cell r="C156">
            <v>4471.46</v>
          </cell>
          <cell r="D156" t="str">
            <v>Y</v>
          </cell>
          <cell r="E156">
            <v>4.47</v>
          </cell>
          <cell r="F156" t="str">
            <v>E</v>
          </cell>
          <cell r="G156" t="str">
            <v>E-Commerce Charges</v>
          </cell>
        </row>
        <row r="157">
          <cell r="B157" t="str">
            <v>Website Charges Taxable</v>
          </cell>
          <cell r="C157">
            <v>6302</v>
          </cell>
          <cell r="D157" t="str">
            <v>Y</v>
          </cell>
          <cell r="E157">
            <v>6.3</v>
          </cell>
          <cell r="F157" t="str">
            <v>E</v>
          </cell>
          <cell r="G157" t="str">
            <v>Website Charges</v>
          </cell>
        </row>
        <row r="158">
          <cell r="B158" t="str">
            <v>Difference in opening balances</v>
          </cell>
          <cell r="C158">
            <v>-0.24</v>
          </cell>
          <cell r="D158" t="str">
            <v>Y</v>
          </cell>
          <cell r="E158">
            <v>0</v>
          </cell>
          <cell r="F158" t="str">
            <v>E</v>
          </cell>
          <cell r="G158" t="str">
            <v>Misc. Exps</v>
          </cell>
        </row>
        <row r="159">
          <cell r="B159" t="str">
            <v>Shri Ganesh Ji</v>
          </cell>
          <cell r="C159">
            <v>-1.25</v>
          </cell>
          <cell r="D159" t="str">
            <v>Y</v>
          </cell>
          <cell r="E159">
            <v>0</v>
          </cell>
          <cell r="F159" t="str">
            <v>L</v>
          </cell>
          <cell r="G159" t="str">
            <v>Shri Ganesh Jee</v>
          </cell>
        </row>
        <row r="160">
          <cell r="B160" t="str">
            <v>Input CGST @ 14%</v>
          </cell>
          <cell r="C160">
            <v>7328.8</v>
          </cell>
          <cell r="D160" t="str">
            <v>Y</v>
          </cell>
          <cell r="E160">
            <v>7.33</v>
          </cell>
          <cell r="F160" t="str">
            <v>A</v>
          </cell>
          <cell r="G160" t="str">
            <v>Balance with revenue authorities</v>
          </cell>
        </row>
        <row r="161">
          <cell r="B161" t="str">
            <v>Input CGST @ 2.5%</v>
          </cell>
          <cell r="C161">
            <v>16117.26</v>
          </cell>
          <cell r="D161" t="str">
            <v>Y</v>
          </cell>
          <cell r="E161">
            <v>16.12</v>
          </cell>
          <cell r="F161" t="str">
            <v>A</v>
          </cell>
          <cell r="G161" t="str">
            <v>Balance with revenue authorities</v>
          </cell>
        </row>
        <row r="162">
          <cell r="B162" t="str">
            <v>Input CGST @ 9%</v>
          </cell>
          <cell r="C162">
            <v>1042036.17</v>
          </cell>
          <cell r="D162" t="str">
            <v>Y</v>
          </cell>
          <cell r="E162">
            <v>1042.04</v>
          </cell>
          <cell r="F162" t="str">
            <v>A</v>
          </cell>
          <cell r="G162" t="str">
            <v>Balance with revenue authorities</v>
          </cell>
        </row>
        <row r="163">
          <cell r="B163" t="str">
            <v>Input IGST @ 12%</v>
          </cell>
          <cell r="C163">
            <v>20350.689999999999</v>
          </cell>
          <cell r="D163" t="str">
            <v>Y</v>
          </cell>
          <cell r="E163">
            <v>20.350000000000001</v>
          </cell>
          <cell r="F163" t="str">
            <v>A</v>
          </cell>
          <cell r="G163" t="str">
            <v>Balance with revenue authorities</v>
          </cell>
        </row>
        <row r="164">
          <cell r="B164" t="str">
            <v>Input IGST @ 18%</v>
          </cell>
          <cell r="C164">
            <v>1720203.59</v>
          </cell>
          <cell r="D164" t="str">
            <v>Y</v>
          </cell>
          <cell r="E164">
            <v>1720.2</v>
          </cell>
          <cell r="F164" t="str">
            <v>A</v>
          </cell>
          <cell r="G164" t="str">
            <v>Balance with revenue authorities</v>
          </cell>
        </row>
        <row r="165">
          <cell r="B165" t="str">
            <v>Input IGST @ 28%</v>
          </cell>
          <cell r="C165">
            <v>30986.25</v>
          </cell>
          <cell r="D165" t="str">
            <v>Y</v>
          </cell>
          <cell r="E165">
            <v>30.99</v>
          </cell>
          <cell r="F165" t="str">
            <v>A</v>
          </cell>
          <cell r="G165" t="str">
            <v>Balance with revenue authorities</v>
          </cell>
        </row>
        <row r="166">
          <cell r="B166" t="str">
            <v>Input IGST @ 5%</v>
          </cell>
          <cell r="C166">
            <v>1066</v>
          </cell>
          <cell r="D166" t="str">
            <v>Y</v>
          </cell>
          <cell r="E166">
            <v>1.07</v>
          </cell>
          <cell r="F166" t="str">
            <v>A</v>
          </cell>
          <cell r="G166" t="str">
            <v>Balance with revenue authorities</v>
          </cell>
        </row>
        <row r="167">
          <cell r="B167" t="str">
            <v>Input SGST @ 14%</v>
          </cell>
          <cell r="C167">
            <v>7328.8</v>
          </cell>
          <cell r="D167" t="str">
            <v>Y</v>
          </cell>
          <cell r="E167">
            <v>7.33</v>
          </cell>
          <cell r="F167" t="str">
            <v>A</v>
          </cell>
          <cell r="G167" t="str">
            <v>Balance with revenue authorities</v>
          </cell>
        </row>
        <row r="168">
          <cell r="B168" t="str">
            <v>Input SGST @ 2.5%</v>
          </cell>
          <cell r="C168">
            <v>16117.26</v>
          </cell>
          <cell r="D168" t="str">
            <v>Y</v>
          </cell>
          <cell r="E168">
            <v>16.12</v>
          </cell>
          <cell r="F168" t="str">
            <v>A</v>
          </cell>
          <cell r="G168" t="str">
            <v>Balance with revenue authorities</v>
          </cell>
        </row>
        <row r="169">
          <cell r="B169" t="str">
            <v>Input SGST @ 9%</v>
          </cell>
          <cell r="C169">
            <v>1042036.17</v>
          </cell>
          <cell r="D169" t="str">
            <v>Y</v>
          </cell>
          <cell r="E169">
            <v>1042.04</v>
          </cell>
          <cell r="F169" t="str">
            <v>A</v>
          </cell>
          <cell r="G169" t="str">
            <v>Balance with revenue authorities</v>
          </cell>
        </row>
        <row r="170">
          <cell r="B170" t="str">
            <v>Output CGST @ 2.5%</v>
          </cell>
          <cell r="C170">
            <v>-115982.07</v>
          </cell>
          <cell r="D170" t="str">
            <v>Y</v>
          </cell>
          <cell r="E170">
            <v>-115.98</v>
          </cell>
          <cell r="F170" t="str">
            <v>A</v>
          </cell>
          <cell r="G170" t="str">
            <v>Balance with revenue authorities</v>
          </cell>
        </row>
        <row r="171">
          <cell r="B171" t="str">
            <v>Output Cgst @ 6%</v>
          </cell>
          <cell r="C171">
            <v>-1500</v>
          </cell>
          <cell r="D171" t="str">
            <v>Y</v>
          </cell>
          <cell r="E171">
            <v>-1.5</v>
          </cell>
          <cell r="F171" t="str">
            <v>A</v>
          </cell>
          <cell r="G171" t="str">
            <v>Balance with revenue authorities</v>
          </cell>
        </row>
        <row r="172">
          <cell r="B172" t="str">
            <v>Output Cgst @ 9%</v>
          </cell>
          <cell r="C172">
            <v>-3960</v>
          </cell>
          <cell r="D172" t="str">
            <v>Y</v>
          </cell>
          <cell r="E172">
            <v>-3.96</v>
          </cell>
          <cell r="F172" t="str">
            <v>A</v>
          </cell>
          <cell r="G172" t="str">
            <v>Balance with revenue authorities</v>
          </cell>
        </row>
        <row r="173">
          <cell r="B173" t="str">
            <v>Output Igst 12%</v>
          </cell>
          <cell r="C173">
            <v>-7285.68</v>
          </cell>
          <cell r="D173" t="str">
            <v>Y</v>
          </cell>
          <cell r="E173">
            <v>-7.29</v>
          </cell>
          <cell r="F173" t="str">
            <v>A</v>
          </cell>
          <cell r="G173" t="str">
            <v>Balance with revenue authorities</v>
          </cell>
        </row>
        <row r="174">
          <cell r="B174" t="str">
            <v>Output Igst 18%</v>
          </cell>
          <cell r="C174">
            <v>-18000</v>
          </cell>
          <cell r="D174" t="str">
            <v>Y</v>
          </cell>
          <cell r="E174">
            <v>-18</v>
          </cell>
          <cell r="F174" t="str">
            <v>A</v>
          </cell>
          <cell r="G174" t="str">
            <v>Balance with revenue authorities</v>
          </cell>
        </row>
        <row r="175">
          <cell r="B175" t="str">
            <v>Output Igst 28%</v>
          </cell>
          <cell r="C175">
            <v>-5712</v>
          </cell>
          <cell r="D175" t="str">
            <v>Y</v>
          </cell>
          <cell r="E175">
            <v>-5.71</v>
          </cell>
          <cell r="F175" t="str">
            <v>A</v>
          </cell>
          <cell r="G175" t="str">
            <v>Balance with revenue authorities</v>
          </cell>
        </row>
        <row r="176">
          <cell r="B176" t="str">
            <v>Output IGST @ 5%</v>
          </cell>
          <cell r="C176">
            <v>-2483778.61</v>
          </cell>
          <cell r="D176" t="str">
            <v>Y</v>
          </cell>
          <cell r="E176">
            <v>-2483.7800000000002</v>
          </cell>
          <cell r="F176" t="str">
            <v>A</v>
          </cell>
          <cell r="G176" t="str">
            <v>Balance with revenue authorities</v>
          </cell>
        </row>
        <row r="177">
          <cell r="B177" t="str">
            <v>Output SGST @ 2.5%</v>
          </cell>
          <cell r="C177">
            <v>-115982.07</v>
          </cell>
          <cell r="D177" t="str">
            <v>Y</v>
          </cell>
          <cell r="E177">
            <v>-115.98</v>
          </cell>
          <cell r="F177" t="str">
            <v>A</v>
          </cell>
          <cell r="G177" t="str">
            <v>Balance with revenue authorities</v>
          </cell>
        </row>
        <row r="178">
          <cell r="B178" t="str">
            <v>Output Sgst @ 6%</v>
          </cell>
          <cell r="C178">
            <v>-1500</v>
          </cell>
          <cell r="D178" t="str">
            <v>Y</v>
          </cell>
          <cell r="E178">
            <v>-1.5</v>
          </cell>
          <cell r="F178" t="str">
            <v>A</v>
          </cell>
          <cell r="G178" t="str">
            <v>Balance with revenue authorities</v>
          </cell>
        </row>
        <row r="179">
          <cell r="B179" t="str">
            <v>Output Ssgst @ 9%</v>
          </cell>
          <cell r="C179">
            <v>-3960</v>
          </cell>
          <cell r="D179" t="str">
            <v>Y</v>
          </cell>
          <cell r="E179">
            <v>-3.96</v>
          </cell>
          <cell r="F179" t="str">
            <v>A</v>
          </cell>
          <cell r="G179" t="str">
            <v>Balance with revenue authorities</v>
          </cell>
        </row>
        <row r="180">
          <cell r="B180" t="str">
            <v>TCS CGST @ 0.50%</v>
          </cell>
          <cell r="C180">
            <v>0.93</v>
          </cell>
          <cell r="D180" t="str">
            <v>Y</v>
          </cell>
          <cell r="E180">
            <v>0</v>
          </cell>
          <cell r="F180" t="str">
            <v>A</v>
          </cell>
          <cell r="G180" t="str">
            <v>Balance with revenue authorities</v>
          </cell>
        </row>
        <row r="181">
          <cell r="B181" t="str">
            <v>TCS IGST @ 1.00%</v>
          </cell>
          <cell r="C181">
            <v>7.43</v>
          </cell>
          <cell r="D181" t="str">
            <v>Y</v>
          </cell>
          <cell r="E181">
            <v>0.01</v>
          </cell>
          <cell r="F181" t="str">
            <v>A</v>
          </cell>
          <cell r="G181" t="str">
            <v>Balance with revenue authorities</v>
          </cell>
        </row>
        <row r="182">
          <cell r="B182" t="str">
            <v>TCS SGST @ 0.50%</v>
          </cell>
          <cell r="C182">
            <v>0.93</v>
          </cell>
          <cell r="D182" t="str">
            <v>Y</v>
          </cell>
          <cell r="E182">
            <v>0</v>
          </cell>
          <cell r="F182" t="str">
            <v>A</v>
          </cell>
          <cell r="G182" t="str">
            <v>Balance with revenue authorities</v>
          </cell>
        </row>
        <row r="183">
          <cell r="B183" t="str">
            <v>Ajay Gas Service</v>
          </cell>
          <cell r="C183">
            <v>-152928</v>
          </cell>
          <cell r="D183" t="str">
            <v>Y</v>
          </cell>
          <cell r="E183">
            <v>-152.93</v>
          </cell>
          <cell r="F183" t="str">
            <v>L</v>
          </cell>
          <cell r="G183" t="str">
            <v>Other trade payable (Including acceptance)</v>
          </cell>
        </row>
        <row r="184">
          <cell r="B184" t="str">
            <v>Amit Trading Company</v>
          </cell>
          <cell r="C184">
            <v>-129491</v>
          </cell>
          <cell r="D184" t="str">
            <v>Y</v>
          </cell>
          <cell r="E184">
            <v>-129.49</v>
          </cell>
          <cell r="F184" t="str">
            <v>L</v>
          </cell>
          <cell r="G184" t="str">
            <v>Other trade payable (Including acceptance)</v>
          </cell>
        </row>
        <row r="185">
          <cell r="B185" t="str">
            <v>Balaji Service Station</v>
          </cell>
          <cell r="C185">
            <v>-25440</v>
          </cell>
          <cell r="D185" t="str">
            <v>Y</v>
          </cell>
          <cell r="E185">
            <v>-25.44</v>
          </cell>
          <cell r="F185" t="str">
            <v>L</v>
          </cell>
          <cell r="G185" t="str">
            <v>Other trade payable (Including acceptance)</v>
          </cell>
        </row>
        <row r="186">
          <cell r="B186" t="str">
            <v>Bharti Enterprises</v>
          </cell>
          <cell r="C186">
            <v>-45312</v>
          </cell>
          <cell r="D186" t="str">
            <v>Y</v>
          </cell>
          <cell r="E186">
            <v>-45.31</v>
          </cell>
          <cell r="F186" t="str">
            <v>L</v>
          </cell>
          <cell r="G186" t="str">
            <v>Other trade payable (Including acceptance)</v>
          </cell>
        </row>
        <row r="187">
          <cell r="B187" t="str">
            <v>Bhavishya Fire System</v>
          </cell>
          <cell r="C187">
            <v>-9198</v>
          </cell>
          <cell r="D187" t="str">
            <v>Y</v>
          </cell>
          <cell r="E187">
            <v>-9.1999999999999993</v>
          </cell>
          <cell r="F187" t="str">
            <v>L</v>
          </cell>
          <cell r="G187" t="str">
            <v>Other trade payable (Including acceptance)</v>
          </cell>
        </row>
        <row r="188">
          <cell r="B188" t="str">
            <v>GANAUR GAS AGENCY</v>
          </cell>
          <cell r="C188">
            <v>-50290</v>
          </cell>
          <cell r="D188" t="str">
            <v>Y</v>
          </cell>
          <cell r="E188">
            <v>-50.29</v>
          </cell>
          <cell r="F188" t="str">
            <v>L</v>
          </cell>
          <cell r="G188" t="str">
            <v>Other trade payable (Including acceptance)</v>
          </cell>
        </row>
        <row r="189">
          <cell r="B189" t="str">
            <v>Gujarat Env. Prot. &amp; Inf. (H) Pvt. Ltd.</v>
          </cell>
          <cell r="C189">
            <v>-22172.75</v>
          </cell>
          <cell r="D189" t="str">
            <v>Y</v>
          </cell>
          <cell r="E189">
            <v>-22.17</v>
          </cell>
          <cell r="F189" t="str">
            <v>L</v>
          </cell>
          <cell r="G189" t="str">
            <v>Other trade payable (Including acceptance)</v>
          </cell>
        </row>
        <row r="190">
          <cell r="B190" t="str">
            <v>Gupta Cement Store</v>
          </cell>
          <cell r="C190">
            <v>-78434</v>
          </cell>
          <cell r="D190" t="str">
            <v>Y</v>
          </cell>
          <cell r="E190">
            <v>-78.430000000000007</v>
          </cell>
          <cell r="F190" t="str">
            <v>L</v>
          </cell>
          <cell r="G190" t="str">
            <v>Other trade payable (Including acceptance)</v>
          </cell>
        </row>
        <row r="191">
          <cell r="B191" t="str">
            <v>Gurara Enterprises Pvt. Ltd.</v>
          </cell>
          <cell r="C191">
            <v>-395065.5</v>
          </cell>
          <cell r="D191" t="str">
            <v>Y</v>
          </cell>
          <cell r="E191">
            <v>-395.07</v>
          </cell>
          <cell r="F191" t="str">
            <v>L</v>
          </cell>
          <cell r="G191" t="str">
            <v>Other trade payable (Including acceptance)</v>
          </cell>
        </row>
        <row r="192">
          <cell r="B192" t="str">
            <v>House of Sewing Spares</v>
          </cell>
          <cell r="C192">
            <v>-1885</v>
          </cell>
          <cell r="D192" t="str">
            <v>Y</v>
          </cell>
          <cell r="E192">
            <v>-1.89</v>
          </cell>
          <cell r="F192" t="str">
            <v>L</v>
          </cell>
          <cell r="G192" t="str">
            <v>Other trade payable (Including acceptance)</v>
          </cell>
        </row>
        <row r="193">
          <cell r="B193" t="str">
            <v>Indian Dye Chem</v>
          </cell>
          <cell r="C193">
            <v>-611139.69999999995</v>
          </cell>
          <cell r="D193" t="str">
            <v>Y</v>
          </cell>
          <cell r="E193">
            <v>-611.14</v>
          </cell>
          <cell r="F193" t="str">
            <v>L</v>
          </cell>
          <cell r="G193" t="str">
            <v>Other trade payable (Including acceptance)</v>
          </cell>
        </row>
        <row r="194">
          <cell r="B194" t="str">
            <v>Integrated Engineers  &amp; Contractors</v>
          </cell>
          <cell r="C194">
            <v>200000</v>
          </cell>
          <cell r="D194" t="str">
            <v>Y</v>
          </cell>
          <cell r="E194">
            <v>200</v>
          </cell>
          <cell r="F194" t="str">
            <v>A</v>
          </cell>
          <cell r="G194" t="str">
            <v>Advance to suppliers</v>
          </cell>
        </row>
        <row r="195">
          <cell r="B195" t="str">
            <v>Jean Lab Co.</v>
          </cell>
          <cell r="C195">
            <v>-206124</v>
          </cell>
          <cell r="D195" t="str">
            <v>Y</v>
          </cell>
          <cell r="E195">
            <v>-206.12</v>
          </cell>
          <cell r="F195" t="str">
            <v>L</v>
          </cell>
          <cell r="G195" t="str">
            <v>Other trade payable (Including acceptance)</v>
          </cell>
        </row>
        <row r="196">
          <cell r="B196" t="str">
            <v>KDM DYE CHEM (Delhi)</v>
          </cell>
          <cell r="C196">
            <v>-749388</v>
          </cell>
          <cell r="D196" t="str">
            <v>Y</v>
          </cell>
          <cell r="E196">
            <v>-749.39</v>
          </cell>
          <cell r="F196" t="str">
            <v>L</v>
          </cell>
          <cell r="G196" t="str">
            <v>Other trade payable (Including acceptance)</v>
          </cell>
        </row>
        <row r="197">
          <cell r="B197" t="str">
            <v>Mahadev Vikas Building Material Supplier</v>
          </cell>
          <cell r="C197">
            <v>-12400</v>
          </cell>
          <cell r="D197" t="str">
            <v>Y</v>
          </cell>
          <cell r="E197">
            <v>-12.4</v>
          </cell>
          <cell r="F197" t="str">
            <v>L</v>
          </cell>
          <cell r="G197" t="str">
            <v>Other trade payable (Including acceptance)</v>
          </cell>
        </row>
        <row r="198">
          <cell r="B198" t="str">
            <v>MKR Compressors</v>
          </cell>
          <cell r="C198">
            <v>-76850</v>
          </cell>
          <cell r="D198" t="str">
            <v>Y</v>
          </cell>
          <cell r="E198">
            <v>-76.849999999999994</v>
          </cell>
          <cell r="F198" t="str">
            <v>L</v>
          </cell>
          <cell r="G198" t="str">
            <v>Other trade payable (Including acceptance)</v>
          </cell>
        </row>
        <row r="199">
          <cell r="B199" t="str">
            <v>Mukul Dyestuff Pvt Ltd. (SBD)</v>
          </cell>
          <cell r="C199">
            <v>-642913</v>
          </cell>
          <cell r="D199" t="str">
            <v>Y</v>
          </cell>
          <cell r="E199">
            <v>-642.91</v>
          </cell>
          <cell r="F199" t="str">
            <v>L</v>
          </cell>
          <cell r="G199" t="str">
            <v>Other trade payable (Including acceptance)</v>
          </cell>
        </row>
        <row r="200">
          <cell r="B200" t="str">
            <v>Nagpal Dyes &amp; Chemicals</v>
          </cell>
          <cell r="C200">
            <v>-1183430.44</v>
          </cell>
          <cell r="D200" t="str">
            <v>Y</v>
          </cell>
          <cell r="E200">
            <v>-1183.43</v>
          </cell>
          <cell r="F200" t="str">
            <v>L</v>
          </cell>
          <cell r="G200" t="str">
            <v>Other trade payable (Including acceptance)</v>
          </cell>
        </row>
        <row r="201">
          <cell r="B201" t="str">
            <v>New Tyre Plaza</v>
          </cell>
          <cell r="C201">
            <v>-17280</v>
          </cell>
          <cell r="D201" t="str">
            <v>Y</v>
          </cell>
          <cell r="E201">
            <v>-17.28</v>
          </cell>
          <cell r="F201" t="str">
            <v>L</v>
          </cell>
          <cell r="G201" t="str">
            <v>Other trade payable (Including acceptance)</v>
          </cell>
        </row>
        <row r="202">
          <cell r="B202" t="str">
            <v>Perfect Specialty Chemicals Pvt. Ltd.</v>
          </cell>
          <cell r="C202">
            <v>-1110334</v>
          </cell>
          <cell r="D202" t="str">
            <v>Y</v>
          </cell>
          <cell r="E202">
            <v>-1110.33</v>
          </cell>
          <cell r="F202" t="str">
            <v>L</v>
          </cell>
          <cell r="G202" t="str">
            <v>Other trade payable (Including acceptance)</v>
          </cell>
        </row>
        <row r="203">
          <cell r="B203" t="str">
            <v>Pioneer Enviro Tech Barhi</v>
          </cell>
          <cell r="C203">
            <v>-11564</v>
          </cell>
          <cell r="D203" t="str">
            <v>Y</v>
          </cell>
          <cell r="E203">
            <v>-11.56</v>
          </cell>
          <cell r="F203" t="str">
            <v>L</v>
          </cell>
          <cell r="G203" t="str">
            <v>Other trade payable (Including acceptance)</v>
          </cell>
        </row>
        <row r="204">
          <cell r="B204" t="str">
            <v>Pioneer Udyog</v>
          </cell>
          <cell r="C204">
            <v>-1046930</v>
          </cell>
          <cell r="D204" t="str">
            <v>Y</v>
          </cell>
          <cell r="E204">
            <v>-1046.93</v>
          </cell>
          <cell r="F204" t="str">
            <v>L</v>
          </cell>
          <cell r="G204" t="str">
            <v>Other trade payable (Including acceptance)</v>
          </cell>
        </row>
        <row r="205">
          <cell r="B205" t="str">
            <v>Raj Electric Works</v>
          </cell>
          <cell r="C205">
            <v>-85230</v>
          </cell>
          <cell r="D205" t="str">
            <v>Y</v>
          </cell>
          <cell r="E205">
            <v>-85.23</v>
          </cell>
          <cell r="F205" t="str">
            <v>L</v>
          </cell>
          <cell r="G205" t="str">
            <v>Other trade payable (Including acceptance)</v>
          </cell>
        </row>
        <row r="206">
          <cell r="B206" t="str">
            <v>Shiv Saw Mills</v>
          </cell>
          <cell r="C206">
            <v>-2886</v>
          </cell>
          <cell r="D206" t="str">
            <v>Y</v>
          </cell>
          <cell r="E206">
            <v>-2.89</v>
          </cell>
          <cell r="F206" t="str">
            <v>L</v>
          </cell>
          <cell r="G206" t="str">
            <v>Other trade payable (Including acceptance)</v>
          </cell>
        </row>
        <row r="207">
          <cell r="B207" t="str">
            <v>Shree Banke Bihari Enterprises</v>
          </cell>
          <cell r="C207">
            <v>-3459906.8</v>
          </cell>
          <cell r="D207" t="str">
            <v>Y</v>
          </cell>
          <cell r="E207">
            <v>-3459.91</v>
          </cell>
          <cell r="F207" t="str">
            <v>L</v>
          </cell>
          <cell r="G207" t="str">
            <v>Other trade payable (Including acceptance)</v>
          </cell>
        </row>
        <row r="208">
          <cell r="B208" t="str">
            <v>Standrad Electric Works</v>
          </cell>
          <cell r="C208">
            <v>-27966</v>
          </cell>
          <cell r="D208" t="str">
            <v>Y</v>
          </cell>
          <cell r="E208">
            <v>-27.97</v>
          </cell>
          <cell r="F208" t="str">
            <v>L</v>
          </cell>
          <cell r="G208" t="str">
            <v>Other trade payable (Including acceptance)</v>
          </cell>
        </row>
        <row r="209">
          <cell r="B209" t="str">
            <v>Sunrise Computers</v>
          </cell>
          <cell r="C209">
            <v>-14160</v>
          </cell>
          <cell r="D209" t="str">
            <v>Y</v>
          </cell>
          <cell r="E209">
            <v>-14.16</v>
          </cell>
          <cell r="F209" t="str">
            <v>L</v>
          </cell>
          <cell r="G209" t="str">
            <v>Other trade payable (Including acceptance)</v>
          </cell>
        </row>
        <row r="210">
          <cell r="B210" t="str">
            <v>Texnzymes India Pvt. Ltd.</v>
          </cell>
          <cell r="C210">
            <v>-810316</v>
          </cell>
          <cell r="D210" t="str">
            <v>Y</v>
          </cell>
          <cell r="E210">
            <v>-810.32</v>
          </cell>
          <cell r="F210" t="str">
            <v>L</v>
          </cell>
          <cell r="G210" t="str">
            <v>Other trade payable (Including acceptance)</v>
          </cell>
        </row>
        <row r="211">
          <cell r="B211" t="str">
            <v>Tusker Dye Chem Pvt. Ltd(Faridabad)</v>
          </cell>
          <cell r="C211">
            <v>-1061583</v>
          </cell>
          <cell r="D211" t="str">
            <v>Y</v>
          </cell>
          <cell r="E211">
            <v>-1061.58</v>
          </cell>
          <cell r="F211" t="str">
            <v>L</v>
          </cell>
          <cell r="G211" t="str">
            <v>Other trade payable (Including acceptance)</v>
          </cell>
        </row>
        <row r="212">
          <cell r="B212" t="str">
            <v>Virgo Clothing Culture Pvt Ltd (P)</v>
          </cell>
          <cell r="C212">
            <v>-155026</v>
          </cell>
          <cell r="D212" t="str">
            <v>Y</v>
          </cell>
          <cell r="E212">
            <v>-155.03</v>
          </cell>
          <cell r="F212" t="str">
            <v>L</v>
          </cell>
          <cell r="G212" t="str">
            <v>Other trade payable (Including acceptance)</v>
          </cell>
        </row>
        <row r="213">
          <cell r="B213" t="str">
            <v>Yashvi Chemicals</v>
          </cell>
          <cell r="C213">
            <v>-3309570</v>
          </cell>
          <cell r="D213" t="str">
            <v>Y</v>
          </cell>
          <cell r="E213">
            <v>-3309.57</v>
          </cell>
          <cell r="F213" t="str">
            <v>L</v>
          </cell>
          <cell r="G213" t="str">
            <v>Other trade payable (Including acceptance)</v>
          </cell>
        </row>
        <row r="214">
          <cell r="B214" t="str">
            <v>Electricity Charges Payable</v>
          </cell>
          <cell r="C214">
            <v>-227444</v>
          </cell>
          <cell r="D214" t="str">
            <v>Y</v>
          </cell>
          <cell r="E214">
            <v>-227.44</v>
          </cell>
          <cell r="F214" t="str">
            <v>L</v>
          </cell>
          <cell r="G214" t="str">
            <v>Expenses Payable</v>
          </cell>
        </row>
        <row r="215">
          <cell r="B215" t="str">
            <v>EPF A/c Payable</v>
          </cell>
          <cell r="C215">
            <v>-82262</v>
          </cell>
          <cell r="D215" t="str">
            <v>Y</v>
          </cell>
          <cell r="E215">
            <v>-82.26</v>
          </cell>
          <cell r="F215" t="str">
            <v>L</v>
          </cell>
          <cell r="G215" t="str">
            <v>Statutory Dues</v>
          </cell>
        </row>
        <row r="216">
          <cell r="B216" t="str">
            <v>E.S.I. Payable</v>
          </cell>
          <cell r="C216">
            <v>-17066</v>
          </cell>
          <cell r="D216" t="str">
            <v>Y</v>
          </cell>
          <cell r="E216">
            <v>-17.07</v>
          </cell>
          <cell r="F216" t="str">
            <v>L</v>
          </cell>
          <cell r="G216" t="str">
            <v>Statutory Dues</v>
          </cell>
        </row>
        <row r="217">
          <cell r="B217" t="str">
            <v>Salary &amp; Wages Payable</v>
          </cell>
          <cell r="C217">
            <v>-508914</v>
          </cell>
          <cell r="D217" t="str">
            <v>Y</v>
          </cell>
          <cell r="E217">
            <v>-508.91</v>
          </cell>
          <cell r="F217" t="str">
            <v>L</v>
          </cell>
          <cell r="G217" t="str">
            <v>Salary &amp; Wages Payable</v>
          </cell>
        </row>
        <row r="218">
          <cell r="B218" t="str">
            <v>Welfate Commissioner Haryana Payble</v>
          </cell>
          <cell r="C218">
            <v>-48574</v>
          </cell>
          <cell r="D218" t="str">
            <v>Y</v>
          </cell>
          <cell r="E218">
            <v>-48.57</v>
          </cell>
          <cell r="F218" t="str">
            <v>L</v>
          </cell>
          <cell r="G218" t="str">
            <v>Statutory Dues</v>
          </cell>
        </row>
        <row r="219">
          <cell r="B219" t="str">
            <v>BUILDING NO. 130 BARHI</v>
          </cell>
          <cell r="C219">
            <v>505749.45</v>
          </cell>
          <cell r="D219" t="str">
            <v>Y</v>
          </cell>
          <cell r="E219">
            <v>505.75</v>
          </cell>
          <cell r="F219" t="str">
            <v>A</v>
          </cell>
          <cell r="G219" t="str">
            <v>(a) Property Plant &amp; Equipment</v>
          </cell>
        </row>
        <row r="220">
          <cell r="B220" t="str">
            <v>BUILDING NO. 131 BARHI</v>
          </cell>
          <cell r="C220">
            <v>1416121.6</v>
          </cell>
          <cell r="D220" t="str">
            <v>Y</v>
          </cell>
          <cell r="E220">
            <v>1416.12</v>
          </cell>
          <cell r="F220" t="str">
            <v>A</v>
          </cell>
          <cell r="G220" t="str">
            <v>(a) Property Plant &amp; Equipment</v>
          </cell>
        </row>
        <row r="221">
          <cell r="B221" t="str">
            <v>Building WIP</v>
          </cell>
          <cell r="C221">
            <v>1798622.25</v>
          </cell>
          <cell r="D221" t="str">
            <v>Y</v>
          </cell>
          <cell r="E221">
            <v>1798.62</v>
          </cell>
          <cell r="F221" t="str">
            <v>A</v>
          </cell>
          <cell r="G221" t="str">
            <v>(a) Property Plant &amp; Equipment</v>
          </cell>
        </row>
        <row r="222">
          <cell r="B222" t="str">
            <v>Computer A/c @ 18%</v>
          </cell>
          <cell r="C222">
            <v>9234.65</v>
          </cell>
          <cell r="D222" t="str">
            <v>Y</v>
          </cell>
          <cell r="E222">
            <v>9.23</v>
          </cell>
          <cell r="F222" t="str">
            <v>A</v>
          </cell>
          <cell r="G222" t="str">
            <v>(a) Property Plant &amp; Equipment</v>
          </cell>
        </row>
        <row r="223">
          <cell r="B223" t="str">
            <v>Electrics Fitting &amp; Fixture @ 18%</v>
          </cell>
          <cell r="C223">
            <v>177608.53</v>
          </cell>
          <cell r="D223" t="str">
            <v>Y</v>
          </cell>
          <cell r="E223">
            <v>177.61</v>
          </cell>
          <cell r="F223" t="str">
            <v>A</v>
          </cell>
          <cell r="G223" t="str">
            <v>(a) Property Plant &amp; Equipment</v>
          </cell>
        </row>
        <row r="224">
          <cell r="B224" t="str">
            <v>EPBAX</v>
          </cell>
          <cell r="C224">
            <v>1050</v>
          </cell>
          <cell r="D224" t="str">
            <v>Y</v>
          </cell>
          <cell r="E224">
            <v>1.05</v>
          </cell>
          <cell r="F224" t="str">
            <v>A</v>
          </cell>
          <cell r="G224" t="str">
            <v>(a) Property Plant &amp; Equipment</v>
          </cell>
        </row>
        <row r="225">
          <cell r="B225" t="str">
            <v>Factory at Plot 132</v>
          </cell>
          <cell r="C225">
            <v>4080357.86</v>
          </cell>
          <cell r="D225" t="str">
            <v>Y</v>
          </cell>
          <cell r="E225">
            <v>4080.36</v>
          </cell>
          <cell r="F225" t="str">
            <v>A</v>
          </cell>
          <cell r="G225" t="str">
            <v>(a) Property Plant &amp; Equipment</v>
          </cell>
        </row>
        <row r="226">
          <cell r="B226" t="str">
            <v>FIRE FITTING &amp; EQUIPMENTS</v>
          </cell>
          <cell r="C226">
            <v>1254</v>
          </cell>
          <cell r="D226" t="str">
            <v>Y</v>
          </cell>
          <cell r="E226">
            <v>1.25</v>
          </cell>
          <cell r="F226" t="str">
            <v>A</v>
          </cell>
          <cell r="G226" t="str">
            <v>(a) Property Plant &amp; Equipment</v>
          </cell>
        </row>
        <row r="227">
          <cell r="B227" t="str">
            <v>Furniture</v>
          </cell>
          <cell r="C227">
            <v>2836</v>
          </cell>
          <cell r="D227" t="str">
            <v>Y</v>
          </cell>
          <cell r="E227">
            <v>2.84</v>
          </cell>
          <cell r="F227" t="str">
            <v>A</v>
          </cell>
          <cell r="G227" t="str">
            <v>(a) Property Plant &amp; Equipment</v>
          </cell>
        </row>
        <row r="228">
          <cell r="B228" t="str">
            <v>Generator</v>
          </cell>
          <cell r="C228">
            <v>406712.78</v>
          </cell>
          <cell r="D228" t="str">
            <v>Y</v>
          </cell>
          <cell r="E228">
            <v>406.71</v>
          </cell>
          <cell r="F228" t="str">
            <v>A</v>
          </cell>
          <cell r="G228" t="str">
            <v>(a) Property Plant &amp; Equipment</v>
          </cell>
        </row>
        <row r="229">
          <cell r="B229" t="str">
            <v>Land Barhi Indus. Plot No. 131</v>
          </cell>
          <cell r="C229">
            <v>914169</v>
          </cell>
          <cell r="D229" t="str">
            <v>Y</v>
          </cell>
          <cell r="E229">
            <v>914.17</v>
          </cell>
          <cell r="F229" t="str">
            <v>A</v>
          </cell>
          <cell r="G229" t="str">
            <v>(a) Property Plant &amp; Equipment</v>
          </cell>
        </row>
        <row r="230">
          <cell r="B230" t="str">
            <v>Land (HSIDC-Barhi)</v>
          </cell>
          <cell r="C230">
            <v>572487</v>
          </cell>
          <cell r="D230" t="str">
            <v>Y</v>
          </cell>
          <cell r="E230">
            <v>572.49</v>
          </cell>
          <cell r="F230" t="str">
            <v>A</v>
          </cell>
          <cell r="G230" t="str">
            <v>(a) Property Plant &amp; Equipment</v>
          </cell>
        </row>
        <row r="231">
          <cell r="B231" t="str">
            <v>Office Furniture @ 18%</v>
          </cell>
          <cell r="C231">
            <v>38348.92</v>
          </cell>
          <cell r="D231" t="str">
            <v>Y</v>
          </cell>
          <cell r="E231">
            <v>38.35</v>
          </cell>
          <cell r="F231" t="str">
            <v>A</v>
          </cell>
          <cell r="G231" t="str">
            <v>(a) Property Plant &amp; Equipment</v>
          </cell>
        </row>
        <row r="232">
          <cell r="B232" t="str">
            <v>PICK UP VAN ECCO</v>
          </cell>
          <cell r="C232">
            <v>74768.97</v>
          </cell>
          <cell r="D232" t="str">
            <v>Y</v>
          </cell>
          <cell r="E232">
            <v>74.77</v>
          </cell>
          <cell r="F232" t="str">
            <v>A</v>
          </cell>
          <cell r="G232" t="str">
            <v>(a) Property Plant &amp; Equipment</v>
          </cell>
        </row>
        <row r="233">
          <cell r="B233" t="str">
            <v>Plant &amp; Machinery @ 12%</v>
          </cell>
          <cell r="C233">
            <v>54464.29</v>
          </cell>
          <cell r="D233" t="str">
            <v>Y</v>
          </cell>
          <cell r="E233">
            <v>54.46</v>
          </cell>
          <cell r="F233" t="str">
            <v>A</v>
          </cell>
          <cell r="G233" t="str">
            <v>(a) Property Plant &amp; Equipment</v>
          </cell>
        </row>
        <row r="234">
          <cell r="B234" t="str">
            <v>Plant &amp; Machinery @ 18%</v>
          </cell>
          <cell r="C234">
            <v>8590427.1699999999</v>
          </cell>
          <cell r="D234" t="str">
            <v>Y</v>
          </cell>
          <cell r="E234">
            <v>8590.43</v>
          </cell>
          <cell r="F234" t="str">
            <v>A</v>
          </cell>
          <cell r="G234" t="str">
            <v>(a) Property Plant &amp; Equipment</v>
          </cell>
        </row>
        <row r="235">
          <cell r="B235" t="str">
            <v>Plant &amp; Machinery @ 18% (Local)</v>
          </cell>
          <cell r="C235">
            <v>490413</v>
          </cell>
          <cell r="D235" t="str">
            <v>Y</v>
          </cell>
          <cell r="E235">
            <v>490.41</v>
          </cell>
          <cell r="F235" t="str">
            <v>A</v>
          </cell>
          <cell r="G235" t="str">
            <v>(a) Property Plant &amp; Equipment</v>
          </cell>
        </row>
        <row r="236">
          <cell r="B236" t="str">
            <v>Plant &amp; Machinery (Imported)</v>
          </cell>
          <cell r="C236">
            <v>8202536.3099999996</v>
          </cell>
          <cell r="D236" t="str">
            <v>Y</v>
          </cell>
          <cell r="E236">
            <v>8202.5400000000009</v>
          </cell>
          <cell r="F236" t="str">
            <v>A</v>
          </cell>
          <cell r="G236" t="str">
            <v>(a) Property Plant &amp; Equipment</v>
          </cell>
        </row>
        <row r="237">
          <cell r="B237" t="str">
            <v>Securty System (Wherhouse Securty System).</v>
          </cell>
          <cell r="C237">
            <v>715</v>
          </cell>
          <cell r="D237" t="str">
            <v>Y</v>
          </cell>
          <cell r="E237">
            <v>0.72</v>
          </cell>
          <cell r="F237" t="str">
            <v>A</v>
          </cell>
          <cell r="G237" t="str">
            <v>(a) Property Plant &amp; Equipment</v>
          </cell>
        </row>
        <row r="238">
          <cell r="B238" t="str">
            <v>Solar Lightning System</v>
          </cell>
          <cell r="C238">
            <v>27073.49</v>
          </cell>
          <cell r="D238" t="str">
            <v>Y</v>
          </cell>
          <cell r="E238">
            <v>27.07</v>
          </cell>
          <cell r="F238" t="str">
            <v>A</v>
          </cell>
          <cell r="G238" t="str">
            <v>(a) Property Plant &amp; Equipment</v>
          </cell>
        </row>
        <row r="239">
          <cell r="B239" t="str">
            <v>Water Cooler</v>
          </cell>
          <cell r="C239">
            <v>8508.2900000000009</v>
          </cell>
          <cell r="D239" t="str">
            <v>Y</v>
          </cell>
          <cell r="E239">
            <v>8.51</v>
          </cell>
          <cell r="F239" t="str">
            <v>A</v>
          </cell>
          <cell r="G239" t="str">
            <v>(a) Property Plant &amp; Equipment</v>
          </cell>
        </row>
        <row r="240">
          <cell r="B240" t="str">
            <v>Water Pollution Equipment</v>
          </cell>
          <cell r="C240">
            <v>129292.56</v>
          </cell>
          <cell r="D240" t="str">
            <v>Y</v>
          </cell>
          <cell r="E240">
            <v>129.29</v>
          </cell>
          <cell r="F240" t="str">
            <v>A</v>
          </cell>
          <cell r="G240" t="str">
            <v>(a) Property Plant &amp; Equipment</v>
          </cell>
        </row>
        <row r="241">
          <cell r="B241" t="str">
            <v>Wireless Handle Radio</v>
          </cell>
          <cell r="C241">
            <v>1349</v>
          </cell>
          <cell r="D241" t="str">
            <v>Y</v>
          </cell>
          <cell r="E241">
            <v>1.35</v>
          </cell>
          <cell r="F241" t="str">
            <v>A</v>
          </cell>
          <cell r="G241" t="str">
            <v>(a) Property Plant &amp; Equipment</v>
          </cell>
        </row>
        <row r="242">
          <cell r="B242" t="str">
            <v>Opening Stock</v>
          </cell>
          <cell r="C242">
            <v>3050950</v>
          </cell>
          <cell r="D242" t="str">
            <v>Y</v>
          </cell>
          <cell r="E242">
            <v>6952.6900000000005</v>
          </cell>
          <cell r="F242" t="str">
            <v>A</v>
          </cell>
          <cell r="G242" t="str">
            <v xml:space="preserve">Closing Stock </v>
          </cell>
        </row>
        <row r="243">
          <cell r="B243" t="str">
            <v>A.R.International</v>
          </cell>
          <cell r="C243">
            <v>487659</v>
          </cell>
          <cell r="D243" t="str">
            <v>Y</v>
          </cell>
          <cell r="E243">
            <v>487.66</v>
          </cell>
          <cell r="F243" t="str">
            <v>A</v>
          </cell>
          <cell r="G243" t="str">
            <v xml:space="preserve">secured, considered good </v>
          </cell>
        </row>
        <row r="244">
          <cell r="B244" t="str">
            <v>Attitude Jeans LLP</v>
          </cell>
          <cell r="C244">
            <v>817323.1</v>
          </cell>
          <cell r="D244" t="str">
            <v>Y</v>
          </cell>
          <cell r="E244">
            <v>817.32</v>
          </cell>
          <cell r="F244" t="str">
            <v>A</v>
          </cell>
          <cell r="G244" t="str">
            <v xml:space="preserve">  secured, considered good </v>
          </cell>
        </row>
        <row r="245">
          <cell r="B245" t="str">
            <v>Baby Dresses</v>
          </cell>
          <cell r="C245">
            <v>122060</v>
          </cell>
          <cell r="D245" t="str">
            <v>Y</v>
          </cell>
          <cell r="E245">
            <v>122.06</v>
          </cell>
          <cell r="F245" t="str">
            <v>A</v>
          </cell>
          <cell r="G245" t="str">
            <v xml:space="preserve">secured, considered good </v>
          </cell>
        </row>
        <row r="246">
          <cell r="B246" t="str">
            <v>Daksh Enterprises</v>
          </cell>
          <cell r="C246">
            <v>2649795</v>
          </cell>
          <cell r="D246" t="str">
            <v>Y</v>
          </cell>
          <cell r="E246">
            <v>2649.8</v>
          </cell>
          <cell r="F246" t="str">
            <v>A</v>
          </cell>
          <cell r="G246" t="str">
            <v xml:space="preserve">  secured, considered good </v>
          </cell>
        </row>
        <row r="247">
          <cell r="B247" t="str">
            <v>DEFYKNITS</v>
          </cell>
          <cell r="C247">
            <v>963294</v>
          </cell>
          <cell r="D247" t="str">
            <v>Y</v>
          </cell>
          <cell r="E247">
            <v>963.29</v>
          </cell>
          <cell r="F247" t="str">
            <v>A</v>
          </cell>
          <cell r="G247" t="str">
            <v xml:space="preserve">  secured, considered good </v>
          </cell>
        </row>
        <row r="248">
          <cell r="B248" t="str">
            <v>Garments India</v>
          </cell>
          <cell r="C248">
            <v>831971</v>
          </cell>
          <cell r="D248" t="str">
            <v>Y</v>
          </cell>
          <cell r="E248">
            <v>831.97</v>
          </cell>
          <cell r="F248" t="str">
            <v>A</v>
          </cell>
          <cell r="G248" t="str">
            <v xml:space="preserve">secured, considered good </v>
          </cell>
        </row>
        <row r="249">
          <cell r="B249" t="str">
            <v>Goel Creations</v>
          </cell>
          <cell r="C249">
            <v>277441</v>
          </cell>
          <cell r="D249" t="str">
            <v>Y</v>
          </cell>
          <cell r="E249">
            <v>277.44</v>
          </cell>
          <cell r="F249" t="str">
            <v>A</v>
          </cell>
          <cell r="G249" t="str">
            <v xml:space="preserve">secured, considered good </v>
          </cell>
        </row>
        <row r="250">
          <cell r="B250" t="str">
            <v>J.M.D. Garments</v>
          </cell>
          <cell r="C250">
            <v>512542</v>
          </cell>
          <cell r="D250" t="str">
            <v>Y</v>
          </cell>
          <cell r="E250">
            <v>512.54</v>
          </cell>
          <cell r="F250" t="str">
            <v>A</v>
          </cell>
          <cell r="G250" t="str">
            <v xml:space="preserve">secured, considered good </v>
          </cell>
        </row>
        <row r="251">
          <cell r="B251" t="str">
            <v>JMV GARMNETS</v>
          </cell>
          <cell r="C251">
            <v>600480</v>
          </cell>
          <cell r="D251" t="str">
            <v>Y</v>
          </cell>
          <cell r="E251">
            <v>600.48</v>
          </cell>
          <cell r="F251" t="str">
            <v>A</v>
          </cell>
          <cell r="G251" t="str">
            <v xml:space="preserve">secured, considered good </v>
          </cell>
        </row>
        <row r="252">
          <cell r="B252" t="str">
            <v>Mahavir Industries</v>
          </cell>
          <cell r="C252">
            <v>1133939</v>
          </cell>
          <cell r="D252" t="str">
            <v>Y</v>
          </cell>
          <cell r="E252">
            <v>1133.94</v>
          </cell>
          <cell r="F252" t="str">
            <v>A</v>
          </cell>
          <cell r="G252" t="str">
            <v xml:space="preserve">secured, considered good </v>
          </cell>
        </row>
        <row r="253">
          <cell r="B253" t="str">
            <v>MLK Exports Pvt. Ltd.</v>
          </cell>
          <cell r="C253">
            <v>29484</v>
          </cell>
          <cell r="D253" t="str">
            <v>Y</v>
          </cell>
          <cell r="E253">
            <v>29.48</v>
          </cell>
          <cell r="F253" t="str">
            <v>A</v>
          </cell>
          <cell r="G253" t="str">
            <v xml:space="preserve">secured, considered good </v>
          </cell>
        </row>
        <row r="254">
          <cell r="B254" t="str">
            <v>M.S. Incorporates</v>
          </cell>
          <cell r="C254">
            <v>137028</v>
          </cell>
          <cell r="D254" t="str">
            <v>Y</v>
          </cell>
          <cell r="E254">
            <v>137.03</v>
          </cell>
          <cell r="F254" t="str">
            <v>A</v>
          </cell>
          <cell r="G254" t="str">
            <v xml:space="preserve">secured, considered good </v>
          </cell>
        </row>
        <row r="255">
          <cell r="B255" t="str">
            <v>Onto</v>
          </cell>
          <cell r="C255">
            <v>725266</v>
          </cell>
          <cell r="D255" t="str">
            <v>Y</v>
          </cell>
          <cell r="E255">
            <v>725.27</v>
          </cell>
          <cell r="F255" t="str">
            <v>A</v>
          </cell>
          <cell r="G255" t="str">
            <v xml:space="preserve">secured, considered good </v>
          </cell>
        </row>
        <row r="256">
          <cell r="B256" t="str">
            <v>Radha Madhav Garments</v>
          </cell>
          <cell r="C256">
            <v>315100</v>
          </cell>
          <cell r="D256" t="str">
            <v>Y</v>
          </cell>
          <cell r="E256">
            <v>315.10000000000002</v>
          </cell>
          <cell r="F256" t="str">
            <v>A</v>
          </cell>
          <cell r="G256" t="str">
            <v xml:space="preserve">  secured, considered good </v>
          </cell>
        </row>
        <row r="257">
          <cell r="B257" t="str">
            <v>Raju Knitwear</v>
          </cell>
          <cell r="C257">
            <v>77792</v>
          </cell>
          <cell r="D257" t="str">
            <v>Y</v>
          </cell>
          <cell r="E257">
            <v>77.790000000000006</v>
          </cell>
          <cell r="F257" t="str">
            <v>A</v>
          </cell>
          <cell r="G257" t="str">
            <v xml:space="preserve">secured, considered good </v>
          </cell>
        </row>
        <row r="258">
          <cell r="B258" t="str">
            <v>Sage Apparels Pvt. Ld.</v>
          </cell>
          <cell r="C258">
            <v>66308</v>
          </cell>
          <cell r="D258" t="str">
            <v>Y</v>
          </cell>
          <cell r="E258">
            <v>66.31</v>
          </cell>
          <cell r="F258" t="str">
            <v>A</v>
          </cell>
          <cell r="G258" t="str">
            <v xml:space="preserve">  secured, considered good </v>
          </cell>
        </row>
        <row r="259">
          <cell r="B259" t="str">
            <v>Seth Apparels</v>
          </cell>
          <cell r="C259">
            <v>595566</v>
          </cell>
          <cell r="D259" t="str">
            <v>Y</v>
          </cell>
          <cell r="E259">
            <v>595.57000000000005</v>
          </cell>
          <cell r="F259" t="str">
            <v>A</v>
          </cell>
          <cell r="G259" t="str">
            <v xml:space="preserve">secured, considered good </v>
          </cell>
        </row>
        <row r="260">
          <cell r="B260" t="str">
            <v>Subham Collections</v>
          </cell>
          <cell r="C260">
            <v>91485</v>
          </cell>
          <cell r="D260" t="str">
            <v>Y</v>
          </cell>
          <cell r="E260">
            <v>91.49</v>
          </cell>
          <cell r="F260" t="str">
            <v>A</v>
          </cell>
          <cell r="G260" t="str">
            <v xml:space="preserve">secured, considered good </v>
          </cell>
        </row>
        <row r="261">
          <cell r="B261" t="str">
            <v>The Perfect Fit</v>
          </cell>
          <cell r="C261">
            <v>75310</v>
          </cell>
          <cell r="D261" t="str">
            <v>Y</v>
          </cell>
          <cell r="E261">
            <v>75.31</v>
          </cell>
          <cell r="F261" t="str">
            <v>A</v>
          </cell>
          <cell r="G261" t="str">
            <v xml:space="preserve">secured, considered good </v>
          </cell>
        </row>
        <row r="262">
          <cell r="B262" t="str">
            <v xml:space="preserve">Vardhman Creations_x000D_
_x000D_
</v>
          </cell>
          <cell r="C262">
            <v>90259</v>
          </cell>
          <cell r="D262" t="str">
            <v>Y</v>
          </cell>
          <cell r="E262">
            <v>90.26</v>
          </cell>
          <cell r="F262" t="str">
            <v>A</v>
          </cell>
          <cell r="G262" t="str">
            <v xml:space="preserve">secured, considered good </v>
          </cell>
        </row>
        <row r="263">
          <cell r="B263" t="str">
            <v xml:space="preserve">VARDHMAN GAR-TEX CREATORS PVT LTD_x000D_
_x000D_
</v>
          </cell>
          <cell r="C263">
            <v>10080</v>
          </cell>
          <cell r="D263" t="str">
            <v>Y</v>
          </cell>
          <cell r="E263">
            <v>10.08</v>
          </cell>
          <cell r="F263" t="str">
            <v>A</v>
          </cell>
          <cell r="G263" t="str">
            <v xml:space="preserve">secured, considered good </v>
          </cell>
        </row>
        <row r="264">
          <cell r="B264" t="str">
            <v>Vibgyor Styles Pvt. Ltd.</v>
          </cell>
          <cell r="C264">
            <v>14805</v>
          </cell>
          <cell r="D264" t="str">
            <v>Y</v>
          </cell>
          <cell r="E264">
            <v>14.81</v>
          </cell>
          <cell r="F264" t="str">
            <v>A</v>
          </cell>
          <cell r="G264" t="str">
            <v xml:space="preserve">secured, considered good </v>
          </cell>
        </row>
        <row r="265">
          <cell r="B265" t="str">
            <v>Virgo Clothing Culture Pvt. Ltd.</v>
          </cell>
          <cell r="C265">
            <v>1054731</v>
          </cell>
          <cell r="D265" t="str">
            <v>Y</v>
          </cell>
          <cell r="E265">
            <v>1054.73</v>
          </cell>
          <cell r="F265" t="str">
            <v>A</v>
          </cell>
          <cell r="G265" t="str">
            <v xml:space="preserve">  secured, considered good </v>
          </cell>
        </row>
        <row r="266">
          <cell r="B266" t="str">
            <v>GST Receivable</v>
          </cell>
          <cell r="C266">
            <v>335603.67</v>
          </cell>
          <cell r="D266" t="str">
            <v>Y</v>
          </cell>
          <cell r="E266">
            <v>335.6</v>
          </cell>
          <cell r="F266" t="str">
            <v>A</v>
          </cell>
          <cell r="G266" t="str">
            <v>Balance with revenue authorities</v>
          </cell>
        </row>
        <row r="267">
          <cell r="B267" t="str">
            <v>GST Refundable</v>
          </cell>
          <cell r="C267">
            <v>4534033</v>
          </cell>
          <cell r="D267" t="str">
            <v>Y</v>
          </cell>
          <cell r="E267">
            <v>4534.03</v>
          </cell>
          <cell r="F267" t="str">
            <v>A</v>
          </cell>
          <cell r="G267" t="str">
            <v>Balance with revenue authorities</v>
          </cell>
        </row>
        <row r="268">
          <cell r="B268" t="str">
            <v>Prepaid Insurance A/c</v>
          </cell>
          <cell r="C268">
            <v>49104</v>
          </cell>
          <cell r="D268" t="str">
            <v>Y</v>
          </cell>
          <cell r="E268">
            <v>49.1</v>
          </cell>
          <cell r="F268" t="str">
            <v>A</v>
          </cell>
          <cell r="G268" t="str">
            <v>Prepaid expenses</v>
          </cell>
        </row>
        <row r="269">
          <cell r="B269" t="str">
            <v>Security with UHBVN</v>
          </cell>
          <cell r="C269">
            <v>267606</v>
          </cell>
          <cell r="D269" t="str">
            <v>Y</v>
          </cell>
          <cell r="E269">
            <v>267.61</v>
          </cell>
          <cell r="F269" t="str">
            <v>A</v>
          </cell>
          <cell r="G269" t="str">
            <v>Security with government authorities</v>
          </cell>
        </row>
        <row r="270">
          <cell r="B270" t="str">
            <v>TDS A/c ( A.Y. 2022-23)</v>
          </cell>
          <cell r="C270">
            <v>496891</v>
          </cell>
          <cell r="D270" t="str">
            <v>Y</v>
          </cell>
          <cell r="E270">
            <v>496.89</v>
          </cell>
          <cell r="F270" t="str">
            <v>A</v>
          </cell>
          <cell r="G270" t="str">
            <v>Balance with revenue authorities</v>
          </cell>
        </row>
        <row r="271">
          <cell r="B271" t="str">
            <v>TDS A/c (A.Y. 2023-24)</v>
          </cell>
          <cell r="C271">
            <v>6990</v>
          </cell>
          <cell r="D271" t="str">
            <v>Y</v>
          </cell>
          <cell r="E271">
            <v>6.99</v>
          </cell>
          <cell r="F271" t="str">
            <v>A</v>
          </cell>
          <cell r="G271" t="str">
            <v>Balance with revenue authorities</v>
          </cell>
        </row>
        <row r="272">
          <cell r="B272" t="str">
            <v>Delhi Office</v>
          </cell>
          <cell r="C272">
            <v>-28026773.73</v>
          </cell>
          <cell r="D272" t="str">
            <v>Y</v>
          </cell>
          <cell r="E272">
            <v>-28026.77</v>
          </cell>
          <cell r="F272"/>
          <cell r="G272" t="str">
            <v>Inter Branch</v>
          </cell>
        </row>
        <row r="273">
          <cell r="B273" t="str">
            <v>GST Job Work (Interstate)</v>
          </cell>
          <cell r="C273">
            <v>-25518065.809999999</v>
          </cell>
          <cell r="D273" t="str">
            <v>Y</v>
          </cell>
          <cell r="E273">
            <v>-25518.07</v>
          </cell>
          <cell r="F273" t="str">
            <v>I</v>
          </cell>
          <cell r="G273" t="str">
            <v>Sales</v>
          </cell>
        </row>
        <row r="274">
          <cell r="B274" t="str">
            <v>GST Job Work (Transfer to Delhi)</v>
          </cell>
          <cell r="C274">
            <v>-62108</v>
          </cell>
          <cell r="D274" t="str">
            <v>Y</v>
          </cell>
          <cell r="E274">
            <v>-62.11</v>
          </cell>
          <cell r="F274" t="str">
            <v>I</v>
          </cell>
          <cell r="G274" t="str">
            <v>Less:Inter Branch Sale</v>
          </cell>
        </row>
        <row r="275">
          <cell r="B275" t="str">
            <v>GST Job Work (LOCAL)</v>
          </cell>
          <cell r="C275">
            <v>-2114643</v>
          </cell>
          <cell r="D275" t="str">
            <v>Y</v>
          </cell>
          <cell r="E275">
            <v>-2114.64</v>
          </cell>
          <cell r="F275" t="str">
            <v>I</v>
          </cell>
          <cell r="G275" t="str">
            <v>Sales</v>
          </cell>
        </row>
        <row r="276">
          <cell r="B276" t="str">
            <v>GST Job Work (Transfer to Delhi)</v>
          </cell>
          <cell r="C276">
            <v>-61496</v>
          </cell>
          <cell r="D276" t="str">
            <v>Y</v>
          </cell>
          <cell r="E276">
            <v>-61.5</v>
          </cell>
          <cell r="F276" t="str">
            <v>I</v>
          </cell>
          <cell r="G276" t="str">
            <v>Less:Inter Branch Sale</v>
          </cell>
        </row>
        <row r="277">
          <cell r="B277" t="str">
            <v>Used Battary Sale</v>
          </cell>
          <cell r="C277">
            <v>-20400</v>
          </cell>
          <cell r="D277" t="str">
            <v>Y</v>
          </cell>
          <cell r="E277">
            <v>-20.399999999999999</v>
          </cell>
          <cell r="F277" t="str">
            <v>I</v>
          </cell>
          <cell r="G277" t="str">
            <v>Sales</v>
          </cell>
        </row>
        <row r="278">
          <cell r="B278" t="str">
            <v>Used Machinery Sale</v>
          </cell>
          <cell r="C278">
            <v>-100000</v>
          </cell>
          <cell r="D278" t="str">
            <v>Y</v>
          </cell>
          <cell r="E278">
            <v>-100</v>
          </cell>
          <cell r="F278" t="str">
            <v>I</v>
          </cell>
          <cell r="G278" t="str">
            <v>Sales</v>
          </cell>
        </row>
        <row r="279">
          <cell r="B279" t="str">
            <v>Used Machinery Sale @12%</v>
          </cell>
          <cell r="C279">
            <v>-60714</v>
          </cell>
          <cell r="D279" t="str">
            <v>Y</v>
          </cell>
          <cell r="E279">
            <v>-60.71</v>
          </cell>
          <cell r="F279" t="str">
            <v>I</v>
          </cell>
          <cell r="G279" t="str">
            <v>Sales</v>
          </cell>
        </row>
        <row r="280">
          <cell r="B280" t="str">
            <v>Detergent Enzyme &amp; Chemicals</v>
          </cell>
          <cell r="C280">
            <v>6818438.79</v>
          </cell>
          <cell r="D280" t="str">
            <v>Y</v>
          </cell>
          <cell r="E280">
            <v>6818.44</v>
          </cell>
          <cell r="F280" t="str">
            <v>E</v>
          </cell>
          <cell r="G280" t="str">
            <v xml:space="preserve">Purchase </v>
          </cell>
        </row>
        <row r="281">
          <cell r="B281" t="str">
            <v>Cashback Recived</v>
          </cell>
          <cell r="C281">
            <v>-313.93</v>
          </cell>
          <cell r="D281" t="str">
            <v>Y</v>
          </cell>
          <cell r="E281">
            <v>-0.31</v>
          </cell>
          <cell r="F281" t="str">
            <v>I</v>
          </cell>
          <cell r="G281" t="str">
            <v>Misc. Income</v>
          </cell>
        </row>
        <row r="282">
          <cell r="B282" t="str">
            <v>Courier Charges Taxable</v>
          </cell>
          <cell r="C282">
            <v>-2000</v>
          </cell>
          <cell r="D282" t="str">
            <v>Y</v>
          </cell>
          <cell r="E282">
            <v>-2</v>
          </cell>
          <cell r="F282" t="str">
            <v>I</v>
          </cell>
          <cell r="G282" t="str">
            <v>Courier Charges Received</v>
          </cell>
        </row>
        <row r="283">
          <cell r="B283" t="str">
            <v>Rounded</v>
          </cell>
          <cell r="C283">
            <v>-39.770000000000003</v>
          </cell>
          <cell r="D283" t="str">
            <v>Y</v>
          </cell>
          <cell r="E283">
            <v>-0.04</v>
          </cell>
          <cell r="F283" t="str">
            <v>I</v>
          </cell>
          <cell r="G283" t="str">
            <v>Misc. Income</v>
          </cell>
        </row>
        <row r="284">
          <cell r="B284" t="str">
            <v>Scrap Sale @12%</v>
          </cell>
          <cell r="C284">
            <v>-25000</v>
          </cell>
          <cell r="D284" t="str">
            <v>Y</v>
          </cell>
          <cell r="E284">
            <v>-25</v>
          </cell>
          <cell r="F284" t="str">
            <v>I</v>
          </cell>
          <cell r="G284" t="str">
            <v>Misc. Income</v>
          </cell>
        </row>
        <row r="285">
          <cell r="B285" t="str">
            <v>Scrap Sale @18%</v>
          </cell>
          <cell r="C285">
            <v>-44000</v>
          </cell>
          <cell r="D285" t="str">
            <v>Y</v>
          </cell>
          <cell r="E285">
            <v>-44</v>
          </cell>
          <cell r="F285" t="str">
            <v>I</v>
          </cell>
          <cell r="G285" t="str">
            <v>Misc. Income</v>
          </cell>
        </row>
        <row r="286">
          <cell r="B286" t="str">
            <v>Short &amp; Excess</v>
          </cell>
          <cell r="C286">
            <v>351.16</v>
          </cell>
          <cell r="D286" t="str">
            <v>Y</v>
          </cell>
          <cell r="E286">
            <v>0.35</v>
          </cell>
          <cell r="F286" t="str">
            <v>E</v>
          </cell>
          <cell r="G286" t="str">
            <v>Misc. Exps</v>
          </cell>
        </row>
        <row r="287">
          <cell r="B287" t="str">
            <v>ASSOCIATION FEES</v>
          </cell>
          <cell r="C287">
            <v>10000</v>
          </cell>
          <cell r="D287" t="str">
            <v>Y</v>
          </cell>
          <cell r="E287">
            <v>10</v>
          </cell>
          <cell r="F287" t="str">
            <v>E</v>
          </cell>
          <cell r="G287" t="str">
            <v>Misc. Exps</v>
          </cell>
        </row>
        <row r="288">
          <cell r="B288" t="str">
            <v>Bank Charges</v>
          </cell>
          <cell r="C288">
            <v>1594</v>
          </cell>
          <cell r="D288" t="str">
            <v>Y</v>
          </cell>
          <cell r="E288">
            <v>1.59</v>
          </cell>
          <cell r="F288" t="str">
            <v>E</v>
          </cell>
          <cell r="G288" t="str">
            <v>Bank Charges</v>
          </cell>
        </row>
        <row r="289">
          <cell r="B289" t="str">
            <v>Building Repair &amp; Maintenance @ 28%</v>
          </cell>
          <cell r="C289">
            <v>44257.4</v>
          </cell>
          <cell r="D289" t="str">
            <v>Y</v>
          </cell>
          <cell r="E289">
            <v>44.26</v>
          </cell>
          <cell r="F289" t="str">
            <v>E</v>
          </cell>
          <cell r="G289" t="str">
            <v xml:space="preserve">      - Building</v>
          </cell>
        </row>
        <row r="290">
          <cell r="B290" t="str">
            <v>Building Repair &amp; Maintenance @ 5%</v>
          </cell>
          <cell r="C290">
            <v>10300</v>
          </cell>
          <cell r="D290" t="str">
            <v>Y</v>
          </cell>
          <cell r="E290">
            <v>10.3</v>
          </cell>
          <cell r="F290" t="str">
            <v>E</v>
          </cell>
          <cell r="G290" t="str">
            <v xml:space="preserve">      - Building</v>
          </cell>
        </row>
        <row r="291">
          <cell r="B291" t="str">
            <v>BUILDING REPAIR &amp; MAINTINANCE</v>
          </cell>
          <cell r="C291">
            <v>19730</v>
          </cell>
          <cell r="D291" t="str">
            <v>Y</v>
          </cell>
          <cell r="E291">
            <v>19.73</v>
          </cell>
          <cell r="F291" t="str">
            <v>E</v>
          </cell>
          <cell r="G291" t="str">
            <v xml:space="preserve">      - Building</v>
          </cell>
        </row>
        <row r="292">
          <cell r="B292" t="str">
            <v>Car Repair &amp; Maintanace A/c @ 18%</v>
          </cell>
          <cell r="C292">
            <v>55094.03</v>
          </cell>
          <cell r="D292" t="str">
            <v>Y</v>
          </cell>
          <cell r="E292">
            <v>55.09</v>
          </cell>
          <cell r="F292" t="str">
            <v>E</v>
          </cell>
          <cell r="G292" t="str">
            <v xml:space="preserve">      - Vehicle</v>
          </cell>
        </row>
        <row r="293">
          <cell r="B293" t="str">
            <v>Car Repair &amp; Maintance @ 5%</v>
          </cell>
          <cell r="C293">
            <v>119.99</v>
          </cell>
          <cell r="D293" t="str">
            <v>Y</v>
          </cell>
          <cell r="E293">
            <v>0.12</v>
          </cell>
          <cell r="F293" t="str">
            <v>E</v>
          </cell>
          <cell r="G293" t="str">
            <v xml:space="preserve">      - Vehicle</v>
          </cell>
        </row>
        <row r="294">
          <cell r="B294" t="str">
            <v>Car Repair &amp; Maintenance A/c</v>
          </cell>
          <cell r="C294">
            <v>2880</v>
          </cell>
          <cell r="D294" t="str">
            <v>Y</v>
          </cell>
          <cell r="E294">
            <v>2.88</v>
          </cell>
          <cell r="F294" t="str">
            <v>E</v>
          </cell>
          <cell r="G294" t="str">
            <v xml:space="preserve">      - Vehicle</v>
          </cell>
        </row>
        <row r="295">
          <cell r="B295" t="str">
            <v>Car Repair &amp; Maintenance A/c @ 28%</v>
          </cell>
          <cell r="C295">
            <v>11181.79</v>
          </cell>
          <cell r="D295" t="str">
            <v>Y</v>
          </cell>
          <cell r="E295">
            <v>11.18</v>
          </cell>
          <cell r="F295" t="str">
            <v>E</v>
          </cell>
          <cell r="G295" t="str">
            <v xml:space="preserve">      - Vehicle</v>
          </cell>
        </row>
        <row r="296">
          <cell r="B296" t="str">
            <v>Computer Exp. Taxable</v>
          </cell>
          <cell r="C296">
            <v>5372.88</v>
          </cell>
          <cell r="D296" t="str">
            <v>Y</v>
          </cell>
          <cell r="E296">
            <v>5.37</v>
          </cell>
          <cell r="F296" t="str">
            <v>E</v>
          </cell>
          <cell r="G296" t="str">
            <v xml:space="preserve">      - Others</v>
          </cell>
        </row>
        <row r="297">
          <cell r="B297" t="str">
            <v>Consumable Exp. 28% Taxable</v>
          </cell>
          <cell r="C297">
            <v>553.12</v>
          </cell>
          <cell r="D297" t="str">
            <v>Y</v>
          </cell>
          <cell r="E297">
            <v>0.55000000000000004</v>
          </cell>
          <cell r="F297" t="str">
            <v>E</v>
          </cell>
          <cell r="G297" t="str">
            <v>Consumable Exp.</v>
          </cell>
        </row>
        <row r="298">
          <cell r="B298" t="str">
            <v>Consumable Exp. Taxable 18%</v>
          </cell>
          <cell r="C298">
            <v>254604.06</v>
          </cell>
          <cell r="D298" t="str">
            <v>Y</v>
          </cell>
          <cell r="E298">
            <v>254.6</v>
          </cell>
          <cell r="F298" t="str">
            <v>E</v>
          </cell>
          <cell r="G298" t="str">
            <v>Consumable Exp.</v>
          </cell>
        </row>
        <row r="299">
          <cell r="B299" t="str">
            <v>Conv. &amp; Patrol A/c</v>
          </cell>
          <cell r="C299">
            <v>85649.05</v>
          </cell>
          <cell r="D299" t="str">
            <v>Y</v>
          </cell>
          <cell r="E299">
            <v>85.65</v>
          </cell>
          <cell r="F299" t="str">
            <v>E</v>
          </cell>
          <cell r="G299" t="str">
            <v>Travelling &amp; Conveyance Exp.</v>
          </cell>
        </row>
        <row r="300">
          <cell r="B300" t="str">
            <v>Coolie &amp; Cartage</v>
          </cell>
          <cell r="C300">
            <v>144811</v>
          </cell>
          <cell r="D300" t="str">
            <v>Y</v>
          </cell>
          <cell r="E300">
            <v>144.81</v>
          </cell>
          <cell r="F300" t="str">
            <v>E</v>
          </cell>
          <cell r="G300" t="str">
            <v>Cartage Expenses</v>
          </cell>
        </row>
        <row r="301">
          <cell r="B301" t="str">
            <v>Diwali Expense</v>
          </cell>
          <cell r="C301">
            <v>22500</v>
          </cell>
          <cell r="D301" t="str">
            <v>Y</v>
          </cell>
          <cell r="E301">
            <v>22.5</v>
          </cell>
          <cell r="F301" t="str">
            <v>E</v>
          </cell>
          <cell r="G301" t="str">
            <v>Festiwal Expenses</v>
          </cell>
        </row>
        <row r="302">
          <cell r="B302" t="str">
            <v>Electrical Repair &amp; Maintanance @ 28%</v>
          </cell>
          <cell r="C302">
            <v>71400</v>
          </cell>
          <cell r="D302" t="str">
            <v>Y</v>
          </cell>
          <cell r="E302">
            <v>71.400000000000006</v>
          </cell>
          <cell r="F302" t="str">
            <v>E</v>
          </cell>
          <cell r="G302" t="str">
            <v xml:space="preserve">      - Others</v>
          </cell>
        </row>
        <row r="303">
          <cell r="B303" t="str">
            <v>Electrical Repair &amp; Maintenance @ 12%</v>
          </cell>
          <cell r="C303">
            <v>30474.98</v>
          </cell>
          <cell r="D303" t="str">
            <v>Y</v>
          </cell>
          <cell r="E303">
            <v>30.47</v>
          </cell>
          <cell r="F303" t="str">
            <v>E</v>
          </cell>
          <cell r="G303" t="str">
            <v xml:space="preserve">      - Others</v>
          </cell>
        </row>
        <row r="304">
          <cell r="B304" t="str">
            <v>Electrical Repair &amp; Maintenance @ 18%</v>
          </cell>
          <cell r="C304">
            <v>117608.92</v>
          </cell>
          <cell r="D304" t="str">
            <v>Y</v>
          </cell>
          <cell r="E304">
            <v>117.61</v>
          </cell>
          <cell r="F304" t="str">
            <v>E</v>
          </cell>
          <cell r="G304" t="str">
            <v xml:space="preserve">      - Others</v>
          </cell>
        </row>
        <row r="305">
          <cell r="B305" t="str">
            <v>Electricity Charges A/C</v>
          </cell>
          <cell r="C305">
            <v>2445278.7599999998</v>
          </cell>
          <cell r="D305" t="str">
            <v>Y</v>
          </cell>
          <cell r="E305">
            <v>2445.2800000000002</v>
          </cell>
          <cell r="F305" t="str">
            <v>E</v>
          </cell>
          <cell r="G305" t="str">
            <v>Electricity, Power &amp; Fuel</v>
          </cell>
        </row>
        <row r="306">
          <cell r="B306" t="str">
            <v>EPF A/C</v>
          </cell>
          <cell r="C306">
            <v>606001</v>
          </cell>
          <cell r="D306" t="str">
            <v>Y</v>
          </cell>
          <cell r="E306">
            <v>606</v>
          </cell>
          <cell r="F306" t="str">
            <v>E</v>
          </cell>
          <cell r="G306" t="str">
            <v>Contributions to ESI, PF and Others</v>
          </cell>
        </row>
        <row r="307">
          <cell r="B307" t="str">
            <v>ESI</v>
          </cell>
          <cell r="C307">
            <v>141384</v>
          </cell>
          <cell r="D307" t="str">
            <v>Y</v>
          </cell>
          <cell r="E307">
            <v>141.38</v>
          </cell>
          <cell r="F307" t="str">
            <v>E</v>
          </cell>
          <cell r="G307" t="str">
            <v>Contributions to ESI, PF and Others</v>
          </cell>
        </row>
        <row r="308">
          <cell r="B308" t="str">
            <v>Freight A/c</v>
          </cell>
          <cell r="C308">
            <v>83845</v>
          </cell>
          <cell r="D308" t="str">
            <v>Y</v>
          </cell>
          <cell r="E308">
            <v>83.85</v>
          </cell>
          <cell r="F308" t="str">
            <v>E</v>
          </cell>
          <cell r="G308" t="str">
            <v>Freight</v>
          </cell>
        </row>
        <row r="309">
          <cell r="B309" t="str">
            <v>Freight A/c @ 18%</v>
          </cell>
          <cell r="C309">
            <v>7350</v>
          </cell>
          <cell r="D309" t="str">
            <v>Y</v>
          </cell>
          <cell r="E309">
            <v>7.35</v>
          </cell>
          <cell r="F309" t="str">
            <v>E</v>
          </cell>
          <cell r="G309" t="str">
            <v>Freight</v>
          </cell>
        </row>
        <row r="310">
          <cell r="B310" t="str">
            <v>Freight A/c Purchase 5%</v>
          </cell>
          <cell r="C310">
            <v>7000</v>
          </cell>
          <cell r="D310" t="str">
            <v>Y</v>
          </cell>
          <cell r="E310">
            <v>7</v>
          </cell>
          <cell r="F310" t="str">
            <v>E</v>
          </cell>
          <cell r="G310" t="str">
            <v>Freight</v>
          </cell>
        </row>
        <row r="311">
          <cell r="B311" t="str">
            <v>Fuel A/c</v>
          </cell>
          <cell r="C311">
            <v>395448.72</v>
          </cell>
          <cell r="D311" t="str">
            <v>Y</v>
          </cell>
          <cell r="E311">
            <v>395.45</v>
          </cell>
          <cell r="F311" t="str">
            <v>E</v>
          </cell>
          <cell r="G311" t="str">
            <v>Electricity, Power &amp; Fuel</v>
          </cell>
        </row>
        <row r="312">
          <cell r="B312" t="str">
            <v>Fuel A/c (LPG CylindeRs. Thousands)</v>
          </cell>
          <cell r="C312">
            <v>3889487.41</v>
          </cell>
          <cell r="D312" t="str">
            <v>Y</v>
          </cell>
          <cell r="E312">
            <v>3889.49</v>
          </cell>
          <cell r="F312" t="str">
            <v>E</v>
          </cell>
          <cell r="G312" t="str">
            <v>Electricity, Power &amp; Fuel</v>
          </cell>
        </row>
        <row r="313">
          <cell r="B313" t="str">
            <v>Generator Repair &amp; Maintaince</v>
          </cell>
          <cell r="C313">
            <v>11990</v>
          </cell>
          <cell r="D313" t="str">
            <v>Y</v>
          </cell>
          <cell r="E313">
            <v>11.99</v>
          </cell>
          <cell r="F313" t="str">
            <v>E</v>
          </cell>
          <cell r="G313" t="str">
            <v xml:space="preserve">      - Others</v>
          </cell>
        </row>
        <row r="314">
          <cell r="B314" t="str">
            <v>Govt Fees @ 18%</v>
          </cell>
          <cell r="C314">
            <v>2000</v>
          </cell>
          <cell r="D314" t="str">
            <v>Y</v>
          </cell>
          <cell r="E314">
            <v>2</v>
          </cell>
          <cell r="F314" t="str">
            <v>E</v>
          </cell>
          <cell r="G314" t="str">
            <v>Legal &amp; Professional Charges</v>
          </cell>
        </row>
        <row r="315">
          <cell r="B315" t="str">
            <v>H/W DISPOSAL CHARGES</v>
          </cell>
          <cell r="C315">
            <v>27790.01</v>
          </cell>
          <cell r="D315" t="str">
            <v>Y</v>
          </cell>
          <cell r="E315">
            <v>27.79</v>
          </cell>
          <cell r="F315" t="str">
            <v>E</v>
          </cell>
          <cell r="G315" t="str">
            <v xml:space="preserve">      - Others</v>
          </cell>
        </row>
        <row r="316">
          <cell r="B316" t="str">
            <v>Insurance A/c</v>
          </cell>
          <cell r="C316">
            <v>62015</v>
          </cell>
          <cell r="D316" t="str">
            <v>Y</v>
          </cell>
          <cell r="E316">
            <v>62.02</v>
          </cell>
          <cell r="F316" t="str">
            <v>E</v>
          </cell>
          <cell r="G316" t="str">
            <v xml:space="preserve">Insurance </v>
          </cell>
        </row>
        <row r="317">
          <cell r="B317" t="str">
            <v>Interest on TDS</v>
          </cell>
          <cell r="C317">
            <v>50</v>
          </cell>
          <cell r="D317" t="str">
            <v>Y</v>
          </cell>
          <cell r="E317">
            <v>0.05</v>
          </cell>
          <cell r="F317" t="str">
            <v>A</v>
          </cell>
          <cell r="G317" t="str">
            <v>Interest on TDS</v>
          </cell>
        </row>
        <row r="318">
          <cell r="B318" t="str">
            <v>Legal Charges</v>
          </cell>
          <cell r="C318">
            <v>43000</v>
          </cell>
          <cell r="D318" t="str">
            <v>Y</v>
          </cell>
          <cell r="E318">
            <v>43</v>
          </cell>
          <cell r="F318" t="str">
            <v>E</v>
          </cell>
          <cell r="G318" t="str">
            <v>Legal &amp; Professional Charges</v>
          </cell>
        </row>
        <row r="319">
          <cell r="B319" t="str">
            <v>Loan Processing Fee @18%</v>
          </cell>
          <cell r="C319">
            <v>180750</v>
          </cell>
          <cell r="D319" t="str">
            <v>Y</v>
          </cell>
          <cell r="E319">
            <v>180.75</v>
          </cell>
          <cell r="F319" t="str">
            <v>E</v>
          </cell>
          <cell r="G319" t="str">
            <v>Other Finance Related expenses</v>
          </cell>
        </row>
        <row r="320">
          <cell r="B320" t="str">
            <v>Machinery Installation @ 18%</v>
          </cell>
          <cell r="C320">
            <v>16000</v>
          </cell>
          <cell r="D320" t="str">
            <v>Y</v>
          </cell>
          <cell r="E320">
            <v>16</v>
          </cell>
          <cell r="F320" t="str">
            <v>E</v>
          </cell>
          <cell r="G320" t="str">
            <v xml:space="preserve">Machinery Installation </v>
          </cell>
        </row>
        <row r="321">
          <cell r="B321" t="str">
            <v>Machinery Installation A/c</v>
          </cell>
          <cell r="C321">
            <v>18400</v>
          </cell>
          <cell r="D321" t="str">
            <v>Y</v>
          </cell>
          <cell r="E321">
            <v>18.399999999999999</v>
          </cell>
          <cell r="F321" t="str">
            <v>E</v>
          </cell>
          <cell r="G321" t="str">
            <v xml:space="preserve">Machinery Installation </v>
          </cell>
        </row>
        <row r="322">
          <cell r="B322" t="str">
            <v>MAINTANCE CHARGES (HSIIDC)</v>
          </cell>
          <cell r="C322">
            <v>116996</v>
          </cell>
          <cell r="D322" t="str">
            <v>Y</v>
          </cell>
          <cell r="E322">
            <v>117</v>
          </cell>
          <cell r="F322" t="str">
            <v>E</v>
          </cell>
          <cell r="G322" t="str">
            <v xml:space="preserve">      - Building</v>
          </cell>
        </row>
        <row r="323">
          <cell r="B323" t="str">
            <v>Packing Material A/c</v>
          </cell>
          <cell r="C323">
            <v>10889</v>
          </cell>
          <cell r="D323" t="str">
            <v>Y</v>
          </cell>
          <cell r="E323">
            <v>10.89</v>
          </cell>
          <cell r="F323" t="str">
            <v>E</v>
          </cell>
          <cell r="G323" t="str">
            <v>Packing Material</v>
          </cell>
        </row>
        <row r="324">
          <cell r="B324" t="str">
            <v>Pick Up Van Petrol A/c</v>
          </cell>
          <cell r="C324">
            <v>168939</v>
          </cell>
          <cell r="D324" t="str">
            <v>Y</v>
          </cell>
          <cell r="E324">
            <v>168.94</v>
          </cell>
          <cell r="F324" t="str">
            <v>E</v>
          </cell>
          <cell r="G324" t="str">
            <v>Travelling &amp; Conveyance Exp.</v>
          </cell>
        </row>
        <row r="325">
          <cell r="B325" t="str">
            <v>Printing &amp; Stationery @ 12%</v>
          </cell>
          <cell r="C325">
            <v>3525</v>
          </cell>
          <cell r="D325" t="str">
            <v>Y</v>
          </cell>
          <cell r="E325">
            <v>3.53</v>
          </cell>
          <cell r="F325" t="str">
            <v>E</v>
          </cell>
          <cell r="G325" t="str">
            <v xml:space="preserve">Printing &amp; Stationery </v>
          </cell>
        </row>
        <row r="326">
          <cell r="B326" t="str">
            <v>Printing &amp; Stationery @ 18%</v>
          </cell>
          <cell r="C326">
            <v>9000</v>
          </cell>
          <cell r="D326" t="str">
            <v>Y</v>
          </cell>
          <cell r="E326">
            <v>9</v>
          </cell>
          <cell r="F326" t="str">
            <v>E</v>
          </cell>
          <cell r="G326" t="str">
            <v xml:space="preserve">Printing &amp; Stationery </v>
          </cell>
        </row>
        <row r="327">
          <cell r="B327" t="str">
            <v>Rate Differance &amp; Damage A/c</v>
          </cell>
          <cell r="C327">
            <v>369052</v>
          </cell>
          <cell r="D327" t="str">
            <v>Y</v>
          </cell>
          <cell r="E327">
            <v>369.05</v>
          </cell>
          <cell r="F327" t="str">
            <v>I</v>
          </cell>
          <cell r="G327" t="str">
            <v>Sales</v>
          </cell>
        </row>
        <row r="328">
          <cell r="B328" t="str">
            <v>Repair &amp; Maintenanace of Delivery Van @28</v>
          </cell>
          <cell r="C328">
            <v>13500</v>
          </cell>
          <cell r="D328" t="str">
            <v>Y</v>
          </cell>
          <cell r="E328">
            <v>13.5</v>
          </cell>
          <cell r="F328" t="str">
            <v>E</v>
          </cell>
          <cell r="G328" t="str">
            <v xml:space="preserve">      - Vehicle</v>
          </cell>
        </row>
        <row r="329">
          <cell r="B329" t="str">
            <v>Repair &amp; Maintenance</v>
          </cell>
          <cell r="C329">
            <v>24000</v>
          </cell>
          <cell r="D329" t="str">
            <v>Y</v>
          </cell>
          <cell r="E329">
            <v>24</v>
          </cell>
          <cell r="F329" t="str">
            <v>E</v>
          </cell>
          <cell r="G329" t="str">
            <v xml:space="preserve">      - Others</v>
          </cell>
        </row>
        <row r="330">
          <cell r="B330" t="str">
            <v>Repair &amp; Maintenance @ 18%</v>
          </cell>
          <cell r="C330">
            <v>38700</v>
          </cell>
          <cell r="D330" t="str">
            <v>Y</v>
          </cell>
          <cell r="E330">
            <v>38.700000000000003</v>
          </cell>
          <cell r="F330" t="str">
            <v>E</v>
          </cell>
          <cell r="G330" t="str">
            <v xml:space="preserve">      - Others</v>
          </cell>
        </row>
        <row r="331">
          <cell r="B331" t="str">
            <v>Repair &amp; Maintenance of Delivery Van</v>
          </cell>
          <cell r="C331">
            <v>9600</v>
          </cell>
          <cell r="D331" t="str">
            <v>Y</v>
          </cell>
          <cell r="E331">
            <v>9.6</v>
          </cell>
          <cell r="F331" t="str">
            <v>E</v>
          </cell>
          <cell r="G331" t="str">
            <v xml:space="preserve">      - Vehicle</v>
          </cell>
        </row>
        <row r="332">
          <cell r="B332" t="str">
            <v>Road Tax</v>
          </cell>
          <cell r="C332">
            <v>55320</v>
          </cell>
          <cell r="D332" t="str">
            <v>Y</v>
          </cell>
          <cell r="E332">
            <v>55.32</v>
          </cell>
          <cell r="F332" t="str">
            <v>E</v>
          </cell>
          <cell r="G332" t="str">
            <v>Travelling &amp; Conveyance Exp.</v>
          </cell>
        </row>
        <row r="333">
          <cell r="B333" t="str">
            <v>Salary &amp; Wages A/C</v>
          </cell>
          <cell r="C333">
            <v>5930339</v>
          </cell>
          <cell r="D333" t="str">
            <v>Y</v>
          </cell>
          <cell r="E333">
            <v>5930.34</v>
          </cell>
          <cell r="F333" t="str">
            <v>E</v>
          </cell>
          <cell r="G333" t="str">
            <v>Salary &amp; Wages</v>
          </cell>
        </row>
        <row r="334">
          <cell r="B334" t="str">
            <v>Store &amp; Spare@ 18% (Intrastate)</v>
          </cell>
          <cell r="C334">
            <v>53468.84</v>
          </cell>
          <cell r="D334" t="str">
            <v>Y</v>
          </cell>
          <cell r="E334">
            <v>53.47</v>
          </cell>
          <cell r="F334" t="str">
            <v>E</v>
          </cell>
          <cell r="G334" t="str">
            <v>Store &amp; Spare</v>
          </cell>
        </row>
        <row r="335">
          <cell r="B335" t="str">
            <v>Store &amp; Spares 28%</v>
          </cell>
          <cell r="C335">
            <v>11250</v>
          </cell>
          <cell r="D335" t="str">
            <v>Y</v>
          </cell>
          <cell r="E335">
            <v>11.25</v>
          </cell>
          <cell r="F335" t="str">
            <v>E</v>
          </cell>
          <cell r="G335" t="str">
            <v>Store &amp; Spare</v>
          </cell>
        </row>
        <row r="336">
          <cell r="B336" t="str">
            <v>Stores &amp; Spare @ 18%</v>
          </cell>
          <cell r="C336">
            <v>547654.32999999996</v>
          </cell>
          <cell r="D336" t="str">
            <v>Y</v>
          </cell>
          <cell r="E336">
            <v>547.65</v>
          </cell>
          <cell r="F336" t="str">
            <v>E</v>
          </cell>
          <cell r="G336" t="str">
            <v>Store &amp; Spare</v>
          </cell>
        </row>
        <row r="337">
          <cell r="B337" t="str">
            <v>Telephone &amp; Broadband Charges</v>
          </cell>
          <cell r="C337">
            <v>24000</v>
          </cell>
          <cell r="D337" t="str">
            <v>Y</v>
          </cell>
          <cell r="E337">
            <v>24</v>
          </cell>
          <cell r="F337" t="str">
            <v>E</v>
          </cell>
          <cell r="G337" t="str">
            <v>Telephone &amp; Broadband Charges</v>
          </cell>
        </row>
        <row r="338">
          <cell r="B338" t="str">
            <v>Testing Charges</v>
          </cell>
          <cell r="C338">
            <v>29000</v>
          </cell>
          <cell r="D338" t="str">
            <v>Y</v>
          </cell>
          <cell r="E338">
            <v>29</v>
          </cell>
          <cell r="F338" t="str">
            <v>E</v>
          </cell>
          <cell r="G338" t="str">
            <v>Testing Charges</v>
          </cell>
        </row>
        <row r="339">
          <cell r="B339" t="str">
            <v>Toll Tax</v>
          </cell>
          <cell r="C339">
            <v>75936.100000000006</v>
          </cell>
          <cell r="D339" t="str">
            <v>Y</v>
          </cell>
          <cell r="E339">
            <v>75.94</v>
          </cell>
          <cell r="F339" t="str">
            <v>E</v>
          </cell>
          <cell r="G339" t="str">
            <v>Travelling &amp; Conveyance Exp.</v>
          </cell>
        </row>
        <row r="340">
          <cell r="B340" t="str">
            <v>Welfare Commissioner Haryana</v>
          </cell>
          <cell r="C340">
            <v>18183</v>
          </cell>
          <cell r="D340" t="str">
            <v>Y</v>
          </cell>
          <cell r="E340">
            <v>18.18</v>
          </cell>
          <cell r="F340" t="str">
            <v>E</v>
          </cell>
          <cell r="G340" t="str">
            <v>Contributions to ESI, PF and Others</v>
          </cell>
        </row>
        <row r="341">
          <cell r="B341" t="str">
            <v>Difference in opening balances</v>
          </cell>
          <cell r="C341">
            <v>-0.4</v>
          </cell>
          <cell r="D341" t="str">
            <v>Y</v>
          </cell>
          <cell r="E341">
            <v>0</v>
          </cell>
          <cell r="F341" t="str">
            <v>E</v>
          </cell>
          <cell r="G341" t="str">
            <v>Misc. Exps</v>
          </cell>
        </row>
        <row r="342">
          <cell r="B342" t="str">
            <v>Used Battary Sale</v>
          </cell>
          <cell r="C342">
            <v>20400</v>
          </cell>
          <cell r="D342" t="str">
            <v>Y</v>
          </cell>
          <cell r="E342">
            <v>20.399999999999999</v>
          </cell>
          <cell r="F342" t="str">
            <v>I</v>
          </cell>
          <cell r="G342" t="str">
            <v>Sales</v>
          </cell>
        </row>
        <row r="343">
          <cell r="B343" t="str">
            <v>Used Machinery Sale</v>
          </cell>
          <cell r="C343">
            <v>100000</v>
          </cell>
          <cell r="D343" t="str">
            <v>Y</v>
          </cell>
          <cell r="E343">
            <v>100</v>
          </cell>
          <cell r="F343" t="str">
            <v>I</v>
          </cell>
          <cell r="G343" t="str">
            <v>Sales</v>
          </cell>
        </row>
        <row r="344">
          <cell r="B344" t="str">
            <v>Used Machinery Sale @12%</v>
          </cell>
          <cell r="C344">
            <v>60714</v>
          </cell>
          <cell r="D344" t="str">
            <v>Y</v>
          </cell>
          <cell r="E344">
            <v>60.71</v>
          </cell>
          <cell r="F344" t="str">
            <v>I</v>
          </cell>
          <cell r="G344" t="str">
            <v>Sales</v>
          </cell>
        </row>
        <row r="345">
          <cell r="B345" t="str">
            <v>Profit on sale of Machinery</v>
          </cell>
          <cell r="C345">
            <v>-116826</v>
          </cell>
          <cell r="D345" t="str">
            <v>Y</v>
          </cell>
          <cell r="E345">
            <v>-116.83</v>
          </cell>
          <cell r="F345" t="str">
            <v>I</v>
          </cell>
          <cell r="G345" t="str">
            <v>Profit on Sale of Fixed Assets</v>
          </cell>
        </row>
        <row r="346">
          <cell r="B346" t="str">
            <v>Depreciation</v>
          </cell>
          <cell r="C346">
            <v>1486</v>
          </cell>
          <cell r="D346" t="str">
            <v>Y</v>
          </cell>
          <cell r="E346">
            <v>1.49</v>
          </cell>
          <cell r="F346" t="str">
            <v>E</v>
          </cell>
          <cell r="G346" t="str">
            <v>Depreciation and Amortization Expense</v>
          </cell>
        </row>
        <row r="347">
          <cell r="B347" t="str">
            <v>Machinery</v>
          </cell>
          <cell r="C347">
            <v>-54464</v>
          </cell>
          <cell r="D347" t="str">
            <v>Y</v>
          </cell>
          <cell r="E347">
            <v>-54.46</v>
          </cell>
          <cell r="F347" t="str">
            <v>A</v>
          </cell>
          <cell r="G347" t="str">
            <v>(a) Property Plant &amp; Equipment</v>
          </cell>
        </row>
        <row r="348">
          <cell r="B348" t="str">
            <v>Machinery</v>
          </cell>
          <cell r="C348">
            <v>-11310</v>
          </cell>
          <cell r="D348" t="str">
            <v>Y</v>
          </cell>
          <cell r="E348">
            <v>-11.31</v>
          </cell>
          <cell r="F348" t="str">
            <v>A</v>
          </cell>
          <cell r="G348" t="str">
            <v>(a) Property Plant &amp; Equipment</v>
          </cell>
        </row>
        <row r="349">
          <cell r="B349" t="str">
            <v>Car A/c</v>
          </cell>
          <cell r="C349">
            <v>844858</v>
          </cell>
          <cell r="D349" t="str">
            <v>Y</v>
          </cell>
          <cell r="E349">
            <v>844.86</v>
          </cell>
          <cell r="F349" t="str">
            <v>A</v>
          </cell>
          <cell r="G349" t="str">
            <v>(a) Property Plant &amp; Equipment</v>
          </cell>
        </row>
        <row r="350">
          <cell r="B350" t="str">
            <v>Profit on sale of Vehicle</v>
          </cell>
          <cell r="C350">
            <v>-1072898</v>
          </cell>
          <cell r="D350" t="str">
            <v>Y</v>
          </cell>
          <cell r="E350">
            <v>-1072.9000000000001</v>
          </cell>
          <cell r="F350" t="str">
            <v>I</v>
          </cell>
          <cell r="G350" t="str">
            <v>Profit on Sale of Fixed Assets</v>
          </cell>
        </row>
        <row r="351">
          <cell r="B351" t="str">
            <v>Depreciation</v>
          </cell>
          <cell r="C351">
            <v>228040</v>
          </cell>
          <cell r="D351" t="str">
            <v>Y</v>
          </cell>
          <cell r="E351">
            <v>228.04</v>
          </cell>
          <cell r="F351" t="str">
            <v>E</v>
          </cell>
          <cell r="G351" t="str">
            <v>Depreciation and Amortization Expense</v>
          </cell>
        </row>
        <row r="352">
          <cell r="B352" t="str">
            <v>Depreciation</v>
          </cell>
          <cell r="C352">
            <v>5240342</v>
          </cell>
          <cell r="D352" t="str">
            <v>Y</v>
          </cell>
          <cell r="E352">
            <v>5240.34</v>
          </cell>
          <cell r="F352" t="str">
            <v>E</v>
          </cell>
          <cell r="G352" t="str">
            <v>Depreciation and Amortization Expense</v>
          </cell>
        </row>
        <row r="353">
          <cell r="B353" t="str">
            <v>Various Assets</v>
          </cell>
          <cell r="C353">
            <v>-5240342</v>
          </cell>
          <cell r="D353" t="str">
            <v>Y</v>
          </cell>
          <cell r="E353">
            <v>-5240.34</v>
          </cell>
          <cell r="F353" t="str">
            <v>A</v>
          </cell>
          <cell r="G353" t="str">
            <v>(a) Property Plant &amp; Equipment</v>
          </cell>
        </row>
        <row r="354">
          <cell r="B354" t="str">
            <v>Shiv Prakash Keshan (Director)</v>
          </cell>
          <cell r="C354">
            <v>847741.3</v>
          </cell>
          <cell r="D354" t="str">
            <v>Y</v>
          </cell>
          <cell r="E354">
            <v>847.74</v>
          </cell>
          <cell r="F354" t="str">
            <v>L</v>
          </cell>
          <cell r="G354" t="str">
            <v>Short term borrowings from Directors</v>
          </cell>
        </row>
        <row r="355">
          <cell r="B355" t="str">
            <v>Shiv Prakash Keshan Current Liability</v>
          </cell>
          <cell r="C355">
            <v>-847741.3</v>
          </cell>
          <cell r="D355" t="str">
            <v>Y</v>
          </cell>
          <cell r="E355">
            <v>-847.74</v>
          </cell>
          <cell r="F355" t="str">
            <v>L</v>
          </cell>
          <cell r="G355" t="str">
            <v>Other Current Liabilities</v>
          </cell>
        </row>
        <row r="356">
          <cell r="B356"/>
          <cell r="C356"/>
          <cell r="D356"/>
        </row>
        <row r="357">
          <cell r="B357"/>
          <cell r="C357"/>
          <cell r="D357"/>
        </row>
        <row r="358">
          <cell r="C358"/>
          <cell r="D358"/>
        </row>
        <row r="359">
          <cell r="C359"/>
          <cell r="D359"/>
        </row>
        <row r="360">
          <cell r="C360"/>
          <cell r="D360"/>
        </row>
        <row r="361">
          <cell r="C361"/>
          <cell r="D361"/>
        </row>
        <row r="362">
          <cell r="C362"/>
          <cell r="D362"/>
        </row>
        <row r="363">
          <cell r="C363"/>
          <cell r="D363"/>
        </row>
        <row r="364">
          <cell r="C364"/>
          <cell r="D364"/>
        </row>
        <row r="365">
          <cell r="C365"/>
          <cell r="D365"/>
        </row>
        <row r="366">
          <cell r="C366"/>
          <cell r="D366"/>
        </row>
        <row r="367">
          <cell r="C367"/>
          <cell r="D367"/>
        </row>
        <row r="368">
          <cell r="C368"/>
          <cell r="D368"/>
        </row>
        <row r="369">
          <cell r="C369"/>
          <cell r="D369"/>
        </row>
        <row r="370">
          <cell r="C370"/>
          <cell r="D370"/>
        </row>
        <row r="371">
          <cell r="C371"/>
          <cell r="D371"/>
        </row>
        <row r="372">
          <cell r="C372"/>
          <cell r="D372"/>
        </row>
        <row r="373">
          <cell r="C373"/>
          <cell r="D373"/>
        </row>
        <row r="374">
          <cell r="C374"/>
          <cell r="D374"/>
        </row>
        <row r="375">
          <cell r="C375"/>
          <cell r="D375"/>
        </row>
        <row r="376">
          <cell r="C376"/>
          <cell r="D376"/>
        </row>
        <row r="377">
          <cell r="C377"/>
          <cell r="D377"/>
        </row>
        <row r="378">
          <cell r="C378"/>
          <cell r="D378"/>
        </row>
        <row r="379">
          <cell r="C379"/>
          <cell r="D379"/>
        </row>
        <row r="380">
          <cell r="C380"/>
          <cell r="D380"/>
        </row>
        <row r="381">
          <cell r="C381"/>
          <cell r="D381"/>
        </row>
        <row r="382">
          <cell r="C382"/>
          <cell r="D382"/>
        </row>
        <row r="383">
          <cell r="C383"/>
          <cell r="D383"/>
        </row>
        <row r="384">
          <cell r="C384"/>
          <cell r="D384"/>
        </row>
        <row r="385">
          <cell r="C385"/>
          <cell r="D385"/>
        </row>
        <row r="386">
          <cell r="C386"/>
          <cell r="D386"/>
        </row>
        <row r="387">
          <cell r="C387"/>
          <cell r="D387"/>
        </row>
        <row r="388">
          <cell r="C388"/>
          <cell r="D388"/>
        </row>
        <row r="389">
          <cell r="C389"/>
          <cell r="D389"/>
        </row>
        <row r="390">
          <cell r="C390"/>
          <cell r="D390"/>
        </row>
        <row r="391">
          <cell r="C391"/>
          <cell r="D391"/>
        </row>
        <row r="392">
          <cell r="C392"/>
          <cell r="D392"/>
        </row>
        <row r="393">
          <cell r="C393"/>
          <cell r="D393"/>
        </row>
        <row r="394">
          <cell r="C394"/>
          <cell r="D394"/>
        </row>
        <row r="395">
          <cell r="C395"/>
          <cell r="D395"/>
        </row>
        <row r="396">
          <cell r="C396"/>
          <cell r="D396"/>
        </row>
        <row r="397">
          <cell r="C397"/>
          <cell r="D397"/>
        </row>
        <row r="398">
          <cell r="C398"/>
          <cell r="D398"/>
        </row>
        <row r="399">
          <cell r="C399"/>
          <cell r="D399"/>
        </row>
        <row r="400">
          <cell r="C400"/>
          <cell r="D400"/>
        </row>
        <row r="401">
          <cell r="C401"/>
          <cell r="D401"/>
        </row>
        <row r="402">
          <cell r="C402"/>
          <cell r="D402"/>
        </row>
        <row r="403">
          <cell r="C403"/>
          <cell r="D403"/>
        </row>
        <row r="404">
          <cell r="C404"/>
          <cell r="D404"/>
        </row>
        <row r="405">
          <cell r="C405"/>
          <cell r="D405"/>
        </row>
        <row r="406">
          <cell r="C406"/>
          <cell r="D406"/>
        </row>
        <row r="407">
          <cell r="C407"/>
          <cell r="D407"/>
        </row>
        <row r="408">
          <cell r="C408"/>
          <cell r="D408"/>
        </row>
        <row r="409">
          <cell r="C409"/>
          <cell r="D409"/>
        </row>
        <row r="410">
          <cell r="C410"/>
          <cell r="D410"/>
        </row>
        <row r="411">
          <cell r="C411"/>
          <cell r="D411"/>
        </row>
        <row r="412">
          <cell r="C412"/>
          <cell r="D412"/>
        </row>
        <row r="413">
          <cell r="C413"/>
          <cell r="D413"/>
        </row>
        <row r="414">
          <cell r="C414"/>
          <cell r="D414"/>
        </row>
        <row r="415">
          <cell r="C415"/>
          <cell r="D415"/>
        </row>
        <row r="416">
          <cell r="C416"/>
          <cell r="D416"/>
        </row>
        <row r="417">
          <cell r="C417"/>
          <cell r="D417"/>
        </row>
        <row r="418">
          <cell r="C418"/>
          <cell r="D418"/>
        </row>
        <row r="419">
          <cell r="C419"/>
          <cell r="D419"/>
        </row>
        <row r="420">
          <cell r="C420"/>
          <cell r="D420"/>
        </row>
        <row r="421">
          <cell r="C421"/>
          <cell r="D421"/>
        </row>
        <row r="422">
          <cell r="C422"/>
          <cell r="D422"/>
        </row>
        <row r="423">
          <cell r="C423"/>
          <cell r="D423"/>
        </row>
        <row r="424">
          <cell r="C424"/>
          <cell r="D424"/>
        </row>
        <row r="425">
          <cell r="C425"/>
          <cell r="D425"/>
        </row>
        <row r="426">
          <cell r="C426"/>
          <cell r="D426"/>
        </row>
        <row r="427">
          <cell r="C427"/>
          <cell r="D427"/>
        </row>
        <row r="428">
          <cell r="C428"/>
          <cell r="D428"/>
        </row>
        <row r="429">
          <cell r="C429"/>
          <cell r="D429"/>
        </row>
        <row r="430">
          <cell r="C430"/>
          <cell r="D430"/>
        </row>
        <row r="431">
          <cell r="C431"/>
          <cell r="D431"/>
        </row>
        <row r="432">
          <cell r="C432"/>
          <cell r="D432"/>
        </row>
        <row r="433">
          <cell r="C433"/>
          <cell r="D433"/>
        </row>
        <row r="434">
          <cell r="C434"/>
          <cell r="D434"/>
        </row>
        <row r="435">
          <cell r="C435"/>
          <cell r="D435"/>
        </row>
        <row r="436">
          <cell r="C436"/>
          <cell r="D436"/>
        </row>
        <row r="437">
          <cell r="C437"/>
          <cell r="D437"/>
        </row>
        <row r="438">
          <cell r="C438"/>
          <cell r="D438"/>
        </row>
        <row r="439">
          <cell r="C439"/>
          <cell r="D439"/>
        </row>
        <row r="440">
          <cell r="C440"/>
          <cell r="D440"/>
        </row>
        <row r="441">
          <cell r="C441"/>
          <cell r="D441"/>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 Exceptional &amp; Extraordinary"/>
      <sheetName val="27. Other Expenses"/>
      <sheetName val="26. Finance Costs"/>
      <sheetName val="25. Employee Benefits Expense"/>
      <sheetName val="24. Materials"/>
      <sheetName val="22. Revenue From Operations"/>
      <sheetName val="23. Other Income "/>
      <sheetName val="12.A Tangible Assets"/>
      <sheetName val="Abstract"/>
      <sheetName val="BS"/>
      <sheetName val="PL"/>
      <sheetName val="CDep"/>
      <sheetName val="Sch 1"/>
      <sheetName val="Sch"/>
      <sheetName val="TDep"/>
      <sheetName val="List"/>
      <sheetName val="4. Reserves &amp; Surplus"/>
      <sheetName val="Sheet1"/>
      <sheetName val="Sheet2"/>
      <sheetName val="Sheet3"/>
      <sheetName val="expenses"/>
      <sheetName val="stk (2)"/>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6">
          <cell r="F26">
            <v>0</v>
          </cell>
          <cell r="G26">
            <v>0</v>
          </cell>
        </row>
      </sheetData>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f"/>
      <sheetName val="Sheet1"/>
      <sheetName val="Sheet2"/>
      <sheetName val="Sheet3"/>
      <sheetName val="#REF"/>
      <sheetName val="AV"/>
      <sheetName val="currency"/>
      <sheetName val="KPIs"/>
      <sheetName val="Assumptions"/>
      <sheetName val="TOTAL"/>
      <sheetName val="currency (2)"/>
      <sheetName val="DLC sites"/>
      <sheetName val="SDH COST"/>
      <sheetName val="Other assumptions"/>
      <sheetName val="RSU lookups"/>
      <sheetName val="RSU sites"/>
      <sheetName val="DPR 31st march"/>
      <sheetName val="factor"/>
      <sheetName val="Performance Report"/>
      <sheetName val="2000"/>
      <sheetName val="ecomme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New"/>
      <sheetName val="PL"/>
      <sheetName val="Note 2-25"/>
      <sheetName val="Note 11 - Dep"/>
      <sheetName val="COVER PAGE"/>
      <sheetName val="BS-New (2)"/>
      <sheetName val="PL (2)"/>
      <sheetName val="FA"/>
      <sheetName val="C F"/>
      <sheetName val="Note 2-25 (2)"/>
      <sheetName val="Trade rec. 31.03.22"/>
      <sheetName val="Trade rec. 31.03.21"/>
      <sheetName val="trade Payable III 31.03.22"/>
      <sheetName val="trade Payable III 31.03.21"/>
      <sheetName val="NOTES"/>
      <sheetName val="Ratios"/>
      <sheetName val="FA Entries"/>
    </sheetNames>
    <sheetDataSet>
      <sheetData sheetId="0"/>
      <sheetData sheetId="1"/>
      <sheetData sheetId="2"/>
      <sheetData sheetId="3"/>
      <sheetData sheetId="4"/>
      <sheetData sheetId="5">
        <row r="7">
          <cell r="C7">
            <v>16480020</v>
          </cell>
          <cell r="D7">
            <v>16080020</v>
          </cell>
        </row>
        <row r="8">
          <cell r="C8">
            <v>37489098.439999938</v>
          </cell>
          <cell r="D8">
            <v>29869199.989999976</v>
          </cell>
        </row>
        <row r="11">
          <cell r="C11">
            <v>43482746.700000003</v>
          </cell>
          <cell r="D11">
            <v>31579876</v>
          </cell>
        </row>
        <row r="12">
          <cell r="C12">
            <v>101860</v>
          </cell>
          <cell r="D12">
            <v>0</v>
          </cell>
        </row>
        <row r="16">
          <cell r="C16">
            <v>7409701.3700000001</v>
          </cell>
          <cell r="D16">
            <v>0</v>
          </cell>
        </row>
        <row r="17">
          <cell r="C17">
            <v>0</v>
          </cell>
          <cell r="D17">
            <v>0</v>
          </cell>
        </row>
        <row r="18">
          <cell r="C18">
            <v>0</v>
          </cell>
          <cell r="D18">
            <v>0</v>
          </cell>
        </row>
        <row r="19">
          <cell r="C19">
            <v>84589755.870000005</v>
          </cell>
          <cell r="D19">
            <v>68040023.710000008</v>
          </cell>
        </row>
        <row r="20">
          <cell r="C20">
            <v>1209889.26</v>
          </cell>
          <cell r="D20">
            <v>275800</v>
          </cell>
        </row>
        <row r="21">
          <cell r="C21">
            <v>7706758</v>
          </cell>
          <cell r="D21">
            <v>5569501.7000000002</v>
          </cell>
        </row>
        <row r="22">
          <cell r="C22">
            <v>1212980.44</v>
          </cell>
          <cell r="D22">
            <v>1238171</v>
          </cell>
        </row>
        <row r="37">
          <cell r="C37">
            <v>152386513.81999999</v>
          </cell>
          <cell r="D37">
            <v>111817007.92</v>
          </cell>
        </row>
        <row r="38">
          <cell r="C38">
            <v>3906890.7899999996</v>
          </cell>
          <cell r="D38">
            <v>905974.91</v>
          </cell>
        </row>
        <row r="39">
          <cell r="C39">
            <v>9884716.1899999995</v>
          </cell>
          <cell r="D39">
            <v>8219008.54</v>
          </cell>
        </row>
        <row r="40">
          <cell r="C40">
            <v>4528834</v>
          </cell>
          <cell r="D40">
            <v>4328834</v>
          </cell>
        </row>
        <row r="41">
          <cell r="C41">
            <v>792748.17</v>
          </cell>
          <cell r="D41">
            <v>3097018.03</v>
          </cell>
        </row>
        <row r="42">
          <cell r="C42">
            <v>0</v>
          </cell>
          <cell r="D42">
            <v>0</v>
          </cell>
        </row>
      </sheetData>
      <sheetData sheetId="6">
        <row r="5">
          <cell r="C5">
            <v>1382259531.52</v>
          </cell>
          <cell r="D5">
            <v>894313657.65999997</v>
          </cell>
        </row>
        <row r="15">
          <cell r="C15">
            <v>8840123.5199999996</v>
          </cell>
          <cell r="D15">
            <v>5611428.54</v>
          </cell>
        </row>
        <row r="20">
          <cell r="C20">
            <v>9753800.8099999428</v>
          </cell>
          <cell r="D20">
            <v>6235763.3999999762</v>
          </cell>
        </row>
        <row r="23">
          <cell r="C23">
            <v>7019896.8099999428</v>
          </cell>
          <cell r="D23">
            <v>4765460.3999999762</v>
          </cell>
        </row>
      </sheetData>
      <sheetData sheetId="7"/>
      <sheetData sheetId="8"/>
      <sheetData sheetId="9">
        <row r="1">
          <cell r="A1" t="str">
            <v>BANIYA KI DUKAN PRIVATE LIMITED</v>
          </cell>
        </row>
      </sheetData>
      <sheetData sheetId="10"/>
      <sheetData sheetId="11"/>
      <sheetData sheetId="12"/>
      <sheetData sheetId="13"/>
      <sheetData sheetId="14"/>
      <sheetData sheetId="15"/>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AR"/>
      <sheetName val="BS"/>
      <sheetName val="Cash Flow"/>
      <sheetName val="Policies &amp; Notes"/>
      <sheetName val="P&amp;L"/>
      <sheetName val="1"/>
      <sheetName val="2.1"/>
      <sheetName val="2.2-5.4"/>
      <sheetName val="3.1"/>
      <sheetName val="Notes"/>
      <sheetName val="SH.List"/>
      <sheetName val="MRL"/>
      <sheetName val="DR"/>
      <sheetName val="MGT.9"/>
      <sheetName val="AOC.2"/>
      <sheetName val="SH.Trf"/>
      <sheetName val="AGM.Notice"/>
      <sheetName val="AGM.CTC"/>
      <sheetName val="App.Letter"/>
      <sheetName val="Eng.Letter"/>
    </sheetNames>
    <sheetDataSet>
      <sheetData sheetId="0"/>
      <sheetData sheetId="1"/>
      <sheetData sheetId="2">
        <row r="58">
          <cell r="F58" t="str">
            <v xml:space="preserve">For and on behalf of the Board          </v>
          </cell>
        </row>
        <row r="59">
          <cell r="B59" t="str">
            <v>Chartered Accountants</v>
          </cell>
          <cell r="F59" t="str">
            <v>COMPANY NAME PRIVATE LIMITED</v>
          </cell>
        </row>
        <row r="60">
          <cell r="B60" t="str">
            <v>Firm Regn No. 03XXXXXN</v>
          </cell>
        </row>
        <row r="65">
          <cell r="B65" t="str">
            <v>Auditor Name</v>
          </cell>
          <cell r="F65" t="str">
            <v>Director 1</v>
          </cell>
          <cell r="H65" t="str">
            <v>Director 2</v>
          </cell>
        </row>
        <row r="66">
          <cell r="F66" t="str">
            <v>DIN: 08XXXX41</v>
          </cell>
          <cell r="H66" t="str">
            <v>DIN: 087XXXX2</v>
          </cell>
        </row>
        <row r="67">
          <cell r="B67" t="str">
            <v xml:space="preserve">M. No. </v>
          </cell>
          <cell r="F67" t="str">
            <v>(Director)</v>
          </cell>
          <cell r="H67" t="str">
            <v>(Director)</v>
          </cell>
        </row>
        <row r="68">
          <cell r="B68" t="str">
            <v>Place</v>
          </cell>
        </row>
        <row r="69">
          <cell r="B69" t="str">
            <v>Date</v>
          </cell>
        </row>
      </sheetData>
      <sheetData sheetId="3"/>
      <sheetData sheetId="4"/>
      <sheetData sheetId="5"/>
      <sheetData sheetId="6"/>
      <sheetData sheetId="7">
        <row r="43">
          <cell r="C43" t="str">
            <v>RISHABH GARG</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Sheet2"/>
    </sheetNames>
    <sheetDataSet>
      <sheetData sheetId="0"/>
      <sheetData sheetId="1" refreshError="1">
        <row r="10">
          <cell r="A10" t="e">
            <v>#N/A</v>
          </cell>
          <cell r="B10">
            <v>1</v>
          </cell>
          <cell r="C10" t="str">
            <v>Alpha Centauri Health Care (*)</v>
          </cell>
          <cell r="D10">
            <v>1</v>
          </cell>
          <cell r="E10">
            <v>34422</v>
          </cell>
          <cell r="F10">
            <v>28088336</v>
          </cell>
          <cell r="G10">
            <v>0</v>
          </cell>
          <cell r="H10">
            <v>0.2155</v>
          </cell>
          <cell r="L10">
            <v>0.2155</v>
          </cell>
          <cell r="O10">
            <v>36058</v>
          </cell>
          <cell r="S10">
            <v>0</v>
          </cell>
          <cell r="T10">
            <v>834</v>
          </cell>
          <cell r="V10">
            <v>0</v>
          </cell>
          <cell r="W10">
            <v>0</v>
          </cell>
          <cell r="X10">
            <v>0</v>
          </cell>
          <cell r="Y10" t="str">
            <v>MED SYSTEMS</v>
          </cell>
          <cell r="Z10">
            <v>0</v>
          </cell>
        </row>
        <row r="11">
          <cell r="A11" t="str">
            <v>W00202</v>
          </cell>
          <cell r="B11">
            <v>2</v>
          </cell>
          <cell r="C11" t="str">
            <v>Infertility Clinic</v>
          </cell>
          <cell r="D11">
            <v>1</v>
          </cell>
          <cell r="E11">
            <v>34694</v>
          </cell>
          <cell r="F11">
            <v>890000</v>
          </cell>
          <cell r="G11">
            <v>-44432</v>
          </cell>
          <cell r="H11">
            <v>0.20580000000000001</v>
          </cell>
          <cell r="L11">
            <v>0.20580000000000001</v>
          </cell>
          <cell r="O11">
            <v>36429</v>
          </cell>
          <cell r="S11">
            <v>0</v>
          </cell>
          <cell r="T11">
            <v>463</v>
          </cell>
          <cell r="V11">
            <v>-44432</v>
          </cell>
          <cell r="W11">
            <v>-11599.235322739727</v>
          </cell>
          <cell r="X11">
            <v>16.149999999999999</v>
          </cell>
          <cell r="Y11" t="str">
            <v>MED SYSTEMS</v>
          </cell>
          <cell r="Z11">
            <v>-609.44878904109578</v>
          </cell>
          <cell r="AB11">
            <v>15.78</v>
          </cell>
          <cell r="AC11">
            <v>19.39</v>
          </cell>
          <cell r="AD11">
            <v>0.19390000000000002</v>
          </cell>
          <cell r="AE11">
            <v>2.1099999999999997E-2</v>
          </cell>
          <cell r="AF11">
            <v>4.0000000000000001E-3</v>
          </cell>
          <cell r="AG11">
            <v>0.16880000000000001</v>
          </cell>
        </row>
        <row r="12">
          <cell r="A12" t="str">
            <v>W00174</v>
          </cell>
          <cell r="B12">
            <v>3</v>
          </cell>
          <cell r="C12" t="str">
            <v>Sankshema</v>
          </cell>
          <cell r="D12">
            <v>1</v>
          </cell>
          <cell r="E12">
            <v>34694</v>
          </cell>
          <cell r="F12">
            <v>6400000</v>
          </cell>
          <cell r="G12">
            <v>0</v>
          </cell>
          <cell r="H12">
            <v>0.19339999999999999</v>
          </cell>
          <cell r="L12">
            <v>0.19339999999999999</v>
          </cell>
          <cell r="O12">
            <v>36367</v>
          </cell>
          <cell r="S12">
            <v>0</v>
          </cell>
          <cell r="T12">
            <v>525</v>
          </cell>
          <cell r="V12">
            <v>0</v>
          </cell>
          <cell r="W12">
            <v>0</v>
          </cell>
          <cell r="X12">
            <v>0</v>
          </cell>
          <cell r="Y12" t="str">
            <v>MED SYSTEMS</v>
          </cell>
          <cell r="Z12">
            <v>0</v>
          </cell>
        </row>
        <row r="13">
          <cell r="A13" t="str">
            <v>W00158</v>
          </cell>
          <cell r="B13">
            <v>4</v>
          </cell>
          <cell r="C13" t="str">
            <v>Vijaya MRI Pvt. Ltd.</v>
          </cell>
          <cell r="D13">
            <v>1</v>
          </cell>
          <cell r="E13">
            <v>34694</v>
          </cell>
          <cell r="F13">
            <v>30000000</v>
          </cell>
          <cell r="G13">
            <v>1</v>
          </cell>
          <cell r="H13">
            <v>0.17929999999999999</v>
          </cell>
          <cell r="L13">
            <v>0.17929999999999999</v>
          </cell>
          <cell r="O13">
            <v>36341</v>
          </cell>
          <cell r="S13">
            <v>0</v>
          </cell>
          <cell r="T13">
            <v>551</v>
          </cell>
          <cell r="V13">
            <v>1</v>
          </cell>
          <cell r="W13">
            <v>0.27066931506849312</v>
          </cell>
          <cell r="X13">
            <v>16.149999999999999</v>
          </cell>
          <cell r="Y13" t="str">
            <v>MED SYSTEMS</v>
          </cell>
          <cell r="Z13">
            <v>1.371643835616438E-2</v>
          </cell>
          <cell r="AB13">
            <v>15.78</v>
          </cell>
          <cell r="AC13">
            <v>19.39</v>
          </cell>
          <cell r="AD13">
            <v>0.19390000000000002</v>
          </cell>
          <cell r="AE13">
            <v>2.1099999999999997E-2</v>
          </cell>
          <cell r="AF13">
            <v>4.0000000000000001E-3</v>
          </cell>
          <cell r="AG13">
            <v>0.16880000000000001</v>
          </cell>
        </row>
        <row r="14">
          <cell r="A14" t="str">
            <v>W00096</v>
          </cell>
          <cell r="B14">
            <v>5</v>
          </cell>
          <cell r="C14" t="str">
            <v>Apollo Medical Centre</v>
          </cell>
          <cell r="D14">
            <v>1</v>
          </cell>
          <cell r="E14">
            <v>34698</v>
          </cell>
          <cell r="F14">
            <v>4410000</v>
          </cell>
          <cell r="G14">
            <v>-1</v>
          </cell>
          <cell r="H14">
            <v>0.17169999999999999</v>
          </cell>
          <cell r="L14">
            <v>0.17169999999999999</v>
          </cell>
          <cell r="O14">
            <v>36524</v>
          </cell>
          <cell r="S14">
            <v>0</v>
          </cell>
          <cell r="T14">
            <v>368</v>
          </cell>
          <cell r="V14">
            <v>-1</v>
          </cell>
          <cell r="W14">
            <v>-0.17311123287671235</v>
          </cell>
          <cell r="X14">
            <v>16.149999999999999</v>
          </cell>
          <cell r="Y14" t="str">
            <v>MED SYSTEMS</v>
          </cell>
          <cell r="Z14">
            <v>-1.371643835616438E-2</v>
          </cell>
          <cell r="AB14">
            <v>15.78</v>
          </cell>
          <cell r="AC14">
            <v>19.39</v>
          </cell>
          <cell r="AD14">
            <v>0.19390000000000002</v>
          </cell>
          <cell r="AE14">
            <v>2.1099999999999997E-2</v>
          </cell>
          <cell r="AF14">
            <v>4.0000000000000001E-3</v>
          </cell>
          <cell r="AG14">
            <v>0.16880000000000001</v>
          </cell>
        </row>
        <row r="15">
          <cell r="A15" t="str">
            <v>W00189</v>
          </cell>
          <cell r="B15">
            <v>6</v>
          </cell>
          <cell r="C15" t="str">
            <v>Kovai Scan Centre (*)</v>
          </cell>
          <cell r="D15">
            <v>1</v>
          </cell>
          <cell r="E15">
            <v>34698</v>
          </cell>
          <cell r="F15">
            <v>8775900</v>
          </cell>
          <cell r="G15">
            <v>-1</v>
          </cell>
          <cell r="H15">
            <v>0.22420000000000001</v>
          </cell>
          <cell r="L15">
            <v>0.22420000000000001</v>
          </cell>
          <cell r="O15">
            <v>36561</v>
          </cell>
          <cell r="S15">
            <v>0</v>
          </cell>
          <cell r="T15">
            <v>331</v>
          </cell>
          <cell r="V15">
            <v>-1</v>
          </cell>
          <cell r="W15">
            <v>-0.20331561643835619</v>
          </cell>
          <cell r="X15">
            <v>16.149999999999999</v>
          </cell>
          <cell r="Y15" t="str">
            <v>MED SYSTEMS</v>
          </cell>
          <cell r="Z15">
            <v>-1.371643835616438E-2</v>
          </cell>
          <cell r="AB15">
            <v>15.78</v>
          </cell>
          <cell r="AC15">
            <v>19.39</v>
          </cell>
          <cell r="AD15">
            <v>0.19390000000000002</v>
          </cell>
          <cell r="AE15">
            <v>2.1099999999999997E-2</v>
          </cell>
          <cell r="AF15">
            <v>4.0000000000000001E-3</v>
          </cell>
          <cell r="AG15">
            <v>0.16880000000000001</v>
          </cell>
        </row>
        <row r="16">
          <cell r="A16" t="str">
            <v>W00144</v>
          </cell>
          <cell r="B16">
            <v>7</v>
          </cell>
          <cell r="C16" t="str">
            <v>Soni Medical (Amala) (*)</v>
          </cell>
          <cell r="D16">
            <v>1</v>
          </cell>
          <cell r="E16">
            <v>34698</v>
          </cell>
          <cell r="F16">
            <v>12879250</v>
          </cell>
          <cell r="G16">
            <v>0</v>
          </cell>
          <cell r="H16">
            <v>0.18</v>
          </cell>
          <cell r="L16">
            <v>0.16</v>
          </cell>
          <cell r="O16">
            <v>36509</v>
          </cell>
          <cell r="S16">
            <v>0</v>
          </cell>
          <cell r="T16">
            <v>383</v>
          </cell>
          <cell r="V16">
            <v>0</v>
          </cell>
          <cell r="W16">
            <v>0</v>
          </cell>
          <cell r="X16">
            <v>15.5</v>
          </cell>
          <cell r="Y16" t="str">
            <v>MED SYSTEMS</v>
          </cell>
          <cell r="Z16">
            <v>0</v>
          </cell>
          <cell r="AB16">
            <v>15.13</v>
          </cell>
          <cell r="AD16">
            <v>0.15130000000000002</v>
          </cell>
          <cell r="AE16">
            <v>2.2200000000000001E-2</v>
          </cell>
          <cell r="AF16">
            <v>4.0000000000000001E-3</v>
          </cell>
          <cell r="AG16">
            <v>0.12510000000000002</v>
          </cell>
        </row>
        <row r="17">
          <cell r="A17" t="str">
            <v>W00145</v>
          </cell>
          <cell r="B17">
            <v>8</v>
          </cell>
          <cell r="C17" t="str">
            <v>Soni Medical (Lisie) (*)</v>
          </cell>
          <cell r="D17">
            <v>1</v>
          </cell>
          <cell r="E17">
            <v>34698</v>
          </cell>
          <cell r="F17">
            <v>30100000</v>
          </cell>
          <cell r="G17">
            <v>0</v>
          </cell>
          <cell r="H17">
            <v>0.18</v>
          </cell>
          <cell r="L17">
            <v>0.16</v>
          </cell>
          <cell r="O17">
            <v>36509</v>
          </cell>
          <cell r="S17">
            <v>0</v>
          </cell>
          <cell r="T17">
            <v>383</v>
          </cell>
          <cell r="V17">
            <v>0</v>
          </cell>
          <cell r="W17">
            <v>0</v>
          </cell>
          <cell r="X17">
            <v>15.5</v>
          </cell>
          <cell r="Y17" t="str">
            <v>MED SYSTEMS</v>
          </cell>
          <cell r="Z17">
            <v>0</v>
          </cell>
          <cell r="AB17">
            <v>15.13</v>
          </cell>
          <cell r="AD17">
            <v>0.15130000000000002</v>
          </cell>
          <cell r="AE17">
            <v>2.2200000000000001E-2</v>
          </cell>
          <cell r="AF17">
            <v>4.0000000000000001E-3</v>
          </cell>
          <cell r="AG17">
            <v>0.12510000000000002</v>
          </cell>
        </row>
        <row r="18">
          <cell r="A18" t="str">
            <v>W00056</v>
          </cell>
          <cell r="B18">
            <v>9</v>
          </cell>
          <cell r="C18" t="str">
            <v>C T Scan</v>
          </cell>
          <cell r="D18">
            <v>1</v>
          </cell>
          <cell r="E18">
            <v>34787</v>
          </cell>
          <cell r="F18">
            <v>7000000</v>
          </cell>
          <cell r="G18">
            <v>0</v>
          </cell>
          <cell r="L18">
            <v>0.18920000000000001</v>
          </cell>
          <cell r="O18">
            <v>35642</v>
          </cell>
          <cell r="S18">
            <v>0</v>
          </cell>
          <cell r="T18">
            <v>1250</v>
          </cell>
          <cell r="V18">
            <v>0</v>
          </cell>
          <cell r="W18">
            <v>0</v>
          </cell>
          <cell r="X18">
            <v>0</v>
          </cell>
          <cell r="Y18" t="str">
            <v>MED SYSTEMS</v>
          </cell>
          <cell r="Z18">
            <v>0</v>
          </cell>
          <cell r="AB18">
            <v>17.25</v>
          </cell>
          <cell r="AC18">
            <v>18.37</v>
          </cell>
          <cell r="AD18">
            <v>0.1837</v>
          </cell>
          <cell r="AE18">
            <v>1.95E-2</v>
          </cell>
          <cell r="AF18">
            <v>4.0000000000000001E-3</v>
          </cell>
          <cell r="AG18">
            <v>0.16020000000000001</v>
          </cell>
        </row>
        <row r="19">
          <cell r="A19" t="str">
            <v>W00217</v>
          </cell>
          <cell r="B19">
            <v>10</v>
          </cell>
          <cell r="C19" t="str">
            <v>Sandeep Health Care (*)</v>
          </cell>
          <cell r="D19">
            <v>1</v>
          </cell>
          <cell r="E19">
            <v>34787</v>
          </cell>
          <cell r="F19">
            <v>1120000</v>
          </cell>
          <cell r="G19">
            <v>-58169</v>
          </cell>
          <cell r="H19">
            <v>0.20780000000000001</v>
          </cell>
          <cell r="L19">
            <v>0.20780000000000001</v>
          </cell>
          <cell r="O19">
            <v>36617</v>
          </cell>
          <cell r="S19">
            <v>0</v>
          </cell>
          <cell r="T19">
            <v>275</v>
          </cell>
          <cell r="V19">
            <v>-58169</v>
          </cell>
          <cell r="W19">
            <v>-9107.0342602739729</v>
          </cell>
          <cell r="X19">
            <v>17.62</v>
          </cell>
          <cell r="Y19" t="str">
            <v>MED SYSTEMS</v>
          </cell>
          <cell r="Z19">
            <v>-870.49510082191773</v>
          </cell>
          <cell r="AB19">
            <v>17.25</v>
          </cell>
          <cell r="AC19">
            <v>18.37</v>
          </cell>
          <cell r="AD19">
            <v>0.1837</v>
          </cell>
          <cell r="AE19">
            <v>1.95E-2</v>
          </cell>
          <cell r="AF19">
            <v>4.0000000000000001E-3</v>
          </cell>
          <cell r="AG19">
            <v>0.16020000000000001</v>
          </cell>
        </row>
        <row r="20">
          <cell r="A20" t="str">
            <v>W00133</v>
          </cell>
          <cell r="B20">
            <v>11</v>
          </cell>
          <cell r="C20" t="str">
            <v>Soni Medical (Alyclon) (*)</v>
          </cell>
          <cell r="D20">
            <v>1</v>
          </cell>
          <cell r="E20">
            <v>34787</v>
          </cell>
          <cell r="F20">
            <v>9088285</v>
          </cell>
          <cell r="G20">
            <v>0</v>
          </cell>
          <cell r="H20">
            <v>0.18</v>
          </cell>
          <cell r="L20">
            <v>0.18</v>
          </cell>
          <cell r="O20">
            <v>36661</v>
          </cell>
          <cell r="S20">
            <v>0</v>
          </cell>
          <cell r="T20">
            <v>231</v>
          </cell>
          <cell r="V20">
            <v>0</v>
          </cell>
          <cell r="W20">
            <v>0</v>
          </cell>
          <cell r="X20">
            <v>17.62</v>
          </cell>
          <cell r="Y20" t="str">
            <v>MED SYSTEMS</v>
          </cell>
          <cell r="Z20">
            <v>0</v>
          </cell>
          <cell r="AB20">
            <v>17.25</v>
          </cell>
          <cell r="AC20">
            <v>18.37</v>
          </cell>
          <cell r="AD20">
            <v>0.1837</v>
          </cell>
          <cell r="AE20">
            <v>1.95E-2</v>
          </cell>
          <cell r="AF20">
            <v>4.0000000000000001E-3</v>
          </cell>
          <cell r="AG20">
            <v>0.16020000000000001</v>
          </cell>
        </row>
        <row r="21">
          <cell r="A21" t="str">
            <v>W00040</v>
          </cell>
          <cell r="B21">
            <v>12</v>
          </cell>
          <cell r="C21" t="str">
            <v>Soni Medical (MR) (*)</v>
          </cell>
          <cell r="D21">
            <v>1</v>
          </cell>
          <cell r="E21">
            <v>34787</v>
          </cell>
          <cell r="F21">
            <v>27600000</v>
          </cell>
          <cell r="G21">
            <v>-2</v>
          </cell>
          <cell r="H21">
            <v>0.18</v>
          </cell>
          <cell r="L21">
            <v>0.18</v>
          </cell>
          <cell r="O21">
            <v>36661</v>
          </cell>
          <cell r="S21">
            <v>0</v>
          </cell>
          <cell r="T21">
            <v>231</v>
          </cell>
          <cell r="V21">
            <v>-2</v>
          </cell>
          <cell r="W21">
            <v>-0.22783561643835615</v>
          </cell>
          <cell r="X21">
            <v>17.62</v>
          </cell>
          <cell r="Y21" t="str">
            <v>MED SYSTEMS</v>
          </cell>
          <cell r="Z21">
            <v>-2.9929863013698637E-2</v>
          </cell>
          <cell r="AB21">
            <v>17.25</v>
          </cell>
          <cell r="AC21">
            <v>18.37</v>
          </cell>
          <cell r="AD21">
            <v>0.1837</v>
          </cell>
          <cell r="AE21">
            <v>1.95E-2</v>
          </cell>
          <cell r="AF21">
            <v>4.0000000000000001E-3</v>
          </cell>
          <cell r="AG21">
            <v>0.16020000000000001</v>
          </cell>
        </row>
        <row r="22">
          <cell r="A22" t="str">
            <v>W00054</v>
          </cell>
          <cell r="B22">
            <v>13</v>
          </cell>
          <cell r="C22" t="str">
            <v>Sri Ganga Nagar Scan Centre</v>
          </cell>
          <cell r="D22">
            <v>1</v>
          </cell>
          <cell r="E22">
            <v>34787</v>
          </cell>
          <cell r="F22">
            <v>7050000</v>
          </cell>
          <cell r="G22">
            <v>2279.929999999993</v>
          </cell>
          <cell r="H22">
            <v>0.18</v>
          </cell>
          <cell r="L22">
            <v>0.18</v>
          </cell>
          <cell r="O22">
            <v>36617</v>
          </cell>
          <cell r="S22">
            <v>0</v>
          </cell>
          <cell r="T22">
            <v>275</v>
          </cell>
          <cell r="V22">
            <v>2279.929999999993</v>
          </cell>
          <cell r="W22">
            <v>309.19598630136892</v>
          </cell>
          <cell r="X22">
            <v>17.62</v>
          </cell>
          <cell r="Y22" t="str">
            <v>MED SYSTEMS</v>
          </cell>
          <cell r="Z22">
            <v>34.118996290410855</v>
          </cell>
          <cell r="AB22">
            <v>17.25</v>
          </cell>
          <cell r="AC22">
            <v>18.37</v>
          </cell>
          <cell r="AD22">
            <v>0.1837</v>
          </cell>
          <cell r="AE22">
            <v>1.95E-2</v>
          </cell>
          <cell r="AF22">
            <v>4.0000000000000001E-3</v>
          </cell>
          <cell r="AG22">
            <v>0.16020000000000001</v>
          </cell>
        </row>
        <row r="23">
          <cell r="A23" t="str">
            <v>W00218</v>
          </cell>
          <cell r="B23">
            <v>14</v>
          </cell>
          <cell r="C23" t="str">
            <v>Ultra Sonix</v>
          </cell>
          <cell r="D23">
            <v>1</v>
          </cell>
          <cell r="E23">
            <v>34787</v>
          </cell>
          <cell r="F23">
            <v>750000</v>
          </cell>
          <cell r="G23">
            <v>-2</v>
          </cell>
          <cell r="H23">
            <v>0.18049999999999999</v>
          </cell>
          <cell r="L23">
            <v>0.18049999999999999</v>
          </cell>
          <cell r="O23">
            <v>36617</v>
          </cell>
          <cell r="S23">
            <v>0</v>
          </cell>
          <cell r="T23">
            <v>275</v>
          </cell>
          <cell r="V23">
            <v>-2</v>
          </cell>
          <cell r="W23">
            <v>-0.27198630136986301</v>
          </cell>
          <cell r="X23">
            <v>17.62</v>
          </cell>
          <cell r="Y23" t="str">
            <v>MED SYSTEMS</v>
          </cell>
          <cell r="Z23">
            <v>-2.9929863013698637E-2</v>
          </cell>
          <cell r="AB23">
            <v>17.25</v>
          </cell>
          <cell r="AC23">
            <v>18.37</v>
          </cell>
          <cell r="AD23">
            <v>0.1837</v>
          </cell>
          <cell r="AE23">
            <v>1.95E-2</v>
          </cell>
          <cell r="AF23">
            <v>4.0000000000000001E-3</v>
          </cell>
          <cell r="AG23">
            <v>0.16020000000000001</v>
          </cell>
        </row>
        <row r="24">
          <cell r="B24">
            <v>15</v>
          </cell>
          <cell r="C24" t="str">
            <v>Ambala Ct Scan</v>
          </cell>
          <cell r="D24">
            <v>1</v>
          </cell>
          <cell r="E24">
            <v>35153</v>
          </cell>
          <cell r="F24">
            <v>8266412</v>
          </cell>
          <cell r="G24">
            <v>0</v>
          </cell>
          <cell r="H24">
            <v>0.18210000000000001</v>
          </cell>
          <cell r="L24">
            <v>0.18210000000000001</v>
          </cell>
          <cell r="O24">
            <v>35779</v>
          </cell>
          <cell r="S24">
            <v>0</v>
          </cell>
          <cell r="T24">
            <v>1113</v>
          </cell>
          <cell r="V24">
            <v>0</v>
          </cell>
          <cell r="W24">
            <v>0</v>
          </cell>
          <cell r="X24">
            <v>0</v>
          </cell>
          <cell r="Y24" t="str">
            <v>MED SYSTEMS</v>
          </cell>
          <cell r="Z24">
            <v>0</v>
          </cell>
          <cell r="AB24">
            <v>21.25</v>
          </cell>
          <cell r="AC24">
            <v>14.85</v>
          </cell>
          <cell r="AD24">
            <v>0.14849999999999999</v>
          </cell>
          <cell r="AE24">
            <v>1.95E-2</v>
          </cell>
          <cell r="AF24">
            <v>4.0000000000000001E-3</v>
          </cell>
          <cell r="AG24">
            <v>0.125</v>
          </cell>
        </row>
        <row r="25">
          <cell r="A25" t="str">
            <v>W00216</v>
          </cell>
          <cell r="B25">
            <v>16</v>
          </cell>
          <cell r="C25" t="str">
            <v>Ashwini's Children Hospital</v>
          </cell>
          <cell r="D25">
            <v>1</v>
          </cell>
          <cell r="E25">
            <v>35153</v>
          </cell>
          <cell r="F25">
            <v>209001</v>
          </cell>
          <cell r="G25">
            <v>2</v>
          </cell>
          <cell r="H25">
            <v>0.20430000000000001</v>
          </cell>
          <cell r="L25">
            <v>0.20430000000000001</v>
          </cell>
          <cell r="O25">
            <v>35920</v>
          </cell>
          <cell r="S25">
            <v>0</v>
          </cell>
          <cell r="T25">
            <v>972</v>
          </cell>
          <cell r="V25">
            <v>2</v>
          </cell>
          <cell r="W25">
            <v>1.0881073972602742</v>
          </cell>
          <cell r="X25">
            <v>0</v>
          </cell>
          <cell r="Y25" t="str">
            <v>MED SYSTEMS</v>
          </cell>
          <cell r="Z25">
            <v>0</v>
          </cell>
          <cell r="AB25">
            <v>21.25</v>
          </cell>
          <cell r="AC25">
            <v>14.85</v>
          </cell>
          <cell r="AD25">
            <v>0.14849999999999999</v>
          </cell>
          <cell r="AE25">
            <v>1.95E-2</v>
          </cell>
          <cell r="AF25">
            <v>4.0000000000000001E-3</v>
          </cell>
          <cell r="AG25">
            <v>0.125</v>
          </cell>
        </row>
        <row r="26">
          <cell r="A26" t="str">
            <v>W00224</v>
          </cell>
          <cell r="B26">
            <v>17</v>
          </cell>
          <cell r="C26" t="str">
            <v>D. K. Subramanya Reddy</v>
          </cell>
          <cell r="D26">
            <v>1</v>
          </cell>
          <cell r="E26">
            <v>35153</v>
          </cell>
          <cell r="F26">
            <v>736739</v>
          </cell>
          <cell r="G26">
            <v>2</v>
          </cell>
          <cell r="H26">
            <v>0.19539999999999999</v>
          </cell>
          <cell r="L26">
            <v>0.19539999999999999</v>
          </cell>
          <cell r="O26">
            <v>36809</v>
          </cell>
          <cell r="S26">
            <v>0</v>
          </cell>
          <cell r="T26">
            <v>83</v>
          </cell>
          <cell r="V26">
            <v>2</v>
          </cell>
          <cell r="W26">
            <v>8.8866849315068497E-2</v>
          </cell>
          <cell r="X26">
            <v>21.63</v>
          </cell>
          <cell r="Y26" t="str">
            <v>MED SYSTEMS</v>
          </cell>
          <cell r="Z26">
            <v>3.6741369863013698E-2</v>
          </cell>
          <cell r="AB26">
            <v>21.25</v>
          </cell>
          <cell r="AC26">
            <v>14.85</v>
          </cell>
          <cell r="AD26">
            <v>0.14849999999999999</v>
          </cell>
          <cell r="AE26">
            <v>1.95E-2</v>
          </cell>
          <cell r="AF26">
            <v>4.0000000000000001E-3</v>
          </cell>
          <cell r="AG26">
            <v>0.125</v>
          </cell>
        </row>
        <row r="27">
          <cell r="A27" t="str">
            <v>W00222</v>
          </cell>
          <cell r="B27">
            <v>18</v>
          </cell>
          <cell r="C27" t="str">
            <v>Marathwara Scan Centre</v>
          </cell>
          <cell r="D27">
            <v>1</v>
          </cell>
          <cell r="E27">
            <v>35153</v>
          </cell>
          <cell r="F27">
            <v>967829</v>
          </cell>
          <cell r="G27">
            <v>-1</v>
          </cell>
          <cell r="H27">
            <v>0.20730000000000001</v>
          </cell>
          <cell r="L27">
            <v>0.20730000000000001</v>
          </cell>
          <cell r="O27">
            <v>36692</v>
          </cell>
          <cell r="S27">
            <v>0</v>
          </cell>
          <cell r="T27">
            <v>200</v>
          </cell>
          <cell r="V27">
            <v>-1</v>
          </cell>
          <cell r="W27">
            <v>-0.11358904109589041</v>
          </cell>
          <cell r="X27">
            <v>21.63</v>
          </cell>
          <cell r="Y27" t="str">
            <v>MED SYSTEMS</v>
          </cell>
          <cell r="Z27">
            <v>-1.8370684931506849E-2</v>
          </cell>
          <cell r="AB27">
            <v>21.25</v>
          </cell>
          <cell r="AC27">
            <v>14.85</v>
          </cell>
          <cell r="AD27">
            <v>0.14849999999999999</v>
          </cell>
          <cell r="AE27">
            <v>1.95E-2</v>
          </cell>
          <cell r="AF27">
            <v>4.0000000000000001E-3</v>
          </cell>
          <cell r="AG27">
            <v>0.125</v>
          </cell>
        </row>
        <row r="28">
          <cell r="A28" t="str">
            <v>W00051</v>
          </cell>
          <cell r="B28">
            <v>19</v>
          </cell>
          <cell r="C28" t="str">
            <v>ALVA'S Health Care</v>
          </cell>
          <cell r="D28">
            <v>1</v>
          </cell>
          <cell r="E28">
            <v>35212</v>
          </cell>
          <cell r="F28">
            <v>655596</v>
          </cell>
          <cell r="G28">
            <v>1</v>
          </cell>
          <cell r="H28">
            <v>0.18340000000000001</v>
          </cell>
          <cell r="L28">
            <v>0.18340000000000001</v>
          </cell>
          <cell r="O28">
            <v>36707</v>
          </cell>
          <cell r="S28">
            <v>0</v>
          </cell>
          <cell r="T28">
            <v>185</v>
          </cell>
          <cell r="V28">
            <v>1</v>
          </cell>
          <cell r="W28">
            <v>9.2956164383561649E-2</v>
          </cell>
          <cell r="X28">
            <v>21.63</v>
          </cell>
          <cell r="Y28" t="str">
            <v>MED SYSTEMS</v>
          </cell>
          <cell r="Z28">
            <v>1.8370684931506849E-2</v>
          </cell>
          <cell r="AB28">
            <v>21.25</v>
          </cell>
          <cell r="AC28">
            <v>14.85</v>
          </cell>
          <cell r="AD28">
            <v>0.14849999999999999</v>
          </cell>
          <cell r="AE28">
            <v>1.95E-2</v>
          </cell>
          <cell r="AF28">
            <v>4.0000000000000001E-3</v>
          </cell>
          <cell r="AG28">
            <v>0.125</v>
          </cell>
        </row>
        <row r="29">
          <cell r="A29" t="str">
            <v>W00197</v>
          </cell>
          <cell r="B29">
            <v>20</v>
          </cell>
          <cell r="C29" t="str">
            <v>Amba Diagnostic centre</v>
          </cell>
          <cell r="D29">
            <v>1</v>
          </cell>
          <cell r="E29">
            <v>35212</v>
          </cell>
          <cell r="F29">
            <v>7650000</v>
          </cell>
          <cell r="G29">
            <v>1152136</v>
          </cell>
          <cell r="H29">
            <v>0.20469999999999999</v>
          </cell>
          <cell r="L29">
            <v>0.20469999999999999</v>
          </cell>
          <cell r="O29">
            <v>36772</v>
          </cell>
          <cell r="P29">
            <v>36863</v>
          </cell>
          <cell r="Q29">
            <v>620379</v>
          </cell>
          <cell r="R29">
            <v>561570</v>
          </cell>
          <cell r="S29">
            <v>58809</v>
          </cell>
          <cell r="T29">
            <v>29</v>
          </cell>
          <cell r="V29">
            <v>590566</v>
          </cell>
          <cell r="W29">
            <v>9604.8683446575342</v>
          </cell>
          <cell r="X29">
            <v>21.63</v>
          </cell>
          <cell r="Y29" t="str">
            <v>MED SYSTEMS</v>
          </cell>
          <cell r="Z29">
            <v>10849.101917260274</v>
          </cell>
          <cell r="AB29">
            <v>21.25</v>
          </cell>
          <cell r="AC29">
            <v>14.85</v>
          </cell>
          <cell r="AD29">
            <v>0.14849999999999999</v>
          </cell>
          <cell r="AE29">
            <v>1.95E-2</v>
          </cell>
          <cell r="AF29">
            <v>4.0000000000000001E-3</v>
          </cell>
          <cell r="AG29">
            <v>0.125</v>
          </cell>
        </row>
        <row r="30">
          <cell r="A30" t="str">
            <v>W00151</v>
          </cell>
          <cell r="B30">
            <v>21</v>
          </cell>
          <cell r="C30" t="str">
            <v>Apollo ,Diagnostic ultrasound(foreclosed in sep 99)</v>
          </cell>
          <cell r="D30">
            <v>1</v>
          </cell>
          <cell r="E30">
            <v>35212</v>
          </cell>
          <cell r="F30">
            <v>604381</v>
          </cell>
          <cell r="G30">
            <v>0</v>
          </cell>
          <cell r="H30">
            <v>0.19769999999999999</v>
          </cell>
          <cell r="L30">
            <v>0.19769999999999999</v>
          </cell>
          <cell r="O30">
            <v>36402</v>
          </cell>
          <cell r="S30">
            <v>0</v>
          </cell>
          <cell r="T30">
            <v>490</v>
          </cell>
          <cell r="V30">
            <v>0</v>
          </cell>
          <cell r="W30">
            <v>0</v>
          </cell>
          <cell r="X30">
            <v>21.63</v>
          </cell>
          <cell r="Y30" t="str">
            <v>MED SYSTEMS</v>
          </cell>
          <cell r="Z30">
            <v>0</v>
          </cell>
          <cell r="AB30">
            <v>21.25</v>
          </cell>
          <cell r="AC30">
            <v>14.85</v>
          </cell>
          <cell r="AD30">
            <v>0.14849999999999999</v>
          </cell>
          <cell r="AE30">
            <v>1.95E-2</v>
          </cell>
          <cell r="AF30">
            <v>4.0000000000000001E-3</v>
          </cell>
          <cell r="AG30">
            <v>0.125</v>
          </cell>
        </row>
        <row r="31">
          <cell r="A31" t="str">
            <v>W00003</v>
          </cell>
          <cell r="B31">
            <v>22</v>
          </cell>
          <cell r="C31" t="str">
            <v>Apollo ,Diagnostic xray (foreclosed in jan 99)</v>
          </cell>
          <cell r="D31">
            <v>1</v>
          </cell>
          <cell r="E31">
            <v>35212</v>
          </cell>
          <cell r="F31">
            <v>572022</v>
          </cell>
          <cell r="G31">
            <v>0</v>
          </cell>
          <cell r="H31">
            <v>0.19520000000000001</v>
          </cell>
          <cell r="L31">
            <v>0.19520000000000001</v>
          </cell>
          <cell r="O31">
            <v>36129</v>
          </cell>
          <cell r="S31">
            <v>0</v>
          </cell>
          <cell r="T31">
            <v>763</v>
          </cell>
          <cell r="V31">
            <v>0</v>
          </cell>
          <cell r="W31">
            <v>0</v>
          </cell>
          <cell r="X31">
            <v>0</v>
          </cell>
          <cell r="Y31" t="str">
            <v>MED SYSTEMS</v>
          </cell>
          <cell r="Z31">
            <v>0</v>
          </cell>
          <cell r="AB31">
            <v>21.25</v>
          </cell>
          <cell r="AC31">
            <v>14.85</v>
          </cell>
          <cell r="AD31">
            <v>0.14849999999999999</v>
          </cell>
          <cell r="AE31">
            <v>1.95E-2</v>
          </cell>
          <cell r="AF31">
            <v>4.0000000000000001E-3</v>
          </cell>
          <cell r="AG31">
            <v>0.125</v>
          </cell>
        </row>
        <row r="32">
          <cell r="A32" t="str">
            <v>W00036</v>
          </cell>
          <cell r="B32">
            <v>23</v>
          </cell>
          <cell r="C32" t="str">
            <v>Babua X Ray</v>
          </cell>
          <cell r="D32">
            <v>1</v>
          </cell>
          <cell r="E32">
            <v>35212</v>
          </cell>
          <cell r="F32">
            <v>464253</v>
          </cell>
          <cell r="G32">
            <v>-2</v>
          </cell>
          <cell r="H32">
            <v>0.1993</v>
          </cell>
          <cell r="L32">
            <v>0.1993</v>
          </cell>
          <cell r="O32">
            <v>36526</v>
          </cell>
          <cell r="S32">
            <v>0</v>
          </cell>
          <cell r="T32">
            <v>366</v>
          </cell>
          <cell r="V32">
            <v>-2</v>
          </cell>
          <cell r="W32">
            <v>-0.39969205479452058</v>
          </cell>
          <cell r="X32">
            <v>21.63</v>
          </cell>
          <cell r="Y32" t="str">
            <v>MED SYSTEMS</v>
          </cell>
          <cell r="Z32">
            <v>-3.6741369863013698E-2</v>
          </cell>
          <cell r="AB32">
            <v>21.25</v>
          </cell>
          <cell r="AC32">
            <v>14.85</v>
          </cell>
          <cell r="AD32">
            <v>0.14849999999999999</v>
          </cell>
          <cell r="AE32">
            <v>1.95E-2</v>
          </cell>
          <cell r="AF32">
            <v>4.0000000000000001E-3</v>
          </cell>
          <cell r="AG32">
            <v>0.125</v>
          </cell>
        </row>
        <row r="33">
          <cell r="A33" t="str">
            <v>W00206</v>
          </cell>
          <cell r="B33">
            <v>24</v>
          </cell>
          <cell r="C33" t="str">
            <v>Berean medical centre</v>
          </cell>
          <cell r="D33">
            <v>1</v>
          </cell>
          <cell r="E33">
            <v>35212</v>
          </cell>
          <cell r="F33">
            <v>652620</v>
          </cell>
          <cell r="G33">
            <v>-1</v>
          </cell>
          <cell r="H33">
            <v>0.22439999999999999</v>
          </cell>
          <cell r="L33">
            <v>0.22439999999999999</v>
          </cell>
          <cell r="O33">
            <v>36768</v>
          </cell>
          <cell r="S33">
            <v>0</v>
          </cell>
          <cell r="T33">
            <v>124</v>
          </cell>
          <cell r="V33">
            <v>-1</v>
          </cell>
          <cell r="W33">
            <v>-7.6234520547945203E-2</v>
          </cell>
          <cell r="X33">
            <v>21.63</v>
          </cell>
          <cell r="Y33" t="str">
            <v>MED SYSTEMS</v>
          </cell>
          <cell r="Z33">
            <v>-1.8370684931506849E-2</v>
          </cell>
          <cell r="AB33">
            <v>21.25</v>
          </cell>
          <cell r="AC33">
            <v>14.85</v>
          </cell>
          <cell r="AD33">
            <v>0.14849999999999999</v>
          </cell>
          <cell r="AE33">
            <v>1.95E-2</v>
          </cell>
          <cell r="AF33">
            <v>4.0000000000000001E-3</v>
          </cell>
          <cell r="AG33">
            <v>0.125</v>
          </cell>
        </row>
        <row r="34">
          <cell r="A34" t="str">
            <v>W00065</v>
          </cell>
          <cell r="B34">
            <v>25</v>
          </cell>
          <cell r="C34" t="str">
            <v>Body vision Deal Foreclosed</v>
          </cell>
          <cell r="D34">
            <v>1</v>
          </cell>
          <cell r="E34">
            <v>35212</v>
          </cell>
          <cell r="F34">
            <v>8500000</v>
          </cell>
          <cell r="G34">
            <v>0</v>
          </cell>
          <cell r="H34">
            <v>0.19439999999999999</v>
          </cell>
          <cell r="L34">
            <v>0.21560000000000001</v>
          </cell>
          <cell r="O34">
            <v>35976</v>
          </cell>
          <cell r="S34">
            <v>0</v>
          </cell>
          <cell r="T34">
            <v>916</v>
          </cell>
          <cell r="V34">
            <v>0</v>
          </cell>
          <cell r="W34">
            <v>0</v>
          </cell>
          <cell r="X34">
            <v>0</v>
          </cell>
          <cell r="Y34" t="str">
            <v>MED SYSTEMS</v>
          </cell>
          <cell r="Z34">
            <v>0</v>
          </cell>
          <cell r="AB34">
            <v>21.25</v>
          </cell>
          <cell r="AC34">
            <v>14.85</v>
          </cell>
          <cell r="AD34">
            <v>0.14849999999999999</v>
          </cell>
          <cell r="AE34">
            <v>1.95E-2</v>
          </cell>
          <cell r="AF34">
            <v>4.0000000000000001E-3</v>
          </cell>
          <cell r="AG34">
            <v>0.125</v>
          </cell>
        </row>
        <row r="35">
          <cell r="A35" t="str">
            <v>W00015</v>
          </cell>
          <cell r="B35">
            <v>26</v>
          </cell>
          <cell r="C35" t="str">
            <v>Citi Cardiac</v>
          </cell>
          <cell r="D35">
            <v>1</v>
          </cell>
          <cell r="E35">
            <v>35212</v>
          </cell>
          <cell r="F35">
            <v>20705612</v>
          </cell>
          <cell r="G35">
            <v>1570919</v>
          </cell>
          <cell r="H35">
            <v>0.20680000000000001</v>
          </cell>
          <cell r="L35">
            <v>0.20680000000000001</v>
          </cell>
          <cell r="O35">
            <v>36829</v>
          </cell>
          <cell r="S35">
            <v>0</v>
          </cell>
          <cell r="T35">
            <v>63</v>
          </cell>
          <cell r="V35">
            <v>1570919</v>
          </cell>
          <cell r="W35">
            <v>56072.770135890416</v>
          </cell>
          <cell r="X35">
            <v>21.63</v>
          </cell>
          <cell r="Y35" t="str">
            <v>MED SYSTEMS</v>
          </cell>
          <cell r="Z35">
            <v>28858.858001917812</v>
          </cell>
          <cell r="AB35">
            <v>21.25</v>
          </cell>
          <cell r="AC35">
            <v>14.85</v>
          </cell>
          <cell r="AD35">
            <v>0.14849999999999999</v>
          </cell>
          <cell r="AE35">
            <v>1.95E-2</v>
          </cell>
          <cell r="AF35">
            <v>4.0000000000000001E-3</v>
          </cell>
          <cell r="AG35">
            <v>0.125</v>
          </cell>
        </row>
        <row r="36">
          <cell r="A36" t="str">
            <v>W00136</v>
          </cell>
          <cell r="B36">
            <v>27</v>
          </cell>
          <cell r="C36" t="str">
            <v>Doctor,s X Ray</v>
          </cell>
          <cell r="D36">
            <v>1</v>
          </cell>
          <cell r="E36">
            <v>35212</v>
          </cell>
          <cell r="F36">
            <v>430499</v>
          </cell>
          <cell r="G36">
            <v>0</v>
          </cell>
          <cell r="H36">
            <v>0.24010000000000001</v>
          </cell>
          <cell r="L36">
            <v>0.24010000000000001</v>
          </cell>
          <cell r="O36">
            <v>35925</v>
          </cell>
          <cell r="S36">
            <v>0</v>
          </cell>
          <cell r="T36">
            <v>967</v>
          </cell>
          <cell r="V36">
            <v>0</v>
          </cell>
          <cell r="W36">
            <v>0</v>
          </cell>
          <cell r="X36">
            <v>0</v>
          </cell>
          <cell r="Y36" t="str">
            <v>MED SYSTEMS</v>
          </cell>
          <cell r="Z36">
            <v>0</v>
          </cell>
          <cell r="AB36">
            <v>21.25</v>
          </cell>
          <cell r="AC36">
            <v>14.85</v>
          </cell>
          <cell r="AD36">
            <v>0.14849999999999999</v>
          </cell>
          <cell r="AE36">
            <v>1.95E-2</v>
          </cell>
          <cell r="AF36">
            <v>4.0000000000000001E-3</v>
          </cell>
          <cell r="AG36">
            <v>0.125</v>
          </cell>
        </row>
        <row r="37">
          <cell r="A37" t="str">
            <v>W00108</v>
          </cell>
          <cell r="B37">
            <v>28</v>
          </cell>
          <cell r="C37" t="str">
            <v>K. Padmanabhan</v>
          </cell>
          <cell r="D37">
            <v>1</v>
          </cell>
          <cell r="E37">
            <v>35212</v>
          </cell>
          <cell r="F37">
            <v>574298</v>
          </cell>
          <cell r="G37">
            <v>0</v>
          </cell>
          <cell r="H37">
            <v>0.1754</v>
          </cell>
          <cell r="L37">
            <v>0.1754</v>
          </cell>
          <cell r="O37">
            <v>35672</v>
          </cell>
          <cell r="S37">
            <v>0</v>
          </cell>
          <cell r="T37">
            <v>1220</v>
          </cell>
          <cell r="V37">
            <v>0</v>
          </cell>
          <cell r="W37">
            <v>0</v>
          </cell>
          <cell r="X37">
            <v>0</v>
          </cell>
          <cell r="Y37" t="str">
            <v>MED SYSTEMS</v>
          </cell>
          <cell r="Z37">
            <v>0</v>
          </cell>
          <cell r="AB37">
            <v>21.25</v>
          </cell>
          <cell r="AC37">
            <v>14.85</v>
          </cell>
          <cell r="AD37">
            <v>0.14849999999999999</v>
          </cell>
          <cell r="AE37">
            <v>1.95E-2</v>
          </cell>
          <cell r="AF37">
            <v>4.0000000000000001E-3</v>
          </cell>
          <cell r="AG37">
            <v>0.125</v>
          </cell>
        </row>
        <row r="38">
          <cell r="A38" t="str">
            <v>W00090</v>
          </cell>
          <cell r="B38">
            <v>29</v>
          </cell>
          <cell r="C38" t="str">
            <v>K. V.  Rao</v>
          </cell>
          <cell r="D38">
            <v>1</v>
          </cell>
          <cell r="E38">
            <v>35212</v>
          </cell>
          <cell r="F38">
            <v>583054</v>
          </cell>
          <cell r="G38">
            <v>0</v>
          </cell>
          <cell r="H38">
            <v>0.27139999999999997</v>
          </cell>
          <cell r="L38">
            <v>0.27139999999999997</v>
          </cell>
          <cell r="O38">
            <v>35764</v>
          </cell>
          <cell r="S38">
            <v>0</v>
          </cell>
          <cell r="T38">
            <v>1128</v>
          </cell>
          <cell r="V38">
            <v>0</v>
          </cell>
          <cell r="W38">
            <v>0</v>
          </cell>
          <cell r="X38">
            <v>0</v>
          </cell>
          <cell r="Y38" t="str">
            <v>MED SYSTEMS</v>
          </cell>
          <cell r="Z38">
            <v>0</v>
          </cell>
          <cell r="AB38">
            <v>21.25</v>
          </cell>
          <cell r="AC38">
            <v>14.85</v>
          </cell>
          <cell r="AD38">
            <v>0.14849999999999999</v>
          </cell>
          <cell r="AE38">
            <v>1.95E-2</v>
          </cell>
          <cell r="AF38">
            <v>4.0000000000000001E-3</v>
          </cell>
          <cell r="AG38">
            <v>0.125</v>
          </cell>
        </row>
        <row r="39">
          <cell r="A39" t="str">
            <v>W00125</v>
          </cell>
          <cell r="B39">
            <v>30</v>
          </cell>
          <cell r="C39" t="str">
            <v>L. H. Kasture</v>
          </cell>
          <cell r="D39">
            <v>1</v>
          </cell>
          <cell r="E39">
            <v>35212</v>
          </cell>
          <cell r="F39">
            <v>955673</v>
          </cell>
          <cell r="G39">
            <v>1</v>
          </cell>
          <cell r="H39">
            <v>0.21909999999999999</v>
          </cell>
          <cell r="L39">
            <v>0.21909999999999999</v>
          </cell>
          <cell r="O39">
            <v>36831</v>
          </cell>
          <cell r="S39">
            <v>0</v>
          </cell>
          <cell r="T39">
            <v>61</v>
          </cell>
          <cell r="V39">
            <v>1</v>
          </cell>
          <cell r="W39">
            <v>3.661671232876712E-2</v>
          </cell>
          <cell r="X39">
            <v>21.63</v>
          </cell>
          <cell r="Y39" t="str">
            <v>MED SYSTEMS</v>
          </cell>
          <cell r="Z39">
            <v>1.8370684931506849E-2</v>
          </cell>
          <cell r="AB39">
            <v>21.25</v>
          </cell>
          <cell r="AC39">
            <v>14.85</v>
          </cell>
          <cell r="AD39">
            <v>0.14849999999999999</v>
          </cell>
          <cell r="AE39">
            <v>1.95E-2</v>
          </cell>
          <cell r="AF39">
            <v>4.0000000000000001E-3</v>
          </cell>
          <cell r="AG39">
            <v>0.125</v>
          </cell>
        </row>
        <row r="40">
          <cell r="A40" t="str">
            <v>W00116</v>
          </cell>
          <cell r="B40">
            <v>31</v>
          </cell>
          <cell r="C40" t="str">
            <v>Paul Raj</v>
          </cell>
          <cell r="D40">
            <v>1</v>
          </cell>
          <cell r="E40">
            <v>35212</v>
          </cell>
          <cell r="F40">
            <v>554801</v>
          </cell>
          <cell r="G40">
            <v>0</v>
          </cell>
          <cell r="H40">
            <v>0.18459999999999999</v>
          </cell>
          <cell r="L40">
            <v>0.18459999999999999</v>
          </cell>
          <cell r="O40">
            <v>36768</v>
          </cell>
          <cell r="S40">
            <v>0</v>
          </cell>
          <cell r="T40">
            <v>124</v>
          </cell>
          <cell r="V40">
            <v>0</v>
          </cell>
          <cell r="W40">
            <v>0</v>
          </cell>
          <cell r="X40">
            <v>21.63</v>
          </cell>
          <cell r="Y40" t="str">
            <v>MED SYSTEMS</v>
          </cell>
          <cell r="Z40">
            <v>0</v>
          </cell>
          <cell r="AB40">
            <v>21.25</v>
          </cell>
          <cell r="AC40">
            <v>14.85</v>
          </cell>
          <cell r="AD40">
            <v>0.14849999999999999</v>
          </cell>
          <cell r="AE40">
            <v>1.95E-2</v>
          </cell>
          <cell r="AF40">
            <v>4.0000000000000001E-3</v>
          </cell>
          <cell r="AG40">
            <v>0.125</v>
          </cell>
        </row>
        <row r="41">
          <cell r="A41" t="str">
            <v>W00132</v>
          </cell>
          <cell r="B41">
            <v>32</v>
          </cell>
          <cell r="C41" t="str">
            <v>Sandhaya Sarmah</v>
          </cell>
          <cell r="D41">
            <v>1</v>
          </cell>
          <cell r="E41">
            <v>35212</v>
          </cell>
          <cell r="F41">
            <v>640920</v>
          </cell>
          <cell r="G41">
            <v>-1</v>
          </cell>
          <cell r="H41">
            <v>0.22109999999999999</v>
          </cell>
          <cell r="L41">
            <v>0.22109999999999999</v>
          </cell>
          <cell r="O41">
            <v>36768</v>
          </cell>
          <cell r="S41">
            <v>0</v>
          </cell>
          <cell r="T41">
            <v>124</v>
          </cell>
          <cell r="V41">
            <v>-1</v>
          </cell>
          <cell r="W41">
            <v>-7.5113424657534247E-2</v>
          </cell>
          <cell r="X41">
            <v>21.63</v>
          </cell>
          <cell r="Y41" t="str">
            <v>MED SYSTEMS</v>
          </cell>
          <cell r="Z41">
            <v>-1.8370684931506849E-2</v>
          </cell>
          <cell r="AB41">
            <v>21.25</v>
          </cell>
          <cell r="AC41">
            <v>14.85</v>
          </cell>
          <cell r="AD41">
            <v>0.14849999999999999</v>
          </cell>
          <cell r="AE41">
            <v>1.95E-2</v>
          </cell>
          <cell r="AF41">
            <v>4.0000000000000001E-3</v>
          </cell>
          <cell r="AG41">
            <v>0.125</v>
          </cell>
        </row>
        <row r="42">
          <cell r="A42" t="str">
            <v>W00104</v>
          </cell>
          <cell r="B42">
            <v>33</v>
          </cell>
          <cell r="C42" t="str">
            <v>Shrenik J Patil</v>
          </cell>
          <cell r="D42">
            <v>1</v>
          </cell>
          <cell r="E42">
            <v>35212</v>
          </cell>
          <cell r="F42">
            <v>895252</v>
          </cell>
          <cell r="G42">
            <v>0</v>
          </cell>
          <cell r="H42">
            <v>0.20369999999999999</v>
          </cell>
          <cell r="L42">
            <v>0.20369999999999999</v>
          </cell>
          <cell r="O42">
            <v>36234</v>
          </cell>
          <cell r="S42">
            <v>0</v>
          </cell>
          <cell r="T42">
            <v>658</v>
          </cell>
          <cell r="V42">
            <v>0</v>
          </cell>
          <cell r="W42">
            <v>0</v>
          </cell>
          <cell r="X42">
            <v>0</v>
          </cell>
          <cell r="Y42" t="str">
            <v>MED SYSTEMS</v>
          </cell>
          <cell r="Z42">
            <v>0</v>
          </cell>
          <cell r="AB42">
            <v>21.25</v>
          </cell>
          <cell r="AC42">
            <v>14.85</v>
          </cell>
          <cell r="AD42">
            <v>0.14849999999999999</v>
          </cell>
          <cell r="AE42">
            <v>1.95E-2</v>
          </cell>
          <cell r="AF42">
            <v>4.0000000000000001E-3</v>
          </cell>
          <cell r="AG42">
            <v>0.125</v>
          </cell>
        </row>
        <row r="43">
          <cell r="A43" t="str">
            <v>W00083</v>
          </cell>
          <cell r="B43">
            <v>34</v>
          </cell>
          <cell r="C43" t="str">
            <v>SRV Thangamani</v>
          </cell>
          <cell r="D43">
            <v>1</v>
          </cell>
          <cell r="E43">
            <v>35212</v>
          </cell>
          <cell r="F43">
            <v>820603</v>
          </cell>
          <cell r="G43">
            <v>2</v>
          </cell>
          <cell r="H43">
            <v>0.18340000000000001</v>
          </cell>
          <cell r="L43">
            <v>0.18340000000000001</v>
          </cell>
          <cell r="O43">
            <v>36799</v>
          </cell>
          <cell r="S43">
            <v>0</v>
          </cell>
          <cell r="T43">
            <v>93</v>
          </cell>
          <cell r="V43">
            <v>2</v>
          </cell>
          <cell r="W43">
            <v>9.3458630136986312E-2</v>
          </cell>
          <cell r="X43">
            <v>21.63</v>
          </cell>
          <cell r="Y43" t="str">
            <v>MED SYSTEMS</v>
          </cell>
          <cell r="Z43">
            <v>3.6741369863013698E-2</v>
          </cell>
          <cell r="AB43">
            <v>21.25</v>
          </cell>
          <cell r="AC43">
            <v>14.85</v>
          </cell>
          <cell r="AD43">
            <v>0.14849999999999999</v>
          </cell>
          <cell r="AE43">
            <v>1.95E-2</v>
          </cell>
          <cell r="AF43">
            <v>4.0000000000000001E-3</v>
          </cell>
          <cell r="AG43">
            <v>0.125</v>
          </cell>
        </row>
        <row r="44">
          <cell r="A44" t="str">
            <v>W00102</v>
          </cell>
          <cell r="B44">
            <v>35</v>
          </cell>
          <cell r="C44" t="str">
            <v>Tanveer Ahmed Khan</v>
          </cell>
          <cell r="D44">
            <v>1</v>
          </cell>
          <cell r="E44">
            <v>35212</v>
          </cell>
          <cell r="F44">
            <v>471209</v>
          </cell>
          <cell r="G44">
            <v>0</v>
          </cell>
          <cell r="H44">
            <v>0.1953</v>
          </cell>
          <cell r="L44">
            <v>0.1953</v>
          </cell>
          <cell r="O44">
            <v>35851</v>
          </cell>
          <cell r="S44">
            <v>0</v>
          </cell>
          <cell r="T44">
            <v>1041</v>
          </cell>
          <cell r="V44">
            <v>0</v>
          </cell>
          <cell r="W44">
            <v>0</v>
          </cell>
          <cell r="X44">
            <v>0</v>
          </cell>
          <cell r="Y44" t="str">
            <v>MED SYSTEMS</v>
          </cell>
          <cell r="Z44">
            <v>0</v>
          </cell>
          <cell r="AB44">
            <v>21.25</v>
          </cell>
          <cell r="AC44">
            <v>14.85</v>
          </cell>
          <cell r="AD44">
            <v>0.14849999999999999</v>
          </cell>
          <cell r="AE44">
            <v>1.95E-2</v>
          </cell>
          <cell r="AF44">
            <v>4.0000000000000001E-3</v>
          </cell>
          <cell r="AG44">
            <v>0.125</v>
          </cell>
        </row>
        <row r="45">
          <cell r="A45" t="str">
            <v>W00120</v>
          </cell>
          <cell r="B45">
            <v>36</v>
          </cell>
          <cell r="C45" t="str">
            <v>Vijayan Nair</v>
          </cell>
          <cell r="D45">
            <v>1</v>
          </cell>
          <cell r="E45">
            <v>35212</v>
          </cell>
          <cell r="F45">
            <v>647356</v>
          </cell>
          <cell r="G45">
            <v>2</v>
          </cell>
          <cell r="H45">
            <v>0.1908</v>
          </cell>
          <cell r="L45">
            <v>0.1908</v>
          </cell>
          <cell r="O45">
            <v>36707</v>
          </cell>
          <cell r="S45">
            <v>0</v>
          </cell>
          <cell r="T45">
            <v>185</v>
          </cell>
          <cell r="V45">
            <v>2</v>
          </cell>
          <cell r="W45">
            <v>0.19341369863013699</v>
          </cell>
          <cell r="X45">
            <v>21.63</v>
          </cell>
          <cell r="Y45" t="str">
            <v>MED SYSTEMS</v>
          </cell>
          <cell r="Z45">
            <v>3.6741369863013698E-2</v>
          </cell>
          <cell r="AB45">
            <v>21.25</v>
          </cell>
          <cell r="AC45">
            <v>14.85</v>
          </cell>
          <cell r="AD45">
            <v>0.14849999999999999</v>
          </cell>
          <cell r="AE45">
            <v>1.95E-2</v>
          </cell>
          <cell r="AF45">
            <v>4.0000000000000001E-3</v>
          </cell>
          <cell r="AG45">
            <v>0.125</v>
          </cell>
        </row>
        <row r="46">
          <cell r="A46" t="str">
            <v>W00182</v>
          </cell>
          <cell r="B46">
            <v>37</v>
          </cell>
          <cell r="C46" t="str">
            <v>Haryana Ultrasound(Dr. Urmila)</v>
          </cell>
          <cell r="D46">
            <v>1</v>
          </cell>
          <cell r="E46">
            <v>35212</v>
          </cell>
          <cell r="F46">
            <v>377834</v>
          </cell>
          <cell r="G46">
            <v>1</v>
          </cell>
          <cell r="H46">
            <v>0.18340000000000001</v>
          </cell>
          <cell r="L46">
            <v>0.18340000000000001</v>
          </cell>
          <cell r="O46">
            <v>36749</v>
          </cell>
          <cell r="S46">
            <v>0</v>
          </cell>
          <cell r="T46">
            <v>143</v>
          </cell>
          <cell r="V46">
            <v>1</v>
          </cell>
          <cell r="W46">
            <v>7.1852602739726032E-2</v>
          </cell>
          <cell r="X46">
            <v>21.63</v>
          </cell>
          <cell r="Y46" t="str">
            <v>MED SYSTEMS</v>
          </cell>
          <cell r="Z46">
            <v>1.8370684931506849E-2</v>
          </cell>
          <cell r="AB46">
            <v>21.25</v>
          </cell>
          <cell r="AC46">
            <v>14.85</v>
          </cell>
          <cell r="AD46">
            <v>0.14849999999999999</v>
          </cell>
          <cell r="AE46">
            <v>1.95E-2</v>
          </cell>
          <cell r="AF46">
            <v>4.0000000000000001E-3</v>
          </cell>
          <cell r="AG46">
            <v>0.125</v>
          </cell>
        </row>
        <row r="47">
          <cell r="A47" t="str">
            <v>W00103</v>
          </cell>
          <cell r="B47">
            <v>38</v>
          </cell>
          <cell r="C47" t="str">
            <v>J. N. Shorie</v>
          </cell>
          <cell r="D47">
            <v>1</v>
          </cell>
          <cell r="E47">
            <v>35212</v>
          </cell>
          <cell r="F47">
            <v>438288</v>
          </cell>
          <cell r="G47">
            <v>0</v>
          </cell>
          <cell r="H47">
            <v>0.18340000000000001</v>
          </cell>
          <cell r="L47">
            <v>0.18340000000000001</v>
          </cell>
          <cell r="O47">
            <v>36750</v>
          </cell>
          <cell r="S47">
            <v>0</v>
          </cell>
          <cell r="T47">
            <v>142</v>
          </cell>
          <cell r="V47">
            <v>0</v>
          </cell>
          <cell r="W47">
            <v>0</v>
          </cell>
          <cell r="X47">
            <v>21.63</v>
          </cell>
          <cell r="Y47" t="str">
            <v>MED SYSTEMS</v>
          </cell>
          <cell r="Z47">
            <v>0</v>
          </cell>
          <cell r="AB47">
            <v>21.25</v>
          </cell>
          <cell r="AC47">
            <v>14.85</v>
          </cell>
          <cell r="AD47">
            <v>0.14849999999999999</v>
          </cell>
          <cell r="AE47">
            <v>1.95E-2</v>
          </cell>
          <cell r="AF47">
            <v>4.0000000000000001E-3</v>
          </cell>
          <cell r="AG47">
            <v>0.125</v>
          </cell>
        </row>
        <row r="48">
          <cell r="A48" t="str">
            <v>W00209</v>
          </cell>
          <cell r="B48">
            <v>39</v>
          </cell>
          <cell r="C48" t="str">
            <v>Jaypee Ultrasound</v>
          </cell>
          <cell r="D48">
            <v>1</v>
          </cell>
          <cell r="E48">
            <v>35212</v>
          </cell>
          <cell r="F48">
            <v>637594</v>
          </cell>
          <cell r="G48">
            <v>-1</v>
          </cell>
          <cell r="H48">
            <v>0.18340000000000001</v>
          </cell>
          <cell r="L48">
            <v>0.18340000000000001</v>
          </cell>
          <cell r="O48">
            <v>36753</v>
          </cell>
          <cell r="S48">
            <v>0</v>
          </cell>
          <cell r="T48">
            <v>139</v>
          </cell>
          <cell r="V48">
            <v>-1</v>
          </cell>
          <cell r="W48">
            <v>-6.9842739726027392E-2</v>
          </cell>
          <cell r="X48">
            <v>21.63</v>
          </cell>
          <cell r="Y48" t="str">
            <v>MED SYSTEMS</v>
          </cell>
          <cell r="Z48">
            <v>-1.8370684931506849E-2</v>
          </cell>
          <cell r="AB48">
            <v>21.25</v>
          </cell>
          <cell r="AC48">
            <v>14.85</v>
          </cell>
          <cell r="AD48">
            <v>0.14849999999999999</v>
          </cell>
          <cell r="AE48">
            <v>1.95E-2</v>
          </cell>
          <cell r="AF48">
            <v>4.0000000000000001E-3</v>
          </cell>
          <cell r="AG48">
            <v>0.125</v>
          </cell>
        </row>
        <row r="49">
          <cell r="A49" t="str">
            <v>W00179</v>
          </cell>
          <cell r="B49">
            <v>40</v>
          </cell>
          <cell r="C49" t="str">
            <v>Joshi Nursing Home</v>
          </cell>
          <cell r="D49">
            <v>1</v>
          </cell>
          <cell r="E49">
            <v>35212</v>
          </cell>
          <cell r="F49">
            <v>723276</v>
          </cell>
          <cell r="G49">
            <v>1</v>
          </cell>
          <cell r="H49">
            <v>0.2175</v>
          </cell>
          <cell r="L49">
            <v>0.2011</v>
          </cell>
          <cell r="O49">
            <v>36764</v>
          </cell>
          <cell r="S49">
            <v>0</v>
          </cell>
          <cell r="T49">
            <v>128</v>
          </cell>
          <cell r="V49">
            <v>1</v>
          </cell>
          <cell r="W49">
            <v>7.0522739726027392E-2</v>
          </cell>
          <cell r="X49">
            <v>21.63</v>
          </cell>
          <cell r="Y49" t="str">
            <v>MED SYSTEMS</v>
          </cell>
          <cell r="Z49">
            <v>1.8370684931506849E-2</v>
          </cell>
          <cell r="AB49">
            <v>21.25</v>
          </cell>
          <cell r="AC49">
            <v>14.85</v>
          </cell>
          <cell r="AD49">
            <v>0.14849999999999999</v>
          </cell>
          <cell r="AE49">
            <v>1.95E-2</v>
          </cell>
          <cell r="AF49">
            <v>4.0000000000000001E-3</v>
          </cell>
          <cell r="AG49">
            <v>0.125</v>
          </cell>
        </row>
        <row r="50">
          <cell r="A50" t="str">
            <v>W00201</v>
          </cell>
          <cell r="B50">
            <v>41</v>
          </cell>
          <cell r="C50" t="str">
            <v>K. G  Healthcare</v>
          </cell>
          <cell r="D50">
            <v>1</v>
          </cell>
          <cell r="E50">
            <v>35212</v>
          </cell>
          <cell r="F50">
            <v>8107919</v>
          </cell>
          <cell r="G50">
            <v>0</v>
          </cell>
          <cell r="H50">
            <v>0.21160000000000001</v>
          </cell>
          <cell r="L50">
            <v>0.21160000000000001</v>
          </cell>
          <cell r="O50">
            <v>36784</v>
          </cell>
          <cell r="S50">
            <v>0</v>
          </cell>
          <cell r="T50">
            <v>108</v>
          </cell>
          <cell r="V50">
            <v>0</v>
          </cell>
          <cell r="W50">
            <v>0</v>
          </cell>
          <cell r="X50">
            <v>21.63</v>
          </cell>
          <cell r="Y50" t="str">
            <v>MED SYSTEMS</v>
          </cell>
          <cell r="Z50">
            <v>0</v>
          </cell>
          <cell r="AB50">
            <v>21.25</v>
          </cell>
          <cell r="AC50">
            <v>14.85</v>
          </cell>
          <cell r="AD50">
            <v>0.14849999999999999</v>
          </cell>
          <cell r="AE50">
            <v>1.95E-2</v>
          </cell>
          <cell r="AF50">
            <v>4.0000000000000001E-3</v>
          </cell>
          <cell r="AG50">
            <v>0.125</v>
          </cell>
        </row>
        <row r="51">
          <cell r="A51" t="str">
            <v>W00198</v>
          </cell>
          <cell r="B51">
            <v>42</v>
          </cell>
          <cell r="C51" t="str">
            <v>Life medical centre</v>
          </cell>
          <cell r="D51">
            <v>1</v>
          </cell>
          <cell r="E51">
            <v>35212</v>
          </cell>
          <cell r="F51">
            <v>7306951</v>
          </cell>
          <cell r="G51">
            <v>0</v>
          </cell>
          <cell r="H51">
            <v>0.20469999999999999</v>
          </cell>
          <cell r="L51">
            <v>0.20469999999999999</v>
          </cell>
          <cell r="O51">
            <v>35728</v>
          </cell>
          <cell r="S51">
            <v>0</v>
          </cell>
          <cell r="T51">
            <v>1164</v>
          </cell>
          <cell r="V51">
            <v>0</v>
          </cell>
          <cell r="W51">
            <v>0</v>
          </cell>
          <cell r="X51">
            <v>0</v>
          </cell>
          <cell r="Y51" t="str">
            <v>MED SYSTEMS</v>
          </cell>
          <cell r="Z51">
            <v>0</v>
          </cell>
          <cell r="AB51">
            <v>21.25</v>
          </cell>
          <cell r="AC51">
            <v>14.85</v>
          </cell>
          <cell r="AD51">
            <v>0.14849999999999999</v>
          </cell>
          <cell r="AE51">
            <v>1.95E-2</v>
          </cell>
          <cell r="AF51">
            <v>4.0000000000000001E-3</v>
          </cell>
          <cell r="AG51">
            <v>0.125</v>
          </cell>
        </row>
        <row r="52">
          <cell r="A52" t="str">
            <v>W00048</v>
          </cell>
          <cell r="B52">
            <v>43</v>
          </cell>
          <cell r="C52" t="str">
            <v>Madho Hospital</v>
          </cell>
          <cell r="D52">
            <v>1</v>
          </cell>
          <cell r="E52">
            <v>35212</v>
          </cell>
          <cell r="F52">
            <v>546304</v>
          </cell>
          <cell r="G52">
            <v>-1</v>
          </cell>
          <cell r="H52">
            <v>0.18340000000000001</v>
          </cell>
          <cell r="L52">
            <v>0.18340000000000001</v>
          </cell>
          <cell r="O52">
            <v>36793</v>
          </cell>
          <cell r="S52">
            <v>0</v>
          </cell>
          <cell r="T52">
            <v>99</v>
          </cell>
          <cell r="V52">
            <v>-1</v>
          </cell>
          <cell r="W52">
            <v>-4.9744109589041095E-2</v>
          </cell>
          <cell r="X52">
            <v>21.63</v>
          </cell>
          <cell r="Y52" t="str">
            <v>MED SYSTEMS</v>
          </cell>
          <cell r="Z52">
            <v>-1.8370684931506849E-2</v>
          </cell>
          <cell r="AB52">
            <v>21.25</v>
          </cell>
          <cell r="AC52">
            <v>14.85</v>
          </cell>
          <cell r="AD52">
            <v>0.14849999999999999</v>
          </cell>
          <cell r="AE52">
            <v>1.95E-2</v>
          </cell>
          <cell r="AF52">
            <v>4.0000000000000001E-3</v>
          </cell>
          <cell r="AG52">
            <v>0.125</v>
          </cell>
        </row>
        <row r="53">
          <cell r="A53" t="str">
            <v>W00135</v>
          </cell>
          <cell r="B53">
            <v>44</v>
          </cell>
          <cell r="C53" t="str">
            <v>Mangal Diagnostics</v>
          </cell>
          <cell r="D53">
            <v>1</v>
          </cell>
          <cell r="E53">
            <v>35212</v>
          </cell>
          <cell r="F53">
            <v>490399</v>
          </cell>
          <cell r="G53">
            <v>1</v>
          </cell>
          <cell r="H53">
            <v>0.18340000000000001</v>
          </cell>
          <cell r="L53">
            <v>0.18340000000000001</v>
          </cell>
          <cell r="O53">
            <v>36771</v>
          </cell>
          <cell r="S53">
            <v>0</v>
          </cell>
          <cell r="T53">
            <v>121</v>
          </cell>
          <cell r="V53">
            <v>1</v>
          </cell>
          <cell r="W53">
            <v>6.0798356164383567E-2</v>
          </cell>
          <cell r="X53">
            <v>21.63</v>
          </cell>
          <cell r="Y53" t="str">
            <v>MED SYSTEMS</v>
          </cell>
          <cell r="Z53">
            <v>1.8370684931506849E-2</v>
          </cell>
          <cell r="AB53">
            <v>21.25</v>
          </cell>
          <cell r="AC53">
            <v>14.85</v>
          </cell>
          <cell r="AD53">
            <v>0.14849999999999999</v>
          </cell>
          <cell r="AE53">
            <v>1.95E-2</v>
          </cell>
          <cell r="AF53">
            <v>4.0000000000000001E-3</v>
          </cell>
          <cell r="AG53">
            <v>0.125</v>
          </cell>
        </row>
        <row r="54">
          <cell r="A54" t="str">
            <v>W00033</v>
          </cell>
          <cell r="B54">
            <v>45</v>
          </cell>
          <cell r="C54" t="str">
            <v>Moidus Medicare - CT</v>
          </cell>
          <cell r="D54">
            <v>1</v>
          </cell>
          <cell r="E54">
            <v>35212</v>
          </cell>
          <cell r="F54">
            <v>3392317</v>
          </cell>
          <cell r="G54">
            <v>0</v>
          </cell>
          <cell r="H54">
            <v>0.1961</v>
          </cell>
          <cell r="L54">
            <v>0.1961</v>
          </cell>
          <cell r="O54">
            <v>36600</v>
          </cell>
          <cell r="S54">
            <v>0</v>
          </cell>
          <cell r="T54">
            <v>292</v>
          </cell>
          <cell r="V54">
            <v>0</v>
          </cell>
          <cell r="W54">
            <v>0</v>
          </cell>
          <cell r="X54">
            <v>0</v>
          </cell>
          <cell r="Y54" t="str">
            <v>MED SYSTEMS</v>
          </cell>
          <cell r="Z54">
            <v>0</v>
          </cell>
          <cell r="AB54">
            <v>21.25</v>
          </cell>
          <cell r="AC54">
            <v>14.85</v>
          </cell>
          <cell r="AD54">
            <v>0.14849999999999999</v>
          </cell>
          <cell r="AE54">
            <v>1.95E-2</v>
          </cell>
          <cell r="AF54">
            <v>4.0000000000000001E-3</v>
          </cell>
          <cell r="AG54">
            <v>0.125</v>
          </cell>
        </row>
        <row r="55">
          <cell r="A55" t="str">
            <v>W00203</v>
          </cell>
          <cell r="B55">
            <v>46</v>
          </cell>
          <cell r="C55" t="str">
            <v>Moidus Medicare - X RAY</v>
          </cell>
          <cell r="D55">
            <v>1</v>
          </cell>
          <cell r="E55">
            <v>35212</v>
          </cell>
          <cell r="F55">
            <v>563239</v>
          </cell>
          <cell r="G55">
            <v>0</v>
          </cell>
          <cell r="H55">
            <v>0.19650000000000001</v>
          </cell>
          <cell r="L55">
            <v>0.19650000000000001</v>
          </cell>
          <cell r="O55">
            <v>35641</v>
          </cell>
          <cell r="S55">
            <v>0</v>
          </cell>
          <cell r="T55">
            <v>1251</v>
          </cell>
          <cell r="V55">
            <v>0</v>
          </cell>
          <cell r="W55">
            <v>0</v>
          </cell>
          <cell r="X55">
            <v>0</v>
          </cell>
          <cell r="Y55" t="str">
            <v>MED SYSTEMS</v>
          </cell>
          <cell r="Z55">
            <v>0</v>
          </cell>
          <cell r="AB55">
            <v>21.25</v>
          </cell>
          <cell r="AC55">
            <v>14.85</v>
          </cell>
          <cell r="AD55">
            <v>0.14849999999999999</v>
          </cell>
          <cell r="AE55">
            <v>1.95E-2</v>
          </cell>
          <cell r="AF55">
            <v>4.0000000000000001E-3</v>
          </cell>
          <cell r="AG55">
            <v>0.125</v>
          </cell>
        </row>
        <row r="56">
          <cell r="A56" t="str">
            <v>W00115</v>
          </cell>
          <cell r="B56">
            <v>47</v>
          </cell>
          <cell r="C56" t="str">
            <v>Mookambikai clinical lab</v>
          </cell>
          <cell r="D56">
            <v>1</v>
          </cell>
          <cell r="E56">
            <v>35212</v>
          </cell>
          <cell r="F56">
            <v>406406</v>
          </cell>
          <cell r="G56">
            <v>0</v>
          </cell>
          <cell r="H56">
            <v>0.19320000000000001</v>
          </cell>
          <cell r="L56">
            <v>0.19320000000000001</v>
          </cell>
          <cell r="O56">
            <v>36717</v>
          </cell>
          <cell r="S56">
            <v>0</v>
          </cell>
          <cell r="T56">
            <v>175</v>
          </cell>
          <cell r="V56">
            <v>0</v>
          </cell>
          <cell r="W56">
            <v>0</v>
          </cell>
          <cell r="X56">
            <v>21.63</v>
          </cell>
          <cell r="Y56" t="str">
            <v>MED SYSTEMS</v>
          </cell>
          <cell r="Z56">
            <v>0</v>
          </cell>
          <cell r="AB56">
            <v>21.25</v>
          </cell>
          <cell r="AC56">
            <v>14.85</v>
          </cell>
          <cell r="AD56">
            <v>0.14849999999999999</v>
          </cell>
          <cell r="AE56">
            <v>1.95E-2</v>
          </cell>
          <cell r="AF56">
            <v>4.0000000000000001E-3</v>
          </cell>
          <cell r="AG56">
            <v>0.125</v>
          </cell>
        </row>
        <row r="57">
          <cell r="A57" t="str">
            <v>W00183</v>
          </cell>
          <cell r="B57">
            <v>48</v>
          </cell>
          <cell r="C57" t="str">
            <v>Okay Diagnostics</v>
          </cell>
          <cell r="D57">
            <v>1</v>
          </cell>
          <cell r="E57">
            <v>35212</v>
          </cell>
          <cell r="F57">
            <v>3195585</v>
          </cell>
          <cell r="G57">
            <v>1</v>
          </cell>
          <cell r="H57">
            <v>0.17979999999999999</v>
          </cell>
          <cell r="L57">
            <v>0.17979999999999999</v>
          </cell>
          <cell r="O57">
            <v>36661</v>
          </cell>
          <cell r="S57">
            <v>0</v>
          </cell>
          <cell r="T57">
            <v>231</v>
          </cell>
          <cell r="V57">
            <v>1</v>
          </cell>
          <cell r="W57">
            <v>0.11379123287671231</v>
          </cell>
          <cell r="X57">
            <v>21.63</v>
          </cell>
          <cell r="Y57" t="str">
            <v>MED SYSTEMS</v>
          </cell>
          <cell r="Z57">
            <v>1.8370684931506849E-2</v>
          </cell>
          <cell r="AB57">
            <v>21.25</v>
          </cell>
          <cell r="AC57">
            <v>14.85</v>
          </cell>
          <cell r="AD57">
            <v>0.14849999999999999</v>
          </cell>
          <cell r="AE57">
            <v>1.95E-2</v>
          </cell>
          <cell r="AF57">
            <v>4.0000000000000001E-3</v>
          </cell>
          <cell r="AG57">
            <v>0.125</v>
          </cell>
        </row>
        <row r="58">
          <cell r="A58" t="str">
            <v>W00199</v>
          </cell>
          <cell r="B58">
            <v>49</v>
          </cell>
          <cell r="C58" t="str">
            <v>Paravara medical  trust</v>
          </cell>
          <cell r="D58">
            <v>1</v>
          </cell>
          <cell r="E58">
            <v>35212</v>
          </cell>
          <cell r="F58">
            <v>2321391</v>
          </cell>
          <cell r="G58">
            <v>0</v>
          </cell>
          <cell r="H58">
            <v>0.16950000000000001</v>
          </cell>
          <cell r="L58">
            <v>0.16950000000000001</v>
          </cell>
          <cell r="O58">
            <v>36161</v>
          </cell>
          <cell r="S58">
            <v>0</v>
          </cell>
          <cell r="T58">
            <v>731</v>
          </cell>
          <cell r="V58">
            <v>0</v>
          </cell>
          <cell r="W58">
            <v>0</v>
          </cell>
          <cell r="X58">
            <v>0</v>
          </cell>
          <cell r="Y58" t="str">
            <v>MED SYSTEMS</v>
          </cell>
          <cell r="Z58">
            <v>0</v>
          </cell>
          <cell r="AB58">
            <v>21.25</v>
          </cell>
          <cell r="AC58">
            <v>14.85</v>
          </cell>
          <cell r="AD58">
            <v>0.14849999999999999</v>
          </cell>
          <cell r="AE58">
            <v>1.95E-2</v>
          </cell>
          <cell r="AF58">
            <v>4.0000000000000001E-3</v>
          </cell>
          <cell r="AG58">
            <v>0.125</v>
          </cell>
        </row>
        <row r="59">
          <cell r="A59" t="str">
            <v>W00063</v>
          </cell>
          <cell r="B59">
            <v>50</v>
          </cell>
          <cell r="C59" t="str">
            <v>Rukmini Scanning</v>
          </cell>
          <cell r="D59">
            <v>1</v>
          </cell>
          <cell r="E59">
            <v>35212</v>
          </cell>
          <cell r="F59">
            <v>711077</v>
          </cell>
          <cell r="G59">
            <v>-1</v>
          </cell>
          <cell r="H59">
            <v>0.18340000000000001</v>
          </cell>
          <cell r="L59">
            <v>0.18340000000000001</v>
          </cell>
          <cell r="O59">
            <v>36795</v>
          </cell>
          <cell r="S59">
            <v>0</v>
          </cell>
          <cell r="T59">
            <v>97</v>
          </cell>
          <cell r="V59">
            <v>-1</v>
          </cell>
          <cell r="W59">
            <v>-4.8739178082191789E-2</v>
          </cell>
          <cell r="X59">
            <v>21.63</v>
          </cell>
          <cell r="Y59" t="str">
            <v>MED SYSTEMS</v>
          </cell>
          <cell r="Z59">
            <v>-1.8370684931506849E-2</v>
          </cell>
          <cell r="AB59">
            <v>21.25</v>
          </cell>
          <cell r="AC59">
            <v>14.85</v>
          </cell>
          <cell r="AD59">
            <v>0.14849999999999999</v>
          </cell>
          <cell r="AE59">
            <v>1.95E-2</v>
          </cell>
          <cell r="AF59">
            <v>4.0000000000000001E-3</v>
          </cell>
          <cell r="AG59">
            <v>0.125</v>
          </cell>
        </row>
        <row r="60">
          <cell r="A60" t="str">
            <v>W00064</v>
          </cell>
          <cell r="B60">
            <v>51</v>
          </cell>
          <cell r="C60" t="str">
            <v>Sai Blood Bank</v>
          </cell>
          <cell r="D60">
            <v>1</v>
          </cell>
          <cell r="E60">
            <v>35212</v>
          </cell>
          <cell r="F60">
            <v>684108</v>
          </cell>
          <cell r="G60">
            <v>-2</v>
          </cell>
          <cell r="H60">
            <v>0.18049999999999999</v>
          </cell>
          <cell r="L60">
            <v>0.18049999999999999</v>
          </cell>
          <cell r="O60">
            <v>36722</v>
          </cell>
          <cell r="S60">
            <v>0</v>
          </cell>
          <cell r="T60">
            <v>170</v>
          </cell>
          <cell r="V60">
            <v>-2</v>
          </cell>
          <cell r="W60">
            <v>-0.16813698630136983</v>
          </cell>
          <cell r="X60">
            <v>21.63</v>
          </cell>
          <cell r="Y60" t="str">
            <v>MED SYSTEMS</v>
          </cell>
          <cell r="Z60">
            <v>-3.6741369863013698E-2</v>
          </cell>
          <cell r="AB60">
            <v>21.25</v>
          </cell>
          <cell r="AC60">
            <v>14.85</v>
          </cell>
          <cell r="AD60">
            <v>0.14849999999999999</v>
          </cell>
          <cell r="AE60">
            <v>1.95E-2</v>
          </cell>
          <cell r="AF60">
            <v>4.0000000000000001E-3</v>
          </cell>
          <cell r="AG60">
            <v>0.125</v>
          </cell>
        </row>
        <row r="61">
          <cell r="A61" t="str">
            <v>W00139</v>
          </cell>
          <cell r="B61">
            <v>52</v>
          </cell>
          <cell r="C61" t="str">
            <v>Search Diagnostics</v>
          </cell>
          <cell r="D61">
            <v>1</v>
          </cell>
          <cell r="E61">
            <v>35212</v>
          </cell>
          <cell r="F61">
            <v>7856588</v>
          </cell>
          <cell r="G61">
            <v>0</v>
          </cell>
          <cell r="H61">
            <v>0.14829999999999999</v>
          </cell>
          <cell r="L61">
            <v>0.14829999999999999</v>
          </cell>
          <cell r="O61">
            <v>35764</v>
          </cell>
          <cell r="S61">
            <v>0</v>
          </cell>
          <cell r="T61">
            <v>1128</v>
          </cell>
          <cell r="V61">
            <v>0</v>
          </cell>
          <cell r="W61">
            <v>0</v>
          </cell>
          <cell r="X61">
            <v>0</v>
          </cell>
          <cell r="Y61" t="str">
            <v>MED SYSTEMS</v>
          </cell>
          <cell r="Z61">
            <v>0</v>
          </cell>
          <cell r="AB61">
            <v>21.25</v>
          </cell>
          <cell r="AC61">
            <v>14.85</v>
          </cell>
          <cell r="AD61">
            <v>0.14849999999999999</v>
          </cell>
          <cell r="AE61">
            <v>1.95E-2</v>
          </cell>
          <cell r="AF61">
            <v>4.0000000000000001E-3</v>
          </cell>
          <cell r="AG61">
            <v>0.125</v>
          </cell>
        </row>
        <row r="62">
          <cell r="A62" t="str">
            <v>W00037</v>
          </cell>
          <cell r="B62">
            <v>53</v>
          </cell>
          <cell r="C62" t="str">
            <v>Tara Hospital</v>
          </cell>
          <cell r="D62">
            <v>1</v>
          </cell>
          <cell r="E62">
            <v>35212</v>
          </cell>
          <cell r="F62">
            <v>766180</v>
          </cell>
          <cell r="G62">
            <v>2</v>
          </cell>
          <cell r="H62">
            <v>0.21779999999999999</v>
          </cell>
          <cell r="L62">
            <v>0.21779999999999999</v>
          </cell>
          <cell r="O62">
            <v>36651</v>
          </cell>
          <cell r="S62">
            <v>0</v>
          </cell>
          <cell r="T62">
            <v>241</v>
          </cell>
          <cell r="V62">
            <v>2</v>
          </cell>
          <cell r="W62">
            <v>0.28761534246575338</v>
          </cell>
          <cell r="X62">
            <v>21.63</v>
          </cell>
          <cell r="Y62" t="str">
            <v>MED SYSTEMS</v>
          </cell>
          <cell r="Z62">
            <v>3.6741369863013698E-2</v>
          </cell>
          <cell r="AB62">
            <v>21.25</v>
          </cell>
          <cell r="AC62">
            <v>14.85</v>
          </cell>
          <cell r="AD62">
            <v>0.14849999999999999</v>
          </cell>
          <cell r="AE62">
            <v>1.95E-2</v>
          </cell>
          <cell r="AF62">
            <v>4.0000000000000001E-3</v>
          </cell>
          <cell r="AG62">
            <v>0.125</v>
          </cell>
        </row>
        <row r="63">
          <cell r="A63" t="str">
            <v>W00204</v>
          </cell>
          <cell r="B63">
            <v>54</v>
          </cell>
          <cell r="C63" t="str">
            <v xml:space="preserve">Vidarbha 3D S can </v>
          </cell>
          <cell r="D63">
            <v>1</v>
          </cell>
          <cell r="E63">
            <v>35212</v>
          </cell>
          <cell r="F63">
            <v>6649132</v>
          </cell>
          <cell r="G63">
            <v>0</v>
          </cell>
          <cell r="H63">
            <v>0.18160000000000001</v>
          </cell>
          <cell r="L63">
            <v>0.18160000000000001</v>
          </cell>
          <cell r="O63">
            <v>36666</v>
          </cell>
          <cell r="S63">
            <v>0</v>
          </cell>
          <cell r="T63">
            <v>226</v>
          </cell>
          <cell r="V63">
            <v>0</v>
          </cell>
          <cell r="W63">
            <v>0</v>
          </cell>
          <cell r="X63">
            <v>21.63</v>
          </cell>
          <cell r="Y63" t="str">
            <v>MED SYSTEMS</v>
          </cell>
          <cell r="Z63">
            <v>0</v>
          </cell>
          <cell r="AB63">
            <v>21.25</v>
          </cell>
          <cell r="AC63">
            <v>14.85</v>
          </cell>
          <cell r="AD63">
            <v>0.14849999999999999</v>
          </cell>
          <cell r="AE63">
            <v>1.95E-2</v>
          </cell>
          <cell r="AF63">
            <v>4.0000000000000001E-3</v>
          </cell>
          <cell r="AG63">
            <v>0.125</v>
          </cell>
        </row>
        <row r="64">
          <cell r="A64" t="str">
            <v>W00178</v>
          </cell>
          <cell r="B64">
            <v>55</v>
          </cell>
          <cell r="C64" t="str">
            <v>Woodland Nursing Home</v>
          </cell>
          <cell r="D64">
            <v>1</v>
          </cell>
          <cell r="E64">
            <v>35212</v>
          </cell>
          <cell r="F64">
            <v>8027697</v>
          </cell>
          <cell r="G64">
            <v>-1</v>
          </cell>
          <cell r="H64">
            <v>0.1469</v>
          </cell>
          <cell r="L64">
            <v>0.1469</v>
          </cell>
          <cell r="O64">
            <v>36692</v>
          </cell>
          <cell r="S64">
            <v>0</v>
          </cell>
          <cell r="T64">
            <v>200</v>
          </cell>
          <cell r="V64">
            <v>-1</v>
          </cell>
          <cell r="W64">
            <v>-8.04931506849315E-2</v>
          </cell>
          <cell r="X64">
            <v>21.63</v>
          </cell>
          <cell r="Y64" t="str">
            <v>MED SYSTEMS</v>
          </cell>
          <cell r="Z64">
            <v>-1.8370684931506849E-2</v>
          </cell>
          <cell r="AB64">
            <v>21.25</v>
          </cell>
          <cell r="AC64">
            <v>14.85</v>
          </cell>
          <cell r="AD64">
            <v>0.14849999999999999</v>
          </cell>
          <cell r="AE64">
            <v>1.95E-2</v>
          </cell>
          <cell r="AF64">
            <v>4.0000000000000001E-3</v>
          </cell>
          <cell r="AG64">
            <v>0.125</v>
          </cell>
        </row>
        <row r="65">
          <cell r="A65" t="str">
            <v>W00130</v>
          </cell>
          <cell r="B65">
            <v>56</v>
          </cell>
          <cell r="C65" t="str">
            <v>Advanced Medicare &amp; Research</v>
          </cell>
          <cell r="D65">
            <v>1</v>
          </cell>
          <cell r="E65">
            <v>35328</v>
          </cell>
          <cell r="F65">
            <v>12766593</v>
          </cell>
          <cell r="G65">
            <v>1861460</v>
          </cell>
          <cell r="H65">
            <v>0.16850000000000001</v>
          </cell>
          <cell r="L65">
            <v>0.16850000000000001</v>
          </cell>
          <cell r="O65">
            <v>36824</v>
          </cell>
          <cell r="S65">
            <v>0</v>
          </cell>
          <cell r="T65">
            <v>68</v>
          </cell>
          <cell r="V65">
            <v>1861460</v>
          </cell>
          <cell r="W65">
            <v>58434.54432876713</v>
          </cell>
          <cell r="X65">
            <v>20.21</v>
          </cell>
          <cell r="Y65" t="str">
            <v>MED SYSTEMS</v>
          </cell>
          <cell r="Z65">
            <v>31951.323413698632</v>
          </cell>
          <cell r="AB65">
            <v>19.86</v>
          </cell>
          <cell r="AC65">
            <v>14.85</v>
          </cell>
          <cell r="AD65">
            <v>0.14849999999999999</v>
          </cell>
          <cell r="AE65">
            <v>1.95E-2</v>
          </cell>
          <cell r="AF65">
            <v>4.0000000000000001E-3</v>
          </cell>
          <cell r="AG65">
            <v>0.125</v>
          </cell>
        </row>
        <row r="66">
          <cell r="A66" t="str">
            <v>W00177</v>
          </cell>
          <cell r="B66">
            <v>57</v>
          </cell>
          <cell r="C66" t="str">
            <v>AG Neuro Hospital</v>
          </cell>
          <cell r="D66">
            <v>1</v>
          </cell>
          <cell r="E66">
            <v>35328</v>
          </cell>
          <cell r="F66">
            <v>514300</v>
          </cell>
          <cell r="G66">
            <v>0</v>
          </cell>
          <cell r="H66">
            <v>0.18099999999999999</v>
          </cell>
          <cell r="L66">
            <v>0.18099999999999999</v>
          </cell>
          <cell r="O66">
            <v>36114</v>
          </cell>
          <cell r="S66">
            <v>0</v>
          </cell>
          <cell r="T66">
            <v>778</v>
          </cell>
          <cell r="V66">
            <v>0</v>
          </cell>
          <cell r="W66">
            <v>0</v>
          </cell>
          <cell r="X66">
            <v>0</v>
          </cell>
          <cell r="Y66" t="str">
            <v>MED SYSTEMS</v>
          </cell>
          <cell r="Z66">
            <v>0</v>
          </cell>
          <cell r="AB66">
            <v>19.86</v>
          </cell>
          <cell r="AC66">
            <v>14.85</v>
          </cell>
          <cell r="AD66">
            <v>0.14849999999999999</v>
          </cell>
          <cell r="AE66">
            <v>1.95E-2</v>
          </cell>
          <cell r="AF66">
            <v>4.0000000000000001E-3</v>
          </cell>
          <cell r="AG66">
            <v>0.125</v>
          </cell>
        </row>
        <row r="67">
          <cell r="A67" t="str">
            <v>W00005</v>
          </cell>
          <cell r="B67">
            <v>58</v>
          </cell>
          <cell r="C67" t="str">
            <v>Amrit Heart Scan -1</v>
          </cell>
          <cell r="D67">
            <v>1</v>
          </cell>
          <cell r="E67">
            <v>35328</v>
          </cell>
          <cell r="F67">
            <v>3800610</v>
          </cell>
          <cell r="G67">
            <v>1020890</v>
          </cell>
          <cell r="H67">
            <v>0.1968</v>
          </cell>
          <cell r="L67">
            <v>0.1968</v>
          </cell>
          <cell r="O67">
            <v>36860</v>
          </cell>
          <cell r="P67">
            <v>36890</v>
          </cell>
          <cell r="Q67">
            <v>102141</v>
          </cell>
          <cell r="R67">
            <v>85628</v>
          </cell>
          <cell r="S67">
            <v>16513</v>
          </cell>
          <cell r="T67">
            <v>2</v>
          </cell>
          <cell r="V67">
            <v>935262</v>
          </cell>
          <cell r="W67">
            <v>1008.5455430136985</v>
          </cell>
          <cell r="X67">
            <v>20.21</v>
          </cell>
          <cell r="Y67" t="str">
            <v>MED SYSTEMS</v>
          </cell>
          <cell r="Z67">
            <v>16053.451934794521</v>
          </cell>
          <cell r="AB67">
            <v>19.86</v>
          </cell>
          <cell r="AC67">
            <v>14.85</v>
          </cell>
          <cell r="AD67">
            <v>0.14849999999999999</v>
          </cell>
          <cell r="AE67">
            <v>1.95E-2</v>
          </cell>
          <cell r="AF67">
            <v>4.0000000000000001E-3</v>
          </cell>
          <cell r="AG67">
            <v>0.125</v>
          </cell>
        </row>
        <row r="68">
          <cell r="A68" t="str">
            <v>W00034</v>
          </cell>
          <cell r="B68">
            <v>59</v>
          </cell>
          <cell r="C68" t="str">
            <v>Amrit Heart Scan -2</v>
          </cell>
          <cell r="D68">
            <v>2</v>
          </cell>
          <cell r="E68">
            <v>35328</v>
          </cell>
          <cell r="F68">
            <v>561890</v>
          </cell>
          <cell r="G68">
            <v>150934</v>
          </cell>
          <cell r="H68">
            <v>0.1968</v>
          </cell>
          <cell r="L68">
            <v>0.1968</v>
          </cell>
          <cell r="O68">
            <v>36860</v>
          </cell>
          <cell r="P68">
            <v>36890</v>
          </cell>
          <cell r="Q68">
            <v>15101</v>
          </cell>
          <cell r="R68">
            <v>12660</v>
          </cell>
          <cell r="S68">
            <v>2441</v>
          </cell>
          <cell r="T68">
            <v>2</v>
          </cell>
          <cell r="V68">
            <v>138274</v>
          </cell>
          <cell r="W68">
            <v>149.1086202739726</v>
          </cell>
          <cell r="X68">
            <v>20.21</v>
          </cell>
          <cell r="Y68" t="str">
            <v>MED SYSTEMS</v>
          </cell>
          <cell r="Z68">
            <v>2373.4258558904112</v>
          </cell>
          <cell r="AB68">
            <v>19.86</v>
          </cell>
          <cell r="AC68">
            <v>14.85</v>
          </cell>
          <cell r="AD68">
            <v>0.14849999999999999</v>
          </cell>
          <cell r="AE68">
            <v>1.95E-2</v>
          </cell>
          <cell r="AF68">
            <v>4.0000000000000001E-3</v>
          </cell>
          <cell r="AG68">
            <v>0.125</v>
          </cell>
        </row>
        <row r="69">
          <cell r="A69" t="str">
            <v>W00046</v>
          </cell>
          <cell r="B69">
            <v>60</v>
          </cell>
          <cell r="C69" t="str">
            <v>Bara Thakur</v>
          </cell>
          <cell r="D69">
            <v>1</v>
          </cell>
          <cell r="E69">
            <v>35328</v>
          </cell>
          <cell r="F69">
            <v>720949</v>
          </cell>
          <cell r="G69">
            <v>107937</v>
          </cell>
          <cell r="H69">
            <v>0.18360000000000001</v>
          </cell>
          <cell r="L69">
            <v>0.18360000000000001</v>
          </cell>
          <cell r="O69">
            <v>36794</v>
          </cell>
          <cell r="P69">
            <v>36885</v>
          </cell>
          <cell r="Q69">
            <v>57688</v>
          </cell>
          <cell r="R69">
            <v>52747</v>
          </cell>
          <cell r="S69">
            <v>4941</v>
          </cell>
          <cell r="T69">
            <v>7</v>
          </cell>
          <cell r="V69">
            <v>55190</v>
          </cell>
          <cell r="W69">
            <v>194.32928219178086</v>
          </cell>
          <cell r="X69">
            <v>20.21</v>
          </cell>
          <cell r="Y69" t="str">
            <v>MED SYSTEMS</v>
          </cell>
          <cell r="Z69">
            <v>947.31744931506864</v>
          </cell>
          <cell r="AB69">
            <v>19.86</v>
          </cell>
          <cell r="AC69">
            <v>14.85</v>
          </cell>
          <cell r="AD69">
            <v>0.14849999999999999</v>
          </cell>
          <cell r="AE69">
            <v>1.95E-2</v>
          </cell>
          <cell r="AF69">
            <v>4.0000000000000001E-3</v>
          </cell>
          <cell r="AG69">
            <v>0.125</v>
          </cell>
        </row>
        <row r="70">
          <cell r="A70" t="str">
            <v>W00045</v>
          </cell>
          <cell r="B70">
            <v>61</v>
          </cell>
          <cell r="C70" t="str">
            <v>Central Polyclinic</v>
          </cell>
          <cell r="D70">
            <v>1</v>
          </cell>
          <cell r="E70">
            <v>35328</v>
          </cell>
          <cell r="F70">
            <v>476458</v>
          </cell>
          <cell r="G70">
            <v>73921</v>
          </cell>
          <cell r="H70">
            <v>0.20469999999999999</v>
          </cell>
          <cell r="L70">
            <v>0.20469999999999999</v>
          </cell>
          <cell r="O70">
            <v>36838</v>
          </cell>
          <cell r="S70">
            <v>0</v>
          </cell>
          <cell r="T70">
            <v>54</v>
          </cell>
          <cell r="V70">
            <v>73921</v>
          </cell>
          <cell r="W70">
            <v>2238.6519172602739</v>
          </cell>
          <cell r="X70">
            <v>20.21</v>
          </cell>
          <cell r="Y70" t="str">
            <v>MED SYSTEMS</v>
          </cell>
          <cell r="Z70">
            <v>1268.8286495890413</v>
          </cell>
          <cell r="AB70">
            <v>19.86</v>
          </cell>
          <cell r="AC70">
            <v>14.85</v>
          </cell>
          <cell r="AD70">
            <v>0.14849999999999999</v>
          </cell>
          <cell r="AE70">
            <v>1.95E-2</v>
          </cell>
          <cell r="AF70">
            <v>4.0000000000000001E-3</v>
          </cell>
          <cell r="AG70">
            <v>0.125</v>
          </cell>
        </row>
        <row r="71">
          <cell r="A71" t="str">
            <v>W00068</v>
          </cell>
          <cell r="B71">
            <v>62</v>
          </cell>
          <cell r="C71" t="str">
            <v>Dhande Diagnostic Research (foreclosed in aug 99)</v>
          </cell>
          <cell r="D71">
            <v>1</v>
          </cell>
          <cell r="E71">
            <v>35328</v>
          </cell>
          <cell r="F71">
            <v>8301017</v>
          </cell>
          <cell r="G71">
            <v>-2</v>
          </cell>
          <cell r="H71">
            <v>0.2092</v>
          </cell>
          <cell r="L71">
            <v>0.2092</v>
          </cell>
          <cell r="O71">
            <v>36295</v>
          </cell>
          <cell r="S71">
            <v>0</v>
          </cell>
          <cell r="T71">
            <v>597</v>
          </cell>
          <cell r="V71">
            <v>-2</v>
          </cell>
          <cell r="W71">
            <v>-0.68434191780821918</v>
          </cell>
          <cell r="X71">
            <v>20.21</v>
          </cell>
          <cell r="Y71" t="str">
            <v>MED SYSTEMS</v>
          </cell>
          <cell r="Z71">
            <v>-3.4329315068493155E-2</v>
          </cell>
          <cell r="AB71">
            <v>19.86</v>
          </cell>
          <cell r="AC71">
            <v>14.85</v>
          </cell>
          <cell r="AD71">
            <v>0.14849999999999999</v>
          </cell>
          <cell r="AE71">
            <v>1.95E-2</v>
          </cell>
          <cell r="AF71">
            <v>4.0000000000000001E-3</v>
          </cell>
          <cell r="AG71">
            <v>0.125</v>
          </cell>
        </row>
        <row r="72">
          <cell r="A72" t="str">
            <v>W00024</v>
          </cell>
          <cell r="B72">
            <v>63</v>
          </cell>
          <cell r="C72" t="str">
            <v>Amar Jawalkar</v>
          </cell>
          <cell r="D72">
            <v>1</v>
          </cell>
          <cell r="E72">
            <v>35328</v>
          </cell>
          <cell r="F72">
            <v>444417</v>
          </cell>
          <cell r="G72">
            <v>35785</v>
          </cell>
          <cell r="H72">
            <v>0.19320000000000001</v>
          </cell>
          <cell r="L72">
            <v>0.19320000000000001</v>
          </cell>
          <cell r="O72">
            <v>36845</v>
          </cell>
          <cell r="S72">
            <v>0</v>
          </cell>
          <cell r="T72">
            <v>47</v>
          </cell>
          <cell r="V72">
            <v>35785</v>
          </cell>
          <cell r="W72">
            <v>890.25236712328774</v>
          </cell>
          <cell r="X72">
            <v>20.21</v>
          </cell>
          <cell r="Y72" t="str">
            <v>MED SYSTEMS</v>
          </cell>
          <cell r="Z72">
            <v>614.23726986301358</v>
          </cell>
          <cell r="AA72">
            <v>400766.08929863019</v>
          </cell>
          <cell r="AB72">
            <v>19.86</v>
          </cell>
          <cell r="AC72">
            <v>14.85</v>
          </cell>
          <cell r="AD72">
            <v>0.14849999999999999</v>
          </cell>
          <cell r="AE72">
            <v>1.95E-2</v>
          </cell>
          <cell r="AF72">
            <v>4.0000000000000001E-3</v>
          </cell>
          <cell r="AG72">
            <v>0.125</v>
          </cell>
        </row>
        <row r="73">
          <cell r="A73" t="str">
            <v>W00180</v>
          </cell>
          <cell r="B73">
            <v>64</v>
          </cell>
          <cell r="C73" t="str">
            <v>B K Patnaik</v>
          </cell>
          <cell r="D73">
            <v>1</v>
          </cell>
          <cell r="E73">
            <v>35328</v>
          </cell>
          <cell r="F73">
            <v>657151</v>
          </cell>
          <cell r="G73">
            <v>0</v>
          </cell>
          <cell r="H73">
            <v>0.1852</v>
          </cell>
          <cell r="L73">
            <v>0.1852</v>
          </cell>
          <cell r="O73">
            <v>36811</v>
          </cell>
          <cell r="S73">
            <v>0</v>
          </cell>
          <cell r="T73">
            <v>81</v>
          </cell>
          <cell r="V73">
            <v>0</v>
          </cell>
          <cell r="W73">
            <v>0</v>
          </cell>
          <cell r="X73">
            <v>20.21</v>
          </cell>
          <cell r="Y73" t="str">
            <v>MED SYSTEMS</v>
          </cell>
          <cell r="Z73">
            <v>0</v>
          </cell>
          <cell r="AA73">
            <v>2102.4715068493151</v>
          </cell>
          <cell r="AB73">
            <v>19.86</v>
          </cell>
          <cell r="AC73">
            <v>14.85</v>
          </cell>
          <cell r="AD73">
            <v>0.14849999999999999</v>
          </cell>
          <cell r="AE73">
            <v>1.95E-2</v>
          </cell>
          <cell r="AF73">
            <v>4.0000000000000001E-3</v>
          </cell>
          <cell r="AG73">
            <v>0.125</v>
          </cell>
        </row>
        <row r="74">
          <cell r="A74" t="str">
            <v>W00110</v>
          </cell>
          <cell r="B74">
            <v>65</v>
          </cell>
          <cell r="C74" t="str">
            <v>D Chawla</v>
          </cell>
          <cell r="D74">
            <v>1</v>
          </cell>
          <cell r="E74">
            <v>35328</v>
          </cell>
          <cell r="F74">
            <v>862218</v>
          </cell>
          <cell r="G74">
            <v>70915</v>
          </cell>
          <cell r="H74">
            <v>0.18379999999999999</v>
          </cell>
          <cell r="L74">
            <v>0.18379999999999999</v>
          </cell>
          <cell r="O74">
            <v>36776</v>
          </cell>
          <cell r="P74">
            <v>36867</v>
          </cell>
          <cell r="Q74">
            <v>74165</v>
          </cell>
          <cell r="R74">
            <v>70915</v>
          </cell>
          <cell r="S74">
            <v>3250</v>
          </cell>
          <cell r="T74">
            <v>25</v>
          </cell>
          <cell r="V74">
            <v>0</v>
          </cell>
          <cell r="W74">
            <v>0</v>
          </cell>
          <cell r="X74">
            <v>20.21</v>
          </cell>
          <cell r="Y74" t="str">
            <v>MED SYSTEMS</v>
          </cell>
          <cell r="Z74">
            <v>0</v>
          </cell>
          <cell r="AA74">
            <v>11056.120895342467</v>
          </cell>
          <cell r="AB74">
            <v>19.86</v>
          </cell>
          <cell r="AC74">
            <v>14.85</v>
          </cell>
          <cell r="AD74">
            <v>0.14849999999999999</v>
          </cell>
          <cell r="AE74">
            <v>1.95E-2</v>
          </cell>
          <cell r="AF74">
            <v>4.0000000000000001E-3</v>
          </cell>
          <cell r="AG74">
            <v>0.125</v>
          </cell>
        </row>
        <row r="75">
          <cell r="A75" t="str">
            <v>W00092</v>
          </cell>
          <cell r="B75">
            <v>66</v>
          </cell>
          <cell r="C75" t="str">
            <v>Jayesh Solanki</v>
          </cell>
          <cell r="D75">
            <v>1</v>
          </cell>
          <cell r="E75">
            <v>35328</v>
          </cell>
          <cell r="F75">
            <v>494021</v>
          </cell>
          <cell r="G75">
            <v>44316</v>
          </cell>
          <cell r="H75">
            <v>0.2006</v>
          </cell>
          <cell r="L75">
            <v>0.2006</v>
          </cell>
          <cell r="O75">
            <v>36854</v>
          </cell>
          <cell r="S75">
            <v>0</v>
          </cell>
          <cell r="T75">
            <v>38</v>
          </cell>
          <cell r="V75">
            <v>44316</v>
          </cell>
          <cell r="W75">
            <v>925.51234191780816</v>
          </cell>
          <cell r="X75">
            <v>20.21</v>
          </cell>
          <cell r="Y75" t="str">
            <v>MED SYSTEMS</v>
          </cell>
          <cell r="Z75">
            <v>760.6689632876712</v>
          </cell>
          <cell r="AB75">
            <v>19.86</v>
          </cell>
          <cell r="AC75">
            <v>14.85</v>
          </cell>
          <cell r="AD75">
            <v>0.14849999999999999</v>
          </cell>
          <cell r="AE75">
            <v>1.95E-2</v>
          </cell>
          <cell r="AF75">
            <v>4.0000000000000001E-3</v>
          </cell>
          <cell r="AG75">
            <v>0.125</v>
          </cell>
        </row>
        <row r="76">
          <cell r="A76" t="str">
            <v>W00113</v>
          </cell>
          <cell r="B76">
            <v>67</v>
          </cell>
          <cell r="C76" t="str">
            <v>K ishore P Kedkar</v>
          </cell>
          <cell r="D76">
            <v>1</v>
          </cell>
          <cell r="E76">
            <v>35328</v>
          </cell>
          <cell r="F76">
            <v>1396285</v>
          </cell>
          <cell r="G76">
            <v>0</v>
          </cell>
          <cell r="H76">
            <v>0.20180000000000001</v>
          </cell>
          <cell r="L76">
            <v>0.20180000000000001</v>
          </cell>
          <cell r="O76">
            <v>36100</v>
          </cell>
          <cell r="S76">
            <v>0</v>
          </cell>
          <cell r="T76">
            <v>792</v>
          </cell>
          <cell r="V76">
            <v>0</v>
          </cell>
          <cell r="W76">
            <v>0</v>
          </cell>
          <cell r="X76">
            <v>0</v>
          </cell>
          <cell r="Y76" t="str">
            <v>MED SYSTEMS</v>
          </cell>
          <cell r="Z76">
            <v>0</v>
          </cell>
          <cell r="AA76">
            <v>285.24341095890412</v>
          </cell>
          <cell r="AB76">
            <v>19.86</v>
          </cell>
          <cell r="AC76">
            <v>14.85</v>
          </cell>
          <cell r="AD76">
            <v>0.14849999999999999</v>
          </cell>
          <cell r="AE76">
            <v>1.95E-2</v>
          </cell>
          <cell r="AF76">
            <v>4.0000000000000001E-3</v>
          </cell>
          <cell r="AG76">
            <v>0.125</v>
          </cell>
        </row>
        <row r="77">
          <cell r="A77" t="str">
            <v>W00124</v>
          </cell>
          <cell r="B77">
            <v>68</v>
          </cell>
          <cell r="C77" t="str">
            <v>K M Thomas</v>
          </cell>
          <cell r="D77">
            <v>1</v>
          </cell>
          <cell r="E77">
            <v>35328</v>
          </cell>
          <cell r="F77">
            <v>854849</v>
          </cell>
          <cell r="G77">
            <v>1</v>
          </cell>
          <cell r="H77">
            <v>0.1837</v>
          </cell>
          <cell r="L77">
            <v>0.1837</v>
          </cell>
          <cell r="O77">
            <v>36860</v>
          </cell>
          <cell r="S77">
            <v>0</v>
          </cell>
          <cell r="T77">
            <v>32</v>
          </cell>
          <cell r="V77">
            <v>1</v>
          </cell>
          <cell r="W77">
            <v>1.6105205479452055E-2</v>
          </cell>
          <cell r="X77">
            <v>20.21</v>
          </cell>
          <cell r="Y77" t="str">
            <v>MED SYSTEMS</v>
          </cell>
          <cell r="Z77">
            <v>1.7164657534246577E-2</v>
          </cell>
          <cell r="AA77">
            <v>7328.2224361643839</v>
          </cell>
          <cell r="AB77">
            <v>19.86</v>
          </cell>
          <cell r="AC77">
            <v>14.85</v>
          </cell>
          <cell r="AD77">
            <v>0.14849999999999999</v>
          </cell>
          <cell r="AE77">
            <v>1.95E-2</v>
          </cell>
          <cell r="AF77">
            <v>4.0000000000000001E-3</v>
          </cell>
          <cell r="AG77">
            <v>0.125</v>
          </cell>
        </row>
        <row r="78">
          <cell r="A78" t="str">
            <v>W00029</v>
          </cell>
          <cell r="B78">
            <v>69</v>
          </cell>
          <cell r="C78" t="str">
            <v>Meenakshi Das</v>
          </cell>
          <cell r="D78">
            <v>1</v>
          </cell>
          <cell r="E78">
            <v>35328</v>
          </cell>
          <cell r="F78">
            <v>666155</v>
          </cell>
          <cell r="G78">
            <v>71557</v>
          </cell>
          <cell r="H78">
            <v>0.19289999999999999</v>
          </cell>
          <cell r="L78">
            <v>0.19289999999999999</v>
          </cell>
          <cell r="O78">
            <v>36799</v>
          </cell>
          <cell r="P78">
            <v>36890</v>
          </cell>
          <cell r="Q78">
            <v>75000</v>
          </cell>
          <cell r="R78">
            <v>71559</v>
          </cell>
          <cell r="S78">
            <v>3441</v>
          </cell>
          <cell r="T78">
            <v>2</v>
          </cell>
          <cell r="V78">
            <v>-2</v>
          </cell>
          <cell r="W78">
            <v>-2.1139726027397257E-3</v>
          </cell>
          <cell r="X78">
            <v>20.21</v>
          </cell>
          <cell r="Y78" t="str">
            <v>MED SYSTEMS</v>
          </cell>
          <cell r="Z78">
            <v>-3.4329315068493155E-2</v>
          </cell>
          <cell r="AA78">
            <v>15119.2691</v>
          </cell>
          <cell r="AB78">
            <v>19.86</v>
          </cell>
          <cell r="AC78">
            <v>14.85</v>
          </cell>
          <cell r="AD78">
            <v>0.14849999999999999</v>
          </cell>
          <cell r="AE78">
            <v>1.95E-2</v>
          </cell>
          <cell r="AF78">
            <v>4.0000000000000001E-3</v>
          </cell>
          <cell r="AG78">
            <v>0.125</v>
          </cell>
        </row>
        <row r="79">
          <cell r="A79" t="str">
            <v>W00094</v>
          </cell>
          <cell r="B79">
            <v>70</v>
          </cell>
          <cell r="C79" t="str">
            <v>S K Aggarwal</v>
          </cell>
          <cell r="D79">
            <v>1</v>
          </cell>
          <cell r="E79">
            <v>35328</v>
          </cell>
          <cell r="F79">
            <v>1533064</v>
          </cell>
          <cell r="G79">
            <v>0</v>
          </cell>
          <cell r="H79">
            <v>0.16900000000000001</v>
          </cell>
          <cell r="L79">
            <v>0.16900000000000001</v>
          </cell>
          <cell r="O79">
            <v>36061</v>
          </cell>
          <cell r="S79">
            <v>0</v>
          </cell>
          <cell r="T79">
            <v>831</v>
          </cell>
          <cell r="V79">
            <v>0</v>
          </cell>
          <cell r="W79">
            <v>0</v>
          </cell>
          <cell r="X79">
            <v>0</v>
          </cell>
          <cell r="Y79" t="str">
            <v>MED SYSTEMS</v>
          </cell>
          <cell r="Z79">
            <v>0</v>
          </cell>
          <cell r="AA79">
            <v>206478.6493150685</v>
          </cell>
          <cell r="AB79">
            <v>19.86</v>
          </cell>
          <cell r="AC79">
            <v>14.85</v>
          </cell>
          <cell r="AD79">
            <v>0.14849999999999999</v>
          </cell>
          <cell r="AE79">
            <v>1.95E-2</v>
          </cell>
          <cell r="AF79">
            <v>4.0000000000000001E-3</v>
          </cell>
          <cell r="AG79">
            <v>0.125</v>
          </cell>
        </row>
        <row r="80">
          <cell r="A80" t="str">
            <v>W00114</v>
          </cell>
          <cell r="B80">
            <v>71</v>
          </cell>
          <cell r="C80" t="str">
            <v>S V K Reddy</v>
          </cell>
          <cell r="D80">
            <v>1</v>
          </cell>
          <cell r="E80">
            <v>35328</v>
          </cell>
          <cell r="F80">
            <v>442705</v>
          </cell>
          <cell r="G80">
            <v>0</v>
          </cell>
          <cell r="H80">
            <v>0.1908</v>
          </cell>
          <cell r="L80">
            <v>0.1908</v>
          </cell>
          <cell r="O80">
            <v>35774</v>
          </cell>
          <cell r="S80">
            <v>0</v>
          </cell>
          <cell r="T80">
            <v>1118</v>
          </cell>
          <cell r="V80">
            <v>0</v>
          </cell>
          <cell r="W80">
            <v>0</v>
          </cell>
          <cell r="X80">
            <v>0</v>
          </cell>
          <cell r="Y80" t="str">
            <v>MED SYSTEMS</v>
          </cell>
          <cell r="Z80">
            <v>0</v>
          </cell>
          <cell r="AB80">
            <v>19.86</v>
          </cell>
          <cell r="AC80">
            <v>14.85</v>
          </cell>
          <cell r="AD80">
            <v>0.14849999999999999</v>
          </cell>
          <cell r="AE80">
            <v>1.95E-2</v>
          </cell>
          <cell r="AF80">
            <v>4.0000000000000001E-3</v>
          </cell>
          <cell r="AG80">
            <v>0.125</v>
          </cell>
        </row>
        <row r="81">
          <cell r="A81" t="str">
            <v>W00187</v>
          </cell>
          <cell r="B81">
            <v>72</v>
          </cell>
          <cell r="C81" t="str">
            <v>R N Panda</v>
          </cell>
          <cell r="D81">
            <v>1</v>
          </cell>
          <cell r="E81">
            <v>35328</v>
          </cell>
          <cell r="F81">
            <v>684597</v>
          </cell>
          <cell r="G81">
            <v>54229</v>
          </cell>
          <cell r="H81">
            <v>0.18360000000000001</v>
          </cell>
          <cell r="L81">
            <v>0.18360000000000001</v>
          </cell>
          <cell r="O81">
            <v>36799</v>
          </cell>
          <cell r="P81">
            <v>36890</v>
          </cell>
          <cell r="Q81">
            <v>56713</v>
          </cell>
          <cell r="R81">
            <v>54230</v>
          </cell>
          <cell r="S81">
            <v>2483</v>
          </cell>
          <cell r="T81">
            <v>2</v>
          </cell>
          <cell r="V81">
            <v>-1</v>
          </cell>
          <cell r="W81">
            <v>-1.006027397260274E-3</v>
          </cell>
          <cell r="X81">
            <v>20.21</v>
          </cell>
          <cell r="Y81" t="str">
            <v>MED SYSTEMS</v>
          </cell>
          <cell r="Z81">
            <v>-1.7164657534246577E-2</v>
          </cell>
          <cell r="AB81">
            <v>19.86</v>
          </cell>
          <cell r="AC81">
            <v>14.85</v>
          </cell>
          <cell r="AD81">
            <v>0.14849999999999999</v>
          </cell>
          <cell r="AE81">
            <v>1.95E-2</v>
          </cell>
          <cell r="AF81">
            <v>4.0000000000000001E-3</v>
          </cell>
          <cell r="AG81">
            <v>0.125</v>
          </cell>
        </row>
        <row r="82">
          <cell r="A82" t="str">
            <v>W00186</v>
          </cell>
          <cell r="B82">
            <v>73</v>
          </cell>
          <cell r="C82" t="str">
            <v>Gulab Yadav</v>
          </cell>
          <cell r="D82">
            <v>1</v>
          </cell>
          <cell r="E82">
            <v>35328</v>
          </cell>
          <cell r="F82">
            <v>687751</v>
          </cell>
          <cell r="G82">
            <v>56694</v>
          </cell>
          <cell r="H82">
            <v>0.1852</v>
          </cell>
          <cell r="L82">
            <v>0.1852</v>
          </cell>
          <cell r="O82">
            <v>36779</v>
          </cell>
          <cell r="P82">
            <v>36870</v>
          </cell>
          <cell r="Q82">
            <v>59312</v>
          </cell>
          <cell r="R82">
            <v>56695</v>
          </cell>
          <cell r="S82">
            <v>2617</v>
          </cell>
          <cell r="T82">
            <v>22</v>
          </cell>
          <cell r="V82">
            <v>-1</v>
          </cell>
          <cell r="W82">
            <v>-1.1162739726027398E-2</v>
          </cell>
          <cell r="X82">
            <v>20.21</v>
          </cell>
          <cell r="Y82" t="str">
            <v>MED SYSTEMS</v>
          </cell>
          <cell r="Z82">
            <v>-1.7164657534246577E-2</v>
          </cell>
          <cell r="AB82">
            <v>19.86</v>
          </cell>
          <cell r="AC82">
            <v>14.85</v>
          </cell>
          <cell r="AD82">
            <v>0.14849999999999999</v>
          </cell>
          <cell r="AE82">
            <v>1.95E-2</v>
          </cell>
          <cell r="AF82">
            <v>4.0000000000000001E-3</v>
          </cell>
          <cell r="AG82">
            <v>0.125</v>
          </cell>
        </row>
        <row r="83">
          <cell r="A83" t="str">
            <v>W00150</v>
          </cell>
          <cell r="B83">
            <v>74</v>
          </cell>
          <cell r="C83" t="str">
            <v>Guru XRay</v>
          </cell>
          <cell r="D83">
            <v>1</v>
          </cell>
          <cell r="E83">
            <v>35328</v>
          </cell>
          <cell r="F83">
            <v>3303612</v>
          </cell>
          <cell r="G83">
            <v>261513</v>
          </cell>
          <cell r="H83">
            <v>0.18329999999999999</v>
          </cell>
          <cell r="L83">
            <v>0.18329999999999999</v>
          </cell>
          <cell r="O83">
            <v>36817</v>
          </cell>
          <cell r="S83">
            <v>0</v>
          </cell>
          <cell r="T83">
            <v>75</v>
          </cell>
          <cell r="V83">
            <v>261513</v>
          </cell>
          <cell r="W83">
            <v>9849.7259383561632</v>
          </cell>
          <cell r="X83">
            <v>20.21</v>
          </cell>
          <cell r="Y83" t="str">
            <v>MED SYSTEMS</v>
          </cell>
          <cell r="Z83">
            <v>4488.781085753425</v>
          </cell>
          <cell r="AB83">
            <v>19.86</v>
          </cell>
          <cell r="AC83">
            <v>14.85</v>
          </cell>
          <cell r="AD83">
            <v>0.14849999999999999</v>
          </cell>
          <cell r="AE83">
            <v>1.95E-2</v>
          </cell>
          <cell r="AF83">
            <v>4.0000000000000001E-3</v>
          </cell>
          <cell r="AG83">
            <v>0.125</v>
          </cell>
        </row>
        <row r="84">
          <cell r="A84" t="str">
            <v>W00146</v>
          </cell>
          <cell r="B84">
            <v>75</v>
          </cell>
          <cell r="C84" t="str">
            <v>Guwahati Diagnostic Centre</v>
          </cell>
          <cell r="D84">
            <v>1</v>
          </cell>
          <cell r="E84">
            <v>35328</v>
          </cell>
          <cell r="F84">
            <v>1549547</v>
          </cell>
          <cell r="G84">
            <v>121603</v>
          </cell>
          <cell r="H84">
            <v>0.1835</v>
          </cell>
          <cell r="L84">
            <v>0.1835</v>
          </cell>
          <cell r="O84">
            <v>36798</v>
          </cell>
          <cell r="P84">
            <v>36889</v>
          </cell>
          <cell r="Q84">
            <v>127165</v>
          </cell>
          <cell r="R84">
            <v>121603</v>
          </cell>
          <cell r="S84">
            <v>5562</v>
          </cell>
          <cell r="T84">
            <v>3</v>
          </cell>
          <cell r="V84">
            <v>0</v>
          </cell>
          <cell r="W84">
            <v>0</v>
          </cell>
          <cell r="X84">
            <v>20.21</v>
          </cell>
          <cell r="Y84" t="str">
            <v>MED SYSTEMS</v>
          </cell>
          <cell r="Z84">
            <v>0</v>
          </cell>
          <cell r="AB84">
            <v>19.86</v>
          </cell>
          <cell r="AC84">
            <v>14.85</v>
          </cell>
          <cell r="AD84">
            <v>0.14849999999999999</v>
          </cell>
          <cell r="AE84">
            <v>1.95E-2</v>
          </cell>
          <cell r="AF84">
            <v>4.0000000000000001E-3</v>
          </cell>
          <cell r="AG84">
            <v>0.125</v>
          </cell>
        </row>
        <row r="85">
          <cell r="A85" t="str">
            <v>W00147</v>
          </cell>
          <cell r="B85">
            <v>76</v>
          </cell>
          <cell r="C85" t="str">
            <v>Hakim Kishori Lal Hospital</v>
          </cell>
          <cell r="D85">
            <v>1</v>
          </cell>
          <cell r="E85">
            <v>35328</v>
          </cell>
          <cell r="F85">
            <v>701269</v>
          </cell>
          <cell r="G85">
            <v>55550</v>
          </cell>
          <cell r="H85">
            <v>0.18360000000000001</v>
          </cell>
          <cell r="L85">
            <v>0.18360000000000001</v>
          </cell>
          <cell r="O85">
            <v>36792</v>
          </cell>
          <cell r="P85">
            <v>36883</v>
          </cell>
          <cell r="Q85">
            <v>58093</v>
          </cell>
          <cell r="R85">
            <v>55550</v>
          </cell>
          <cell r="S85">
            <v>2543</v>
          </cell>
          <cell r="T85">
            <v>9</v>
          </cell>
          <cell r="V85">
            <v>0</v>
          </cell>
          <cell r="W85">
            <v>0</v>
          </cell>
          <cell r="X85">
            <v>20.21</v>
          </cell>
          <cell r="Y85" t="str">
            <v>MED SYSTEMS</v>
          </cell>
          <cell r="Z85">
            <v>0</v>
          </cell>
          <cell r="AB85">
            <v>19.86</v>
          </cell>
          <cell r="AC85">
            <v>14.85</v>
          </cell>
          <cell r="AD85">
            <v>0.14849999999999999</v>
          </cell>
          <cell r="AE85">
            <v>1.95E-2</v>
          </cell>
          <cell r="AF85">
            <v>4.0000000000000001E-3</v>
          </cell>
          <cell r="AG85">
            <v>0.125</v>
          </cell>
        </row>
        <row r="86">
          <cell r="A86" t="str">
            <v>W00173</v>
          </cell>
          <cell r="B86">
            <v>77</v>
          </cell>
          <cell r="C86" t="str">
            <v>J R C Godfrey</v>
          </cell>
          <cell r="D86">
            <v>1</v>
          </cell>
          <cell r="E86">
            <v>35328</v>
          </cell>
          <cell r="F86">
            <v>399998</v>
          </cell>
          <cell r="G86">
            <v>0</v>
          </cell>
          <cell r="H86">
            <v>0.18429999999999999</v>
          </cell>
          <cell r="L86">
            <v>0.18429999999999999</v>
          </cell>
          <cell r="O86">
            <v>36768</v>
          </cell>
          <cell r="S86">
            <v>0</v>
          </cell>
          <cell r="T86">
            <v>124</v>
          </cell>
          <cell r="V86">
            <v>0</v>
          </cell>
          <cell r="W86">
            <v>0</v>
          </cell>
          <cell r="X86">
            <v>20.21</v>
          </cell>
          <cell r="Y86" t="str">
            <v>MED SYSTEMS</v>
          </cell>
          <cell r="Z86">
            <v>0</v>
          </cell>
          <cell r="AB86">
            <v>19.86</v>
          </cell>
          <cell r="AC86">
            <v>14.85</v>
          </cell>
          <cell r="AD86">
            <v>0.14849999999999999</v>
          </cell>
          <cell r="AE86">
            <v>1.95E-2</v>
          </cell>
          <cell r="AF86">
            <v>4.0000000000000001E-3</v>
          </cell>
          <cell r="AG86">
            <v>0.125</v>
          </cell>
        </row>
        <row r="87">
          <cell r="A87" t="str">
            <v>W00070</v>
          </cell>
          <cell r="B87">
            <v>78</v>
          </cell>
          <cell r="C87" t="str">
            <v>Kamala Medico</v>
          </cell>
          <cell r="D87">
            <v>1</v>
          </cell>
          <cell r="E87">
            <v>35328</v>
          </cell>
          <cell r="F87">
            <v>725368</v>
          </cell>
          <cell r="G87">
            <v>-1</v>
          </cell>
          <cell r="H87">
            <v>0.18379999999999999</v>
          </cell>
          <cell r="L87">
            <v>0.18379999999999999</v>
          </cell>
          <cell r="O87">
            <v>36780</v>
          </cell>
          <cell r="S87">
            <v>0</v>
          </cell>
          <cell r="T87">
            <v>112</v>
          </cell>
          <cell r="V87">
            <v>-1</v>
          </cell>
          <cell r="W87">
            <v>-5.6398904109589039E-2</v>
          </cell>
          <cell r="X87">
            <v>20.21</v>
          </cell>
          <cell r="Y87" t="str">
            <v>MED SYSTEMS</v>
          </cell>
          <cell r="Z87">
            <v>-1.7164657534246577E-2</v>
          </cell>
          <cell r="AB87">
            <v>19.86</v>
          </cell>
          <cell r="AC87">
            <v>14.85</v>
          </cell>
          <cell r="AD87">
            <v>0.14849999999999999</v>
          </cell>
          <cell r="AE87">
            <v>1.95E-2</v>
          </cell>
          <cell r="AF87">
            <v>4.0000000000000001E-3</v>
          </cell>
          <cell r="AG87">
            <v>0.125</v>
          </cell>
        </row>
        <row r="88">
          <cell r="A88" t="str">
            <v>W00208</v>
          </cell>
          <cell r="B88">
            <v>79</v>
          </cell>
          <cell r="C88" t="str">
            <v>Kulshreshta</v>
          </cell>
          <cell r="D88">
            <v>1</v>
          </cell>
          <cell r="E88">
            <v>35328</v>
          </cell>
          <cell r="F88">
            <v>448643</v>
          </cell>
          <cell r="G88">
            <v>-1</v>
          </cell>
          <cell r="H88">
            <v>0.16850000000000001</v>
          </cell>
          <cell r="L88">
            <v>0.16850000000000001</v>
          </cell>
          <cell r="O88">
            <v>36819</v>
          </cell>
          <cell r="S88">
            <v>0</v>
          </cell>
          <cell r="T88">
            <v>73</v>
          </cell>
          <cell r="V88">
            <v>-1</v>
          </cell>
          <cell r="W88">
            <v>-3.3700000000000001E-2</v>
          </cell>
          <cell r="X88">
            <v>20.21</v>
          </cell>
          <cell r="Y88" t="str">
            <v>MED SYSTEMS</v>
          </cell>
          <cell r="Z88">
            <v>-1.7164657534246577E-2</v>
          </cell>
          <cell r="AB88">
            <v>19.86</v>
          </cell>
          <cell r="AC88">
            <v>14.85</v>
          </cell>
          <cell r="AD88">
            <v>0.14849999999999999</v>
          </cell>
          <cell r="AE88">
            <v>1.95E-2</v>
          </cell>
          <cell r="AF88">
            <v>4.0000000000000001E-3</v>
          </cell>
          <cell r="AG88">
            <v>0.125</v>
          </cell>
        </row>
        <row r="89">
          <cell r="A89" t="str">
            <v>W00053</v>
          </cell>
          <cell r="B89">
            <v>80</v>
          </cell>
          <cell r="C89" t="str">
            <v>Masih XRay Centre</v>
          </cell>
          <cell r="D89">
            <v>1</v>
          </cell>
          <cell r="E89">
            <v>35328</v>
          </cell>
          <cell r="F89">
            <v>686558</v>
          </cell>
          <cell r="G89">
            <v>54363</v>
          </cell>
          <cell r="H89">
            <v>0.1835</v>
          </cell>
          <cell r="L89">
            <v>0.1835</v>
          </cell>
          <cell r="O89">
            <v>36806</v>
          </cell>
          <cell r="S89">
            <v>0</v>
          </cell>
          <cell r="T89">
            <v>86</v>
          </cell>
          <cell r="V89">
            <v>54363</v>
          </cell>
          <cell r="W89">
            <v>2350.4178164383561</v>
          </cell>
          <cell r="X89">
            <v>20.21</v>
          </cell>
          <cell r="Y89" t="str">
            <v>MED SYSTEMS</v>
          </cell>
          <cell r="Z89">
            <v>933.12227753424656</v>
          </cell>
          <cell r="AB89">
            <v>19.86</v>
          </cell>
          <cell r="AC89">
            <v>14.85</v>
          </cell>
          <cell r="AD89">
            <v>0.14849999999999999</v>
          </cell>
          <cell r="AE89">
            <v>1.95E-2</v>
          </cell>
          <cell r="AF89">
            <v>4.0000000000000001E-3</v>
          </cell>
          <cell r="AG89">
            <v>0.125</v>
          </cell>
        </row>
        <row r="90">
          <cell r="A90" t="str">
            <v>W00148</v>
          </cell>
          <cell r="B90">
            <v>81</v>
          </cell>
          <cell r="C90" t="str">
            <v>Medico Research Imaging</v>
          </cell>
          <cell r="D90">
            <v>1</v>
          </cell>
          <cell r="E90">
            <v>35328</v>
          </cell>
          <cell r="F90">
            <v>13235000</v>
          </cell>
          <cell r="G90">
            <v>0</v>
          </cell>
          <cell r="H90">
            <v>0.22090000000000001</v>
          </cell>
          <cell r="L90">
            <v>0.22090000000000001</v>
          </cell>
          <cell r="O90">
            <v>36373</v>
          </cell>
          <cell r="S90">
            <v>0</v>
          </cell>
          <cell r="T90">
            <v>519</v>
          </cell>
          <cell r="V90">
            <v>0</v>
          </cell>
          <cell r="W90">
            <v>0</v>
          </cell>
          <cell r="X90">
            <v>20.21</v>
          </cell>
          <cell r="Y90" t="str">
            <v>MED SYSTEMS</v>
          </cell>
          <cell r="Z90">
            <v>0</v>
          </cell>
          <cell r="AB90">
            <v>19.86</v>
          </cell>
          <cell r="AC90">
            <v>14.85</v>
          </cell>
          <cell r="AD90">
            <v>0.14849999999999999</v>
          </cell>
          <cell r="AE90">
            <v>1.95E-2</v>
          </cell>
          <cell r="AF90">
            <v>4.0000000000000001E-3</v>
          </cell>
          <cell r="AG90">
            <v>0.125</v>
          </cell>
        </row>
        <row r="91">
          <cell r="A91" t="str">
            <v>W00111</v>
          </cell>
          <cell r="B91">
            <v>82</v>
          </cell>
          <cell r="C91" t="str">
            <v>Medinova Diagnostic Services</v>
          </cell>
          <cell r="D91">
            <v>1</v>
          </cell>
          <cell r="E91">
            <v>35328</v>
          </cell>
          <cell r="F91">
            <v>790397</v>
          </cell>
          <cell r="G91">
            <v>67272</v>
          </cell>
          <cell r="H91">
            <v>0.2258</v>
          </cell>
          <cell r="L91">
            <v>0.2258</v>
          </cell>
          <cell r="O91">
            <v>36806</v>
          </cell>
          <cell r="S91">
            <v>0</v>
          </cell>
          <cell r="T91">
            <v>86</v>
          </cell>
          <cell r="V91">
            <v>67272</v>
          </cell>
          <cell r="W91">
            <v>3579.0178454794518</v>
          </cell>
          <cell r="X91">
            <v>20.21</v>
          </cell>
          <cell r="Y91" t="str">
            <v>MED SYSTEMS</v>
          </cell>
          <cell r="Z91">
            <v>1154.7008416438357</v>
          </cell>
          <cell r="AB91">
            <v>19.86</v>
          </cell>
          <cell r="AC91">
            <v>14.85</v>
          </cell>
          <cell r="AD91">
            <v>0.14849999999999999</v>
          </cell>
          <cell r="AE91">
            <v>1.95E-2</v>
          </cell>
          <cell r="AF91">
            <v>4.0000000000000001E-3</v>
          </cell>
          <cell r="AG91">
            <v>0.125</v>
          </cell>
        </row>
        <row r="92">
          <cell r="A92" t="str">
            <v>W00041</v>
          </cell>
          <cell r="B92">
            <v>83</v>
          </cell>
          <cell r="C92" t="str">
            <v>Medinova Diagnostic Services</v>
          </cell>
          <cell r="D92">
            <v>2</v>
          </cell>
          <cell r="E92">
            <v>35328</v>
          </cell>
          <cell r="F92">
            <v>741610</v>
          </cell>
          <cell r="G92">
            <v>-1</v>
          </cell>
          <cell r="H92">
            <v>8.2500000000000004E-2</v>
          </cell>
          <cell r="L92">
            <v>8.2500000000000004E-2</v>
          </cell>
          <cell r="O92">
            <v>36831</v>
          </cell>
          <cell r="S92">
            <v>0</v>
          </cell>
          <cell r="T92">
            <v>61</v>
          </cell>
          <cell r="V92">
            <v>-1</v>
          </cell>
          <cell r="W92">
            <v>-1.3787671232876714E-2</v>
          </cell>
          <cell r="X92">
            <v>20.21</v>
          </cell>
          <cell r="Y92" t="str">
            <v>MED SYSTEMS</v>
          </cell>
          <cell r="Z92">
            <v>-1.7164657534246577E-2</v>
          </cell>
          <cell r="AB92">
            <v>19.86</v>
          </cell>
          <cell r="AC92">
            <v>14.85</v>
          </cell>
          <cell r="AD92">
            <v>0.14849999999999999</v>
          </cell>
          <cell r="AE92">
            <v>1.95E-2</v>
          </cell>
          <cell r="AF92">
            <v>4.0000000000000001E-3</v>
          </cell>
          <cell r="AG92">
            <v>0.125</v>
          </cell>
        </row>
        <row r="93">
          <cell r="A93" t="str">
            <v>W00023</v>
          </cell>
          <cell r="B93">
            <v>84</v>
          </cell>
          <cell r="C93" t="str">
            <v>Modern Medical Institute</v>
          </cell>
          <cell r="D93">
            <v>1</v>
          </cell>
          <cell r="E93">
            <v>35328</v>
          </cell>
          <cell r="F93">
            <v>5579992</v>
          </cell>
          <cell r="G93">
            <v>309900</v>
          </cell>
          <cell r="H93">
            <v>0.17979999999999999</v>
          </cell>
          <cell r="L93">
            <v>0.17979999999999999</v>
          </cell>
          <cell r="O93">
            <v>36831</v>
          </cell>
          <cell r="S93">
            <v>0</v>
          </cell>
          <cell r="T93">
            <v>61</v>
          </cell>
          <cell r="V93">
            <v>309900</v>
          </cell>
          <cell r="W93">
            <v>9312.1129315068483</v>
          </cell>
          <cell r="X93">
            <v>20.21</v>
          </cell>
          <cell r="Y93" t="str">
            <v>MED SYSTEMS</v>
          </cell>
          <cell r="Z93">
            <v>5319.3273698630137</v>
          </cell>
          <cell r="AB93">
            <v>19.86</v>
          </cell>
          <cell r="AC93">
            <v>14.85</v>
          </cell>
          <cell r="AD93">
            <v>0.14849999999999999</v>
          </cell>
          <cell r="AE93">
            <v>1.95E-2</v>
          </cell>
          <cell r="AF93">
            <v>4.0000000000000001E-3</v>
          </cell>
          <cell r="AG93">
            <v>0.125</v>
          </cell>
        </row>
        <row r="94">
          <cell r="A94" t="str">
            <v>W00099</v>
          </cell>
          <cell r="B94">
            <v>85</v>
          </cell>
          <cell r="C94" t="str">
            <v>Modern XRay Clinic</v>
          </cell>
          <cell r="D94">
            <v>1</v>
          </cell>
          <cell r="E94">
            <v>35328</v>
          </cell>
          <cell r="F94">
            <v>684826</v>
          </cell>
          <cell r="G94">
            <v>0</v>
          </cell>
          <cell r="H94">
            <v>0.1835</v>
          </cell>
          <cell r="L94">
            <v>0.1835</v>
          </cell>
          <cell r="O94">
            <v>36808</v>
          </cell>
          <cell r="S94">
            <v>0</v>
          </cell>
          <cell r="T94">
            <v>84</v>
          </cell>
          <cell r="V94">
            <v>0</v>
          </cell>
          <cell r="W94">
            <v>0</v>
          </cell>
          <cell r="X94">
            <v>20.21</v>
          </cell>
          <cell r="Y94" t="str">
            <v>MED SYSTEMS</v>
          </cell>
          <cell r="Z94">
            <v>0</v>
          </cell>
          <cell r="AB94">
            <v>19.86</v>
          </cell>
          <cell r="AC94">
            <v>14.85</v>
          </cell>
          <cell r="AD94">
            <v>0.14849999999999999</v>
          </cell>
          <cell r="AE94">
            <v>1.95E-2</v>
          </cell>
          <cell r="AF94">
            <v>4.0000000000000001E-3</v>
          </cell>
          <cell r="AG94">
            <v>0.125</v>
          </cell>
        </row>
        <row r="95">
          <cell r="A95" t="str">
            <v>W00138</v>
          </cell>
          <cell r="B95">
            <v>86</v>
          </cell>
          <cell r="C95" t="str">
            <v>Nirog MR Diagnostic Center ( Foreclosed on 29/02/00 )</v>
          </cell>
          <cell r="D95">
            <v>1</v>
          </cell>
          <cell r="E95">
            <v>35328</v>
          </cell>
          <cell r="F95">
            <v>674435</v>
          </cell>
          <cell r="G95">
            <v>0</v>
          </cell>
          <cell r="H95">
            <v>0.18379999999999999</v>
          </cell>
          <cell r="L95">
            <v>0.18379999999999999</v>
          </cell>
          <cell r="O95">
            <v>36501</v>
          </cell>
          <cell r="S95">
            <v>0</v>
          </cell>
          <cell r="T95">
            <v>391</v>
          </cell>
          <cell r="V95">
            <v>0</v>
          </cell>
          <cell r="W95">
            <v>0</v>
          </cell>
          <cell r="X95">
            <v>20.21</v>
          </cell>
          <cell r="Y95" t="str">
            <v>MED SYSTEMS</v>
          </cell>
          <cell r="Z95">
            <v>0</v>
          </cell>
          <cell r="AB95">
            <v>19.86</v>
          </cell>
          <cell r="AC95">
            <v>14.85</v>
          </cell>
          <cell r="AD95">
            <v>0.14849999999999999</v>
          </cell>
          <cell r="AE95">
            <v>1.95E-2</v>
          </cell>
          <cell r="AF95">
            <v>4.0000000000000001E-3</v>
          </cell>
          <cell r="AG95">
            <v>0.125</v>
          </cell>
        </row>
        <row r="96">
          <cell r="A96" t="str">
            <v>W00042</v>
          </cell>
          <cell r="B96">
            <v>87</v>
          </cell>
          <cell r="C96" t="str">
            <v>Nivedita Nursing Home</v>
          </cell>
          <cell r="D96">
            <v>1</v>
          </cell>
          <cell r="E96">
            <v>35328</v>
          </cell>
          <cell r="F96">
            <v>465878</v>
          </cell>
          <cell r="G96">
            <v>36886</v>
          </cell>
          <cell r="H96">
            <v>0.1835</v>
          </cell>
          <cell r="L96">
            <v>0.1835</v>
          </cell>
          <cell r="O96">
            <v>36844</v>
          </cell>
          <cell r="S96">
            <v>0</v>
          </cell>
          <cell r="T96">
            <v>48</v>
          </cell>
          <cell r="V96">
            <v>36886</v>
          </cell>
          <cell r="W96">
            <v>890.11476164383555</v>
          </cell>
          <cell r="X96">
            <v>20.21</v>
          </cell>
          <cell r="Y96" t="str">
            <v>MED SYSTEMS</v>
          </cell>
          <cell r="Z96">
            <v>633.13555780821923</v>
          </cell>
          <cell r="AB96">
            <v>19.86</v>
          </cell>
          <cell r="AC96">
            <v>14.85</v>
          </cell>
          <cell r="AD96">
            <v>0.14849999999999999</v>
          </cell>
          <cell r="AE96">
            <v>1.95E-2</v>
          </cell>
          <cell r="AF96">
            <v>4.0000000000000001E-3</v>
          </cell>
          <cell r="AG96">
            <v>0.125</v>
          </cell>
        </row>
        <row r="97">
          <cell r="A97" t="str">
            <v>W00017</v>
          </cell>
          <cell r="B97">
            <v>88</v>
          </cell>
          <cell r="C97" t="str">
            <v>NKP Salve Inst of Med Sciences</v>
          </cell>
          <cell r="D97">
            <v>1</v>
          </cell>
          <cell r="E97">
            <v>35328</v>
          </cell>
          <cell r="F97">
            <v>331288</v>
          </cell>
          <cell r="G97">
            <v>1</v>
          </cell>
          <cell r="H97">
            <v>8.6199999999999999E-2</v>
          </cell>
          <cell r="L97">
            <v>8.6199999999999999E-2</v>
          </cell>
          <cell r="O97">
            <v>36858</v>
          </cell>
          <cell r="S97">
            <v>0</v>
          </cell>
          <cell r="T97">
            <v>34</v>
          </cell>
          <cell r="V97">
            <v>1</v>
          </cell>
          <cell r="W97">
            <v>8.0295890410958908E-3</v>
          </cell>
          <cell r="X97">
            <v>20.21</v>
          </cell>
          <cell r="Y97" t="str">
            <v>MED SYSTEMS</v>
          </cell>
          <cell r="Z97">
            <v>1.7164657534246577E-2</v>
          </cell>
          <cell r="AB97">
            <v>19.86</v>
          </cell>
          <cell r="AC97">
            <v>14.85</v>
          </cell>
          <cell r="AD97">
            <v>0.14849999999999999</v>
          </cell>
          <cell r="AE97">
            <v>1.95E-2</v>
          </cell>
          <cell r="AF97">
            <v>4.0000000000000001E-3</v>
          </cell>
          <cell r="AG97">
            <v>0.125</v>
          </cell>
        </row>
        <row r="98">
          <cell r="A98" t="e">
            <v>#N/A</v>
          </cell>
          <cell r="B98">
            <v>89</v>
          </cell>
          <cell r="C98" t="str">
            <v>Parco Diagnostics &amp; Research</v>
          </cell>
          <cell r="D98">
            <v>1</v>
          </cell>
          <cell r="E98">
            <v>35328</v>
          </cell>
          <cell r="F98">
            <v>29945813</v>
          </cell>
          <cell r="G98">
            <v>0</v>
          </cell>
          <cell r="H98">
            <v>0.2107</v>
          </cell>
          <cell r="L98">
            <v>0.2107</v>
          </cell>
          <cell r="N98">
            <v>0</v>
          </cell>
          <cell r="O98">
            <v>35884</v>
          </cell>
          <cell r="S98">
            <v>0</v>
          </cell>
          <cell r="T98">
            <v>1008</v>
          </cell>
          <cell r="V98">
            <v>0</v>
          </cell>
          <cell r="W98">
            <v>0</v>
          </cell>
          <cell r="X98">
            <v>0</v>
          </cell>
          <cell r="Y98" t="str">
            <v>MED SYSTEMS</v>
          </cell>
          <cell r="Z98">
            <v>0</v>
          </cell>
          <cell r="AB98">
            <v>19.86</v>
          </cell>
          <cell r="AC98">
            <v>14.85</v>
          </cell>
          <cell r="AD98">
            <v>0.14849999999999999</v>
          </cell>
          <cell r="AE98">
            <v>1.95E-2</v>
          </cell>
          <cell r="AF98">
            <v>4.0000000000000001E-3</v>
          </cell>
          <cell r="AG98">
            <v>0.125</v>
          </cell>
        </row>
        <row r="99">
          <cell r="A99" t="str">
            <v>W00127</v>
          </cell>
          <cell r="B99">
            <v>90</v>
          </cell>
          <cell r="C99" t="str">
            <v>Pushp Ultrasound</v>
          </cell>
          <cell r="D99">
            <v>1</v>
          </cell>
          <cell r="E99">
            <v>35328</v>
          </cell>
          <cell r="F99">
            <v>668903</v>
          </cell>
          <cell r="G99">
            <v>52989</v>
          </cell>
          <cell r="H99">
            <v>0.18360000000000001</v>
          </cell>
          <cell r="L99">
            <v>0.18360000000000001</v>
          </cell>
          <cell r="O99">
            <v>36799</v>
          </cell>
          <cell r="P99">
            <v>36890</v>
          </cell>
          <cell r="Q99">
            <v>55412</v>
          </cell>
          <cell r="R99">
            <v>52987</v>
          </cell>
          <cell r="S99">
            <v>2425</v>
          </cell>
          <cell r="T99">
            <v>2</v>
          </cell>
          <cell r="V99">
            <v>2</v>
          </cell>
          <cell r="W99">
            <v>2.012054794520548E-3</v>
          </cell>
          <cell r="X99">
            <v>20.21</v>
          </cell>
          <cell r="Y99" t="str">
            <v>MED SYSTEMS</v>
          </cell>
          <cell r="Z99">
            <v>3.4329315068493155E-2</v>
          </cell>
          <cell r="AB99">
            <v>19.86</v>
          </cell>
          <cell r="AC99">
            <v>14.85</v>
          </cell>
          <cell r="AD99">
            <v>0.14849999999999999</v>
          </cell>
          <cell r="AE99">
            <v>1.95E-2</v>
          </cell>
          <cell r="AF99">
            <v>4.0000000000000001E-3</v>
          </cell>
          <cell r="AG99">
            <v>0.125</v>
          </cell>
        </row>
        <row r="100">
          <cell r="A100" t="str">
            <v>W00128</v>
          </cell>
          <cell r="B100">
            <v>91</v>
          </cell>
          <cell r="C100" t="str">
            <v>Pushp XRay</v>
          </cell>
          <cell r="D100">
            <v>1</v>
          </cell>
          <cell r="E100">
            <v>35328</v>
          </cell>
          <cell r="F100">
            <v>483565</v>
          </cell>
          <cell r="G100">
            <v>37946</v>
          </cell>
          <cell r="H100">
            <v>0.17829999999999999</v>
          </cell>
          <cell r="L100">
            <v>0.17829999999999999</v>
          </cell>
          <cell r="O100">
            <v>36809</v>
          </cell>
          <cell r="S100">
            <v>0</v>
          </cell>
          <cell r="T100">
            <v>83</v>
          </cell>
          <cell r="V100">
            <v>37946</v>
          </cell>
          <cell r="W100">
            <v>1538.517970958904</v>
          </cell>
          <cell r="X100">
            <v>20.21</v>
          </cell>
          <cell r="Y100" t="str">
            <v>MED SYSTEMS</v>
          </cell>
          <cell r="Z100">
            <v>651.33009479452062</v>
          </cell>
          <cell r="AB100">
            <v>19.86</v>
          </cell>
          <cell r="AC100">
            <v>14.85</v>
          </cell>
          <cell r="AD100">
            <v>0.14849999999999999</v>
          </cell>
          <cell r="AE100">
            <v>1.95E-2</v>
          </cell>
          <cell r="AF100">
            <v>4.0000000000000001E-3</v>
          </cell>
          <cell r="AG100">
            <v>0.125</v>
          </cell>
        </row>
        <row r="101">
          <cell r="A101" t="str">
            <v>W00079</v>
          </cell>
          <cell r="B101">
            <v>92</v>
          </cell>
          <cell r="C101" t="str">
            <v>R B Setha Jessa Ram &amp; Bros</v>
          </cell>
          <cell r="D101">
            <v>1</v>
          </cell>
          <cell r="E101">
            <v>35328</v>
          </cell>
          <cell r="F101">
            <v>2035156</v>
          </cell>
          <cell r="G101">
            <v>161140</v>
          </cell>
          <cell r="H101">
            <v>0.1835</v>
          </cell>
          <cell r="L101">
            <v>0.1835</v>
          </cell>
          <cell r="O101">
            <v>36837</v>
          </cell>
          <cell r="S101">
            <v>0</v>
          </cell>
          <cell r="T101">
            <v>55</v>
          </cell>
          <cell r="V101">
            <v>161140</v>
          </cell>
          <cell r="W101">
            <v>4455.6313698630129</v>
          </cell>
          <cell r="X101">
            <v>20.21</v>
          </cell>
          <cell r="Y101" t="str">
            <v>MED SYSTEMS</v>
          </cell>
          <cell r="Z101">
            <v>2765.9129150684935</v>
          </cell>
          <cell r="AB101">
            <v>19.86</v>
          </cell>
          <cell r="AC101">
            <v>14.85</v>
          </cell>
          <cell r="AD101">
            <v>0.14849999999999999</v>
          </cell>
          <cell r="AE101">
            <v>1.95E-2</v>
          </cell>
          <cell r="AF101">
            <v>4.0000000000000001E-3</v>
          </cell>
          <cell r="AG101">
            <v>0.125</v>
          </cell>
        </row>
        <row r="102">
          <cell r="A102" t="str">
            <v>W00025</v>
          </cell>
          <cell r="B102">
            <v>93</v>
          </cell>
          <cell r="C102" t="str">
            <v>Reliance Clinical Laboratory</v>
          </cell>
          <cell r="D102">
            <v>1</v>
          </cell>
          <cell r="E102">
            <v>35328</v>
          </cell>
          <cell r="F102">
            <v>502019</v>
          </cell>
          <cell r="G102">
            <v>75126</v>
          </cell>
          <cell r="H102">
            <v>0.1835</v>
          </cell>
          <cell r="L102">
            <v>0.1835</v>
          </cell>
          <cell r="O102">
            <v>36809</v>
          </cell>
          <cell r="S102">
            <v>0</v>
          </cell>
          <cell r="T102">
            <v>83</v>
          </cell>
          <cell r="V102">
            <v>75126</v>
          </cell>
          <cell r="W102">
            <v>3134.8124465753426</v>
          </cell>
          <cell r="X102">
            <v>20.21</v>
          </cell>
          <cell r="Y102" t="str">
            <v>MED SYSTEMS</v>
          </cell>
          <cell r="Z102">
            <v>1289.5120619178081</v>
          </cell>
          <cell r="AB102">
            <v>19.86</v>
          </cell>
          <cell r="AC102">
            <v>14.85</v>
          </cell>
          <cell r="AD102">
            <v>0.14849999999999999</v>
          </cell>
          <cell r="AE102">
            <v>1.95E-2</v>
          </cell>
          <cell r="AF102">
            <v>4.0000000000000001E-3</v>
          </cell>
          <cell r="AG102">
            <v>0.125</v>
          </cell>
        </row>
        <row r="103">
          <cell r="A103" t="str">
            <v>W00093</v>
          </cell>
          <cell r="B103">
            <v>94</v>
          </cell>
          <cell r="C103" t="str">
            <v>Salem Neuro Scan &amp; MRI Pvt Ltd(foreclosed in jan )</v>
          </cell>
          <cell r="D103">
            <v>1</v>
          </cell>
          <cell r="E103">
            <v>35328</v>
          </cell>
          <cell r="F103">
            <v>26535000</v>
          </cell>
          <cell r="G103">
            <v>0</v>
          </cell>
          <cell r="H103">
            <v>0.25819999999999999</v>
          </cell>
          <cell r="L103">
            <v>0.25819999999999999</v>
          </cell>
          <cell r="O103">
            <v>36069</v>
          </cell>
          <cell r="S103">
            <v>0</v>
          </cell>
          <cell r="T103">
            <v>823</v>
          </cell>
          <cell r="V103">
            <v>0</v>
          </cell>
          <cell r="W103">
            <v>0</v>
          </cell>
          <cell r="X103">
            <v>0</v>
          </cell>
          <cell r="Y103" t="str">
            <v>MED SYSTEMS</v>
          </cell>
          <cell r="Z103">
            <v>0</v>
          </cell>
          <cell r="AB103">
            <v>19.86</v>
          </cell>
          <cell r="AC103">
            <v>14.85</v>
          </cell>
          <cell r="AD103">
            <v>0.14849999999999999</v>
          </cell>
          <cell r="AE103">
            <v>1.95E-2</v>
          </cell>
          <cell r="AF103">
            <v>4.0000000000000001E-3</v>
          </cell>
          <cell r="AG103">
            <v>0.125</v>
          </cell>
        </row>
        <row r="104">
          <cell r="A104" t="str">
            <v>W00101</v>
          </cell>
          <cell r="B104">
            <v>95</v>
          </cell>
          <cell r="C104" t="str">
            <v>Tara Hospital-2</v>
          </cell>
          <cell r="D104">
            <v>2</v>
          </cell>
          <cell r="E104">
            <v>35328</v>
          </cell>
          <cell r="F104">
            <v>1821473</v>
          </cell>
          <cell r="G104">
            <v>293171</v>
          </cell>
          <cell r="H104">
            <v>0.20730000000000001</v>
          </cell>
          <cell r="L104">
            <v>0.20730000000000001</v>
          </cell>
          <cell r="O104">
            <v>36783</v>
          </cell>
          <cell r="P104">
            <v>36874</v>
          </cell>
          <cell r="Q104">
            <v>158000</v>
          </cell>
          <cell r="R104">
            <v>142851</v>
          </cell>
          <cell r="S104">
            <v>15149</v>
          </cell>
          <cell r="T104">
            <v>18</v>
          </cell>
          <cell r="V104">
            <v>150320</v>
          </cell>
          <cell r="W104">
            <v>1536.7234191780824</v>
          </cell>
          <cell r="X104">
            <v>20.21</v>
          </cell>
          <cell r="Y104" t="str">
            <v>MED SYSTEMS</v>
          </cell>
          <cell r="Z104">
            <v>2580.1913205479455</v>
          </cell>
          <cell r="AB104">
            <v>19.86</v>
          </cell>
          <cell r="AC104">
            <v>14.85</v>
          </cell>
          <cell r="AD104">
            <v>0.14849999999999999</v>
          </cell>
          <cell r="AE104">
            <v>1.95E-2</v>
          </cell>
          <cell r="AF104">
            <v>4.0000000000000001E-3</v>
          </cell>
          <cell r="AG104">
            <v>0.125</v>
          </cell>
        </row>
        <row r="105">
          <cell r="A105" t="str">
            <v>W00170</v>
          </cell>
          <cell r="B105">
            <v>96</v>
          </cell>
          <cell r="C105" t="str">
            <v>A Chella Sagayaraj</v>
          </cell>
          <cell r="D105">
            <v>1</v>
          </cell>
          <cell r="E105">
            <v>35339</v>
          </cell>
          <cell r="F105">
            <v>398174</v>
          </cell>
          <cell r="G105">
            <v>35526</v>
          </cell>
          <cell r="H105">
            <v>0.23419999999999999</v>
          </cell>
          <cell r="L105">
            <v>0.23419999999999999</v>
          </cell>
          <cell r="O105">
            <v>36789</v>
          </cell>
          <cell r="P105">
            <v>36880</v>
          </cell>
          <cell r="Q105">
            <v>37600</v>
          </cell>
          <cell r="R105">
            <v>35525</v>
          </cell>
          <cell r="S105">
            <v>2075</v>
          </cell>
          <cell r="T105">
            <v>12</v>
          </cell>
          <cell r="V105">
            <v>1</v>
          </cell>
          <cell r="W105">
            <v>7.6997260273972594E-3</v>
          </cell>
          <cell r="X105">
            <v>20.21</v>
          </cell>
          <cell r="Y105" t="str">
            <v>MED SYSTEMS</v>
          </cell>
          <cell r="Z105">
            <v>1.7164657534246577E-2</v>
          </cell>
          <cell r="AB105">
            <v>19.86</v>
          </cell>
          <cell r="AC105">
            <v>14.85</v>
          </cell>
          <cell r="AD105">
            <v>0.14849999999999999</v>
          </cell>
          <cell r="AE105">
            <v>1.95E-2</v>
          </cell>
          <cell r="AF105">
            <v>4.0000000000000001E-3</v>
          </cell>
          <cell r="AG105">
            <v>0.125</v>
          </cell>
        </row>
        <row r="106">
          <cell r="A106" t="str">
            <v>W00191</v>
          </cell>
          <cell r="B106">
            <v>97</v>
          </cell>
          <cell r="C106" t="str">
            <v>Canray</v>
          </cell>
          <cell r="D106">
            <v>1</v>
          </cell>
          <cell r="E106">
            <v>35339</v>
          </cell>
          <cell r="F106">
            <v>2392608</v>
          </cell>
          <cell r="G106">
            <v>41730</v>
          </cell>
          <cell r="H106">
            <v>0.2225</v>
          </cell>
          <cell r="L106">
            <v>0.2225</v>
          </cell>
          <cell r="O106">
            <v>36831</v>
          </cell>
          <cell r="P106">
            <v>36861</v>
          </cell>
          <cell r="Q106">
            <v>10920</v>
          </cell>
          <cell r="R106">
            <v>10146</v>
          </cell>
          <cell r="S106">
            <v>774</v>
          </cell>
          <cell r="T106">
            <v>31</v>
          </cell>
          <cell r="V106">
            <v>31584</v>
          </cell>
          <cell r="W106">
            <v>596.85106849315071</v>
          </cell>
          <cell r="X106">
            <v>20.21</v>
          </cell>
          <cell r="Y106" t="str">
            <v>MED SYSTEMS</v>
          </cell>
          <cell r="Z106">
            <v>542.12854356164382</v>
          </cell>
          <cell r="AB106">
            <v>19.86</v>
          </cell>
          <cell r="AC106">
            <v>14.85</v>
          </cell>
          <cell r="AD106">
            <v>0.14849999999999999</v>
          </cell>
          <cell r="AE106">
            <v>1.95E-2</v>
          </cell>
          <cell r="AF106">
            <v>4.0000000000000001E-3</v>
          </cell>
          <cell r="AG106">
            <v>0.125</v>
          </cell>
        </row>
        <row r="107">
          <cell r="A107" t="str">
            <v>W00016</v>
          </cell>
          <cell r="B107">
            <v>98</v>
          </cell>
          <cell r="C107" t="str">
            <v>CDR Medical</v>
          </cell>
          <cell r="D107">
            <v>1</v>
          </cell>
          <cell r="E107">
            <v>35339</v>
          </cell>
          <cell r="F107">
            <v>8482500</v>
          </cell>
          <cell r="G107">
            <v>2090502</v>
          </cell>
          <cell r="H107">
            <v>0.23519999999999999</v>
          </cell>
          <cell r="L107">
            <v>0.25729999999999997</v>
          </cell>
          <cell r="O107">
            <v>36804</v>
          </cell>
          <cell r="S107">
            <v>0</v>
          </cell>
          <cell r="T107">
            <v>88</v>
          </cell>
          <cell r="V107">
            <v>2090502</v>
          </cell>
          <cell r="W107">
            <v>129682.14379397259</v>
          </cell>
          <cell r="X107">
            <v>20.21</v>
          </cell>
          <cell r="Y107" t="str">
            <v>MED SYSTEMS</v>
          </cell>
          <cell r="Z107">
            <v>35882.750904657536</v>
          </cell>
          <cell r="AB107">
            <v>19.86</v>
          </cell>
          <cell r="AC107">
            <v>14.85</v>
          </cell>
          <cell r="AD107">
            <v>0.14849999999999999</v>
          </cell>
          <cell r="AE107">
            <v>1.95E-2</v>
          </cell>
          <cell r="AF107">
            <v>4.0000000000000001E-3</v>
          </cell>
          <cell r="AG107">
            <v>0.125</v>
          </cell>
        </row>
        <row r="108">
          <cell r="A108" t="str">
            <v>W00018</v>
          </cell>
          <cell r="B108">
            <v>99</v>
          </cell>
          <cell r="C108" t="str">
            <v>Dhanvantri</v>
          </cell>
          <cell r="D108">
            <v>1</v>
          </cell>
          <cell r="E108">
            <v>35339</v>
          </cell>
          <cell r="F108">
            <v>592730</v>
          </cell>
          <cell r="G108">
            <v>48752</v>
          </cell>
          <cell r="H108">
            <v>0.18379999999999999</v>
          </cell>
          <cell r="L108">
            <v>0.18379999999999999</v>
          </cell>
          <cell r="O108">
            <v>36781</v>
          </cell>
          <cell r="P108">
            <v>36872</v>
          </cell>
          <cell r="Q108">
            <v>50985</v>
          </cell>
          <cell r="R108">
            <v>48751</v>
          </cell>
          <cell r="S108">
            <v>2234</v>
          </cell>
          <cell r="T108">
            <v>20</v>
          </cell>
          <cell r="V108">
            <v>1</v>
          </cell>
          <cell r="W108">
            <v>1.0071232876712327E-2</v>
          </cell>
          <cell r="X108">
            <v>20.21</v>
          </cell>
          <cell r="Y108" t="str">
            <v>MED SYSTEMS</v>
          </cell>
          <cell r="Z108">
            <v>1.7164657534246577E-2</v>
          </cell>
          <cell r="AB108">
            <v>19.86</v>
          </cell>
          <cell r="AC108">
            <v>14.85</v>
          </cell>
          <cell r="AD108">
            <v>0.14849999999999999</v>
          </cell>
          <cell r="AE108">
            <v>1.95E-2</v>
          </cell>
          <cell r="AF108">
            <v>4.0000000000000001E-3</v>
          </cell>
          <cell r="AG108">
            <v>0.125</v>
          </cell>
        </row>
        <row r="109">
          <cell r="A109" t="str">
            <v>W00014</v>
          </cell>
          <cell r="B109">
            <v>100</v>
          </cell>
          <cell r="C109" t="str">
            <v>K Pandian</v>
          </cell>
          <cell r="D109">
            <v>1</v>
          </cell>
          <cell r="E109">
            <v>35339</v>
          </cell>
          <cell r="F109">
            <v>164949</v>
          </cell>
          <cell r="G109">
            <v>14339</v>
          </cell>
          <cell r="H109">
            <v>0.23860000000000001</v>
          </cell>
          <cell r="L109">
            <v>0.23860000000000001</v>
          </cell>
          <cell r="O109">
            <v>36858</v>
          </cell>
          <cell r="S109">
            <v>0</v>
          </cell>
          <cell r="T109">
            <v>34</v>
          </cell>
          <cell r="V109">
            <v>14339</v>
          </cell>
          <cell r="W109">
            <v>318.6950783561644</v>
          </cell>
          <cell r="X109">
            <v>20.21</v>
          </cell>
          <cell r="Y109" t="str">
            <v>MED SYSTEMS</v>
          </cell>
          <cell r="Z109">
            <v>246.12402438356162</v>
          </cell>
          <cell r="AA109">
            <v>124428.5095068493</v>
          </cell>
          <cell r="AB109">
            <v>19.86</v>
          </cell>
          <cell r="AC109">
            <v>14.85</v>
          </cell>
          <cell r="AD109">
            <v>0.14849999999999999</v>
          </cell>
          <cell r="AE109">
            <v>1.95E-2</v>
          </cell>
          <cell r="AF109">
            <v>4.0000000000000001E-3</v>
          </cell>
          <cell r="AG109">
            <v>0.125</v>
          </cell>
        </row>
        <row r="110">
          <cell r="A110" t="str">
            <v>W00026</v>
          </cell>
          <cell r="B110">
            <v>101</v>
          </cell>
          <cell r="C110" t="str">
            <v>Sudhir M Neral</v>
          </cell>
          <cell r="D110">
            <v>1</v>
          </cell>
          <cell r="E110">
            <v>35339</v>
          </cell>
          <cell r="F110">
            <v>724270</v>
          </cell>
          <cell r="G110">
            <v>1</v>
          </cell>
          <cell r="H110">
            <v>0.1915</v>
          </cell>
          <cell r="L110">
            <v>0.1915</v>
          </cell>
          <cell r="O110">
            <v>36823</v>
          </cell>
          <cell r="S110">
            <v>0</v>
          </cell>
          <cell r="T110">
            <v>69</v>
          </cell>
          <cell r="V110">
            <v>1</v>
          </cell>
          <cell r="W110">
            <v>3.6201369863013699E-2</v>
          </cell>
          <cell r="X110">
            <v>20.21</v>
          </cell>
          <cell r="Y110" t="str">
            <v>MED SYSTEMS</v>
          </cell>
          <cell r="Z110">
            <v>1.7164657534246577E-2</v>
          </cell>
          <cell r="AB110">
            <v>19.86</v>
          </cell>
          <cell r="AC110">
            <v>14.85</v>
          </cell>
          <cell r="AD110">
            <v>0.14849999999999999</v>
          </cell>
          <cell r="AE110">
            <v>1.95E-2</v>
          </cell>
          <cell r="AF110">
            <v>4.0000000000000001E-3</v>
          </cell>
          <cell r="AG110">
            <v>0.125</v>
          </cell>
        </row>
        <row r="111">
          <cell r="A111" t="str">
            <v>W00069</v>
          </cell>
          <cell r="B111">
            <v>102</v>
          </cell>
          <cell r="C111" t="str">
            <v>Erode CT Scan</v>
          </cell>
          <cell r="D111">
            <v>1</v>
          </cell>
          <cell r="E111">
            <v>35339</v>
          </cell>
          <cell r="F111">
            <v>7923895</v>
          </cell>
          <cell r="G111">
            <v>1261245</v>
          </cell>
          <cell r="H111">
            <v>0.22009999999999999</v>
          </cell>
          <cell r="L111">
            <v>0.22009999999999999</v>
          </cell>
          <cell r="O111">
            <v>36831</v>
          </cell>
          <cell r="S111">
            <v>0</v>
          </cell>
          <cell r="T111">
            <v>61</v>
          </cell>
          <cell r="V111">
            <v>1261245</v>
          </cell>
          <cell r="W111">
            <v>46393.428752054802</v>
          </cell>
          <cell r="X111">
            <v>20.21</v>
          </cell>
          <cell r="Y111" t="str">
            <v>MED SYSTEMS</v>
          </cell>
          <cell r="Z111">
            <v>21648.838491780822</v>
          </cell>
          <cell r="AB111">
            <v>19.86</v>
          </cell>
          <cell r="AC111">
            <v>14.85</v>
          </cell>
          <cell r="AD111">
            <v>0.14849999999999999</v>
          </cell>
          <cell r="AE111">
            <v>1.95E-2</v>
          </cell>
          <cell r="AF111">
            <v>4.0000000000000001E-3</v>
          </cell>
          <cell r="AG111">
            <v>0.125</v>
          </cell>
        </row>
        <row r="112">
          <cell r="A112" t="str">
            <v>W00156</v>
          </cell>
          <cell r="B112">
            <v>103</v>
          </cell>
          <cell r="C112" t="str">
            <v>Fernandez Maternity Hospital</v>
          </cell>
          <cell r="D112">
            <v>1</v>
          </cell>
          <cell r="E112">
            <v>35339</v>
          </cell>
          <cell r="F112">
            <v>855000</v>
          </cell>
          <cell r="G112">
            <v>0</v>
          </cell>
          <cell r="H112">
            <v>0.23069999999999999</v>
          </cell>
          <cell r="L112">
            <v>0.23069999999999999</v>
          </cell>
          <cell r="O112">
            <v>36397</v>
          </cell>
          <cell r="S112">
            <v>0</v>
          </cell>
          <cell r="T112">
            <v>495</v>
          </cell>
          <cell r="V112">
            <v>0</v>
          </cell>
          <cell r="W112">
            <v>0</v>
          </cell>
          <cell r="X112">
            <v>20.21</v>
          </cell>
          <cell r="Y112" t="str">
            <v>MED SYSTEMS</v>
          </cell>
          <cell r="Z112">
            <v>0</v>
          </cell>
          <cell r="AB112">
            <v>19.86</v>
          </cell>
          <cell r="AC112">
            <v>14.85</v>
          </cell>
          <cell r="AD112">
            <v>0.14849999999999999</v>
          </cell>
          <cell r="AE112">
            <v>1.95E-2</v>
          </cell>
          <cell r="AF112">
            <v>4.0000000000000001E-3</v>
          </cell>
          <cell r="AG112">
            <v>0.125</v>
          </cell>
        </row>
        <row r="113">
          <cell r="A113" t="str">
            <v>W00013</v>
          </cell>
          <cell r="B113">
            <v>104</v>
          </cell>
          <cell r="C113" t="str">
            <v>Mangal Anand Hospital</v>
          </cell>
          <cell r="D113">
            <v>1</v>
          </cell>
          <cell r="E113">
            <v>35339</v>
          </cell>
          <cell r="F113">
            <v>1615000</v>
          </cell>
          <cell r="G113">
            <v>242833</v>
          </cell>
          <cell r="H113">
            <v>0.21490000000000001</v>
          </cell>
          <cell r="L113">
            <v>0.21490000000000001</v>
          </cell>
          <cell r="O113">
            <v>36804</v>
          </cell>
          <cell r="S113">
            <v>0</v>
          </cell>
          <cell r="T113">
            <v>88</v>
          </cell>
          <cell r="V113">
            <v>242833</v>
          </cell>
          <cell r="W113">
            <v>12581.543642739727</v>
          </cell>
          <cell r="X113">
            <v>20.21</v>
          </cell>
          <cell r="Y113" t="str">
            <v>MED SYSTEMS</v>
          </cell>
          <cell r="Z113">
            <v>4168.1452830136986</v>
          </cell>
          <cell r="AB113">
            <v>19.86</v>
          </cell>
          <cell r="AC113">
            <v>14.85</v>
          </cell>
          <cell r="AD113">
            <v>0.14849999999999999</v>
          </cell>
          <cell r="AE113">
            <v>1.95E-2</v>
          </cell>
          <cell r="AF113">
            <v>4.0000000000000001E-3</v>
          </cell>
          <cell r="AG113">
            <v>0.125</v>
          </cell>
        </row>
        <row r="114">
          <cell r="A114" t="str">
            <v>W00192</v>
          </cell>
          <cell r="B114">
            <v>105</v>
          </cell>
          <cell r="C114" t="str">
            <v>Medinova Diagnostic Services</v>
          </cell>
          <cell r="D114">
            <v>3</v>
          </cell>
          <cell r="E114">
            <v>35339</v>
          </cell>
          <cell r="F114">
            <v>509402</v>
          </cell>
          <cell r="G114">
            <v>59656</v>
          </cell>
          <cell r="H114">
            <v>0.2414</v>
          </cell>
          <cell r="L114">
            <v>0.2414</v>
          </cell>
          <cell r="O114">
            <v>36853</v>
          </cell>
          <cell r="S114">
            <v>0</v>
          </cell>
          <cell r="T114">
            <v>39</v>
          </cell>
          <cell r="V114">
            <v>59656</v>
          </cell>
          <cell r="W114">
            <v>1538.7325413698632</v>
          </cell>
          <cell r="X114">
            <v>20.21</v>
          </cell>
          <cell r="Y114" t="str">
            <v>MED SYSTEMS</v>
          </cell>
          <cell r="Z114">
            <v>1023.9748098630138</v>
          </cell>
          <cell r="AB114">
            <v>19.86</v>
          </cell>
          <cell r="AC114">
            <v>14.85</v>
          </cell>
          <cell r="AD114">
            <v>0.14849999999999999</v>
          </cell>
          <cell r="AE114">
            <v>1.95E-2</v>
          </cell>
          <cell r="AF114">
            <v>4.0000000000000001E-3</v>
          </cell>
          <cell r="AG114">
            <v>0.125</v>
          </cell>
        </row>
        <row r="115">
          <cell r="A115" t="str">
            <v>W00028</v>
          </cell>
          <cell r="B115">
            <v>106</v>
          </cell>
          <cell r="C115" t="str">
            <v>Sethi Sonoscan</v>
          </cell>
          <cell r="D115">
            <v>1</v>
          </cell>
          <cell r="E115">
            <v>35339</v>
          </cell>
          <cell r="F115">
            <v>473726</v>
          </cell>
          <cell r="G115">
            <v>37510</v>
          </cell>
          <cell r="H115">
            <v>0.1835</v>
          </cell>
          <cell r="L115">
            <v>0.1835</v>
          </cell>
          <cell r="O115">
            <v>36850</v>
          </cell>
          <cell r="S115">
            <v>0</v>
          </cell>
          <cell r="T115">
            <v>42</v>
          </cell>
          <cell r="V115">
            <v>37510</v>
          </cell>
          <cell r="W115">
            <v>792.02621917808221</v>
          </cell>
          <cell r="X115">
            <v>20.21</v>
          </cell>
          <cell r="Y115" t="str">
            <v>MED SYSTEMS</v>
          </cell>
          <cell r="Z115">
            <v>643.84630410958903</v>
          </cell>
          <cell r="AB115">
            <v>19.86</v>
          </cell>
          <cell r="AC115">
            <v>14.85</v>
          </cell>
          <cell r="AD115">
            <v>0.14849999999999999</v>
          </cell>
          <cell r="AE115">
            <v>1.95E-2</v>
          </cell>
          <cell r="AF115">
            <v>4.0000000000000001E-3</v>
          </cell>
          <cell r="AG115">
            <v>0.125</v>
          </cell>
        </row>
        <row r="116">
          <cell r="A116" t="str">
            <v>W00161</v>
          </cell>
          <cell r="B116">
            <v>107</v>
          </cell>
          <cell r="C116" t="str">
            <v>Nandini Devi</v>
          </cell>
          <cell r="D116">
            <v>1</v>
          </cell>
          <cell r="E116">
            <v>35369</v>
          </cell>
          <cell r="F116">
            <v>689613</v>
          </cell>
          <cell r="G116">
            <v>46279</v>
          </cell>
          <cell r="H116">
            <v>0.27629999999999999</v>
          </cell>
          <cell r="L116">
            <v>0.27629999999999999</v>
          </cell>
          <cell r="O116">
            <v>36829</v>
          </cell>
          <cell r="S116">
            <v>0</v>
          </cell>
          <cell r="T116">
            <v>63</v>
          </cell>
          <cell r="V116">
            <v>46279</v>
          </cell>
          <cell r="W116">
            <v>2207.0518495890415</v>
          </cell>
          <cell r="X116">
            <v>20.21</v>
          </cell>
          <cell r="Y116" t="str">
            <v>MED SYSTEMS</v>
          </cell>
          <cell r="Z116">
            <v>794.36318602739732</v>
          </cell>
          <cell r="AB116">
            <v>19.86</v>
          </cell>
          <cell r="AC116">
            <v>14.85</v>
          </cell>
          <cell r="AD116">
            <v>0.14849999999999999</v>
          </cell>
          <cell r="AE116">
            <v>1.95E-2</v>
          </cell>
          <cell r="AF116">
            <v>4.0000000000000001E-3</v>
          </cell>
          <cell r="AG116">
            <v>0.125</v>
          </cell>
        </row>
        <row r="117">
          <cell r="A117" t="str">
            <v>W00184</v>
          </cell>
          <cell r="B117">
            <v>108</v>
          </cell>
          <cell r="C117" t="str">
            <v>Sangeetha Hospital</v>
          </cell>
          <cell r="D117">
            <v>1</v>
          </cell>
          <cell r="E117">
            <v>35369</v>
          </cell>
          <cell r="F117">
            <v>705253</v>
          </cell>
          <cell r="G117">
            <v>57523</v>
          </cell>
          <cell r="H117">
            <v>0.17879999999999999</v>
          </cell>
          <cell r="L117">
            <v>0.17879999999999999</v>
          </cell>
          <cell r="O117">
            <v>36789</v>
          </cell>
          <cell r="P117">
            <v>36880</v>
          </cell>
          <cell r="Q117">
            <v>60090</v>
          </cell>
          <cell r="R117">
            <v>57526</v>
          </cell>
          <cell r="S117">
            <v>2564</v>
          </cell>
          <cell r="T117">
            <v>12</v>
          </cell>
          <cell r="V117">
            <v>-3</v>
          </cell>
          <cell r="W117">
            <v>-1.7635068493150684E-2</v>
          </cell>
          <cell r="X117">
            <v>20.21</v>
          </cell>
          <cell r="Y117" t="str">
            <v>MED SYSTEMS</v>
          </cell>
          <cell r="Z117">
            <v>-5.1493972602739732E-2</v>
          </cell>
          <cell r="AB117">
            <v>19.86</v>
          </cell>
          <cell r="AC117">
            <v>14.85</v>
          </cell>
          <cell r="AD117">
            <v>0.14849999999999999</v>
          </cell>
          <cell r="AE117">
            <v>1.95E-2</v>
          </cell>
          <cell r="AF117">
            <v>4.0000000000000001E-3</v>
          </cell>
          <cell r="AG117">
            <v>0.125</v>
          </cell>
        </row>
        <row r="118">
          <cell r="A118" t="str">
            <v>W00038</v>
          </cell>
          <cell r="B118">
            <v>109</v>
          </cell>
          <cell r="C118" t="str">
            <v>Baby Memorial</v>
          </cell>
          <cell r="D118">
            <v>1</v>
          </cell>
          <cell r="E118">
            <v>35419</v>
          </cell>
          <cell r="F118">
            <v>1947500</v>
          </cell>
          <cell r="G118">
            <v>428948</v>
          </cell>
          <cell r="H118">
            <v>0.23599999999999999</v>
          </cell>
          <cell r="L118">
            <v>0.23599999999999999</v>
          </cell>
          <cell r="O118">
            <v>36824</v>
          </cell>
          <cell r="S118">
            <v>0</v>
          </cell>
          <cell r="T118">
            <v>68</v>
          </cell>
          <cell r="V118">
            <v>428948</v>
          </cell>
          <cell r="W118">
            <v>18859.6096</v>
          </cell>
          <cell r="X118">
            <v>19.739999999999998</v>
          </cell>
          <cell r="Y118" t="str">
            <v>MED SYSTEMS</v>
          </cell>
          <cell r="Z118">
            <v>7191.5188799999996</v>
          </cell>
          <cell r="AB118">
            <v>19.39</v>
          </cell>
          <cell r="AC118">
            <v>14.35</v>
          </cell>
          <cell r="AD118">
            <v>0.14349999999999999</v>
          </cell>
          <cell r="AE118">
            <v>1.95E-2</v>
          </cell>
          <cell r="AF118">
            <v>4.0000000000000001E-3</v>
          </cell>
          <cell r="AG118">
            <v>0.11999999999999998</v>
          </cell>
        </row>
        <row r="119">
          <cell r="A119" t="str">
            <v>W00160</v>
          </cell>
          <cell r="B119">
            <v>110</v>
          </cell>
          <cell r="C119" t="str">
            <v>BMR Imaging(revised in september 98)</v>
          </cell>
          <cell r="D119">
            <v>1</v>
          </cell>
          <cell r="E119">
            <v>35419</v>
          </cell>
          <cell r="F119">
            <v>14630000</v>
          </cell>
          <cell r="G119">
            <v>8245700</v>
          </cell>
          <cell r="H119">
            <v>0.17269999999999999</v>
          </cell>
          <cell r="L119">
            <v>0.20519999999999999</v>
          </cell>
          <cell r="O119">
            <v>36786</v>
          </cell>
          <cell r="P119">
            <v>36877</v>
          </cell>
          <cell r="Q119">
            <v>1800000</v>
          </cell>
          <cell r="R119">
            <v>1378191</v>
          </cell>
          <cell r="S119">
            <v>421809</v>
          </cell>
          <cell r="T119">
            <v>15</v>
          </cell>
          <cell r="V119">
            <v>6867509</v>
          </cell>
          <cell r="W119">
            <v>57912.856717808208</v>
          </cell>
          <cell r="X119">
            <v>19.739999999999998</v>
          </cell>
          <cell r="Y119" t="str">
            <v>MED SYSTEMS</v>
          </cell>
          <cell r="Z119">
            <v>115137.08102630136</v>
          </cell>
          <cell r="AB119">
            <v>19.39</v>
          </cell>
          <cell r="AC119">
            <v>14.35</v>
          </cell>
          <cell r="AD119">
            <v>0.14349999999999999</v>
          </cell>
          <cell r="AE119">
            <v>1.95E-2</v>
          </cell>
          <cell r="AF119">
            <v>4.0000000000000001E-3</v>
          </cell>
          <cell r="AG119">
            <v>0.11999999999999998</v>
          </cell>
        </row>
        <row r="120">
          <cell r="A120" t="str">
            <v>W00081</v>
          </cell>
          <cell r="B120">
            <v>111</v>
          </cell>
          <cell r="C120" t="str">
            <v>Dhanvantri</v>
          </cell>
          <cell r="D120">
            <v>2</v>
          </cell>
          <cell r="E120">
            <v>35419</v>
          </cell>
          <cell r="F120">
            <v>7226500</v>
          </cell>
          <cell r="G120">
            <v>1515503</v>
          </cell>
          <cell r="H120">
            <v>0.22009999999999999</v>
          </cell>
          <cell r="L120">
            <v>0.22009999999999999</v>
          </cell>
          <cell r="O120">
            <v>36844</v>
          </cell>
          <cell r="S120">
            <v>0</v>
          </cell>
          <cell r="T120">
            <v>48</v>
          </cell>
          <cell r="V120">
            <v>1515503</v>
          </cell>
          <cell r="W120">
            <v>43865.715327123282</v>
          </cell>
          <cell r="X120">
            <v>19.739999999999998</v>
          </cell>
          <cell r="Y120" t="str">
            <v>MED SYSTEMS</v>
          </cell>
          <cell r="Z120">
            <v>25408.134406027399</v>
          </cell>
          <cell r="AB120">
            <v>19.39</v>
          </cell>
          <cell r="AC120">
            <v>14.35</v>
          </cell>
          <cell r="AD120">
            <v>0.14349999999999999</v>
          </cell>
          <cell r="AE120">
            <v>1.95E-2</v>
          </cell>
          <cell r="AF120">
            <v>4.0000000000000001E-3</v>
          </cell>
          <cell r="AG120">
            <v>0.11999999999999998</v>
          </cell>
        </row>
        <row r="121">
          <cell r="A121" t="str">
            <v>W00140</v>
          </cell>
          <cell r="B121">
            <v>112</v>
          </cell>
          <cell r="C121" t="str">
            <v>Avudiappan</v>
          </cell>
          <cell r="D121">
            <v>1</v>
          </cell>
          <cell r="E121">
            <v>35419</v>
          </cell>
          <cell r="F121">
            <v>665000</v>
          </cell>
          <cell r="G121">
            <v>117355</v>
          </cell>
          <cell r="H121">
            <v>0.22</v>
          </cell>
          <cell r="L121">
            <v>0.22</v>
          </cell>
          <cell r="O121">
            <v>36814</v>
          </cell>
          <cell r="S121">
            <v>0</v>
          </cell>
          <cell r="T121">
            <v>78</v>
          </cell>
          <cell r="V121">
            <v>117355</v>
          </cell>
          <cell r="W121">
            <v>5517.2926027397261</v>
          </cell>
          <cell r="X121">
            <v>19.739999999999998</v>
          </cell>
          <cell r="Z121">
            <v>1967.5128410958903</v>
          </cell>
          <cell r="AA121">
            <v>22541.261720547947</v>
          </cell>
          <cell r="AB121">
            <v>19.39</v>
          </cell>
          <cell r="AC121">
            <v>14.35</v>
          </cell>
          <cell r="AD121">
            <v>0.14349999999999999</v>
          </cell>
          <cell r="AE121">
            <v>1.95E-2</v>
          </cell>
          <cell r="AF121">
            <v>4.0000000000000001E-3</v>
          </cell>
          <cell r="AG121">
            <v>0.11999999999999998</v>
          </cell>
        </row>
        <row r="122">
          <cell r="A122" t="str">
            <v>W00059</v>
          </cell>
          <cell r="B122">
            <v>113</v>
          </cell>
          <cell r="C122" t="str">
            <v>Kanakasabapathy</v>
          </cell>
          <cell r="D122">
            <v>1</v>
          </cell>
          <cell r="E122">
            <v>35419</v>
          </cell>
          <cell r="F122">
            <v>323000</v>
          </cell>
          <cell r="G122">
            <v>75185</v>
          </cell>
          <cell r="H122">
            <v>0.23930000000000001</v>
          </cell>
          <cell r="L122">
            <v>0.23930000000000001</v>
          </cell>
          <cell r="O122">
            <v>36817</v>
          </cell>
          <cell r="S122">
            <v>0</v>
          </cell>
          <cell r="T122">
            <v>75</v>
          </cell>
          <cell r="V122">
            <v>75185</v>
          </cell>
          <cell r="W122">
            <v>3696.9391438356165</v>
          </cell>
          <cell r="X122">
            <v>19.739999999999998</v>
          </cell>
          <cell r="Z122">
            <v>1260.5125726027397</v>
          </cell>
          <cell r="AA122">
            <v>6463.0909720547943</v>
          </cell>
          <cell r="AB122">
            <v>19.39</v>
          </cell>
          <cell r="AC122">
            <v>14.35</v>
          </cell>
          <cell r="AD122">
            <v>0.14349999999999999</v>
          </cell>
          <cell r="AE122">
            <v>1.95E-2</v>
          </cell>
          <cell r="AF122">
            <v>4.0000000000000001E-3</v>
          </cell>
          <cell r="AG122">
            <v>0.11999999999999998</v>
          </cell>
        </row>
        <row r="123">
          <cell r="A123" t="str">
            <v>W00157</v>
          </cell>
          <cell r="B123">
            <v>114</v>
          </cell>
          <cell r="C123" t="str">
            <v>Jessa Ram C Ram</v>
          </cell>
          <cell r="D123">
            <v>1</v>
          </cell>
          <cell r="E123">
            <v>35419</v>
          </cell>
          <cell r="F123">
            <v>1802370</v>
          </cell>
          <cell r="G123">
            <v>516424</v>
          </cell>
          <cell r="H123">
            <v>0.1837</v>
          </cell>
          <cell r="L123">
            <v>0.1837</v>
          </cell>
          <cell r="O123">
            <v>36770</v>
          </cell>
          <cell r="P123">
            <v>36861</v>
          </cell>
          <cell r="Q123">
            <v>144219</v>
          </cell>
          <cell r="R123">
            <v>120566</v>
          </cell>
          <cell r="S123">
            <v>23653</v>
          </cell>
          <cell r="T123">
            <v>31</v>
          </cell>
          <cell r="V123">
            <v>395858</v>
          </cell>
          <cell r="W123">
            <v>6176.1439797260273</v>
          </cell>
          <cell r="X123">
            <v>19.739999999999998</v>
          </cell>
          <cell r="Y123" t="str">
            <v>MED SYSTEMS</v>
          </cell>
          <cell r="Z123">
            <v>6636.7491649315052</v>
          </cell>
          <cell r="AB123">
            <v>19.39</v>
          </cell>
          <cell r="AC123">
            <v>14.35</v>
          </cell>
          <cell r="AD123">
            <v>0.14349999999999999</v>
          </cell>
          <cell r="AE123">
            <v>1.95E-2</v>
          </cell>
          <cell r="AF123">
            <v>4.0000000000000001E-3</v>
          </cell>
          <cell r="AG123">
            <v>0.11999999999999998</v>
          </cell>
        </row>
        <row r="124">
          <cell r="A124" t="str">
            <v>W00134</v>
          </cell>
          <cell r="B124">
            <v>115</v>
          </cell>
          <cell r="C124" t="str">
            <v>M.V.Diabetes</v>
          </cell>
          <cell r="D124">
            <v>1</v>
          </cell>
          <cell r="E124">
            <v>35419</v>
          </cell>
          <cell r="F124">
            <v>2149375</v>
          </cell>
          <cell r="G124">
            <v>452648</v>
          </cell>
          <cell r="H124">
            <v>0.22009999999999999</v>
          </cell>
          <cell r="L124">
            <v>0.22009999999999999</v>
          </cell>
          <cell r="O124">
            <v>36775</v>
          </cell>
          <cell r="P124">
            <v>36866</v>
          </cell>
          <cell r="Q124">
            <v>138012</v>
          </cell>
          <cell r="R124">
            <v>113176</v>
          </cell>
          <cell r="S124">
            <v>24836</v>
          </cell>
          <cell r="T124">
            <v>26</v>
          </cell>
          <cell r="V124">
            <v>339472</v>
          </cell>
          <cell r="W124">
            <v>5322.3629238356161</v>
          </cell>
          <cell r="X124">
            <v>19.739999999999998</v>
          </cell>
          <cell r="Y124" t="str">
            <v>MED SYSTEMS</v>
          </cell>
          <cell r="Z124">
            <v>5691.4108405479446</v>
          </cell>
          <cell r="AB124">
            <v>19.39</v>
          </cell>
          <cell r="AC124">
            <v>14.35</v>
          </cell>
          <cell r="AD124">
            <v>0.14349999999999999</v>
          </cell>
          <cell r="AE124">
            <v>1.95E-2</v>
          </cell>
          <cell r="AF124">
            <v>4.0000000000000001E-3</v>
          </cell>
          <cell r="AG124">
            <v>0.11999999999999998</v>
          </cell>
        </row>
        <row r="125">
          <cell r="A125" t="str">
            <v>W00239</v>
          </cell>
          <cell r="B125">
            <v>116</v>
          </cell>
          <cell r="C125" t="str">
            <v>Mangal Anand Hospital(foreclosed in august 99)</v>
          </cell>
          <cell r="D125">
            <v>2</v>
          </cell>
          <cell r="E125">
            <v>35419</v>
          </cell>
          <cell r="F125">
            <v>5470000</v>
          </cell>
          <cell r="G125">
            <v>1</v>
          </cell>
          <cell r="H125">
            <v>0.23400000000000001</v>
          </cell>
          <cell r="L125">
            <v>0.23400000000000001</v>
          </cell>
          <cell r="O125">
            <v>36364</v>
          </cell>
          <cell r="S125">
            <v>0</v>
          </cell>
          <cell r="T125">
            <v>528</v>
          </cell>
          <cell r="V125">
            <v>1</v>
          </cell>
          <cell r="W125">
            <v>0.33849863013698633</v>
          </cell>
          <cell r="X125">
            <v>19.739999999999998</v>
          </cell>
          <cell r="Y125" t="str">
            <v>MED SYSTEMS</v>
          </cell>
          <cell r="Z125">
            <v>1.6765479452054793E-2</v>
          </cell>
          <cell r="AB125">
            <v>19.39</v>
          </cell>
          <cell r="AC125">
            <v>14.35</v>
          </cell>
          <cell r="AD125">
            <v>0.14349999999999999</v>
          </cell>
          <cell r="AE125">
            <v>1.95E-2</v>
          </cell>
          <cell r="AF125">
            <v>4.0000000000000001E-3</v>
          </cell>
          <cell r="AG125">
            <v>0.11999999999999998</v>
          </cell>
        </row>
        <row r="126">
          <cell r="A126" t="str">
            <v>W00061</v>
          </cell>
          <cell r="B126">
            <v>117</v>
          </cell>
          <cell r="C126" t="str">
            <v>Polylab</v>
          </cell>
          <cell r="D126">
            <v>1</v>
          </cell>
          <cell r="E126">
            <v>35419</v>
          </cell>
          <cell r="F126">
            <v>433376</v>
          </cell>
          <cell r="G126">
            <v>69748</v>
          </cell>
          <cell r="H126">
            <v>0.1837</v>
          </cell>
          <cell r="L126">
            <v>0.1837</v>
          </cell>
          <cell r="O126">
            <v>36774</v>
          </cell>
          <cell r="P126">
            <v>36865</v>
          </cell>
          <cell r="Q126">
            <v>37278</v>
          </cell>
          <cell r="R126">
            <v>34083</v>
          </cell>
          <cell r="S126">
            <v>3195</v>
          </cell>
          <cell r="T126">
            <v>27</v>
          </cell>
          <cell r="V126">
            <v>35665</v>
          </cell>
          <cell r="W126">
            <v>484.64337945205483</v>
          </cell>
          <cell r="X126">
            <v>19.739999999999998</v>
          </cell>
          <cell r="Y126" t="str">
            <v>MED SYSTEMS</v>
          </cell>
          <cell r="Z126">
            <v>597.94082465753422</v>
          </cell>
          <cell r="AB126">
            <v>19.39</v>
          </cell>
          <cell r="AC126">
            <v>14.35</v>
          </cell>
          <cell r="AD126">
            <v>0.14349999999999999</v>
          </cell>
          <cell r="AE126">
            <v>1.95E-2</v>
          </cell>
          <cell r="AF126">
            <v>4.0000000000000001E-3</v>
          </cell>
          <cell r="AG126">
            <v>0.11999999999999998</v>
          </cell>
        </row>
        <row r="127">
          <cell r="A127" t="str">
            <v>W00060</v>
          </cell>
          <cell r="B127">
            <v>118</v>
          </cell>
          <cell r="C127" t="str">
            <v>AVMM Associates</v>
          </cell>
          <cell r="D127">
            <v>1</v>
          </cell>
          <cell r="E127">
            <v>35510</v>
          </cell>
          <cell r="F127">
            <v>2070000</v>
          </cell>
          <cell r="G127">
            <v>570306</v>
          </cell>
          <cell r="H127">
            <v>0.23250000000000001</v>
          </cell>
          <cell r="L127">
            <v>0.23250000000000001</v>
          </cell>
          <cell r="O127">
            <v>36835</v>
          </cell>
          <cell r="S127">
            <v>0</v>
          </cell>
          <cell r="T127">
            <v>57</v>
          </cell>
          <cell r="V127">
            <v>570306</v>
          </cell>
          <cell r="W127">
            <v>20706.795246575341</v>
          </cell>
          <cell r="X127">
            <v>17.8</v>
          </cell>
          <cell r="Y127" t="str">
            <v>MED SYSTEMS</v>
          </cell>
          <cell r="Z127">
            <v>8621.7767342465759</v>
          </cell>
          <cell r="AB127">
            <v>18.37</v>
          </cell>
          <cell r="AC127">
            <v>14.35</v>
          </cell>
          <cell r="AD127">
            <v>0.14349999999999999</v>
          </cell>
          <cell r="AE127">
            <v>1.95E-2</v>
          </cell>
          <cell r="AF127">
            <v>4.0000000000000001E-3</v>
          </cell>
          <cell r="AG127">
            <v>0.11999999999999998</v>
          </cell>
        </row>
        <row r="128">
          <cell r="A128" t="str">
            <v>W00002</v>
          </cell>
          <cell r="B128">
            <v>119</v>
          </cell>
          <cell r="C128" t="str">
            <v>Devi Scan Pvt Ltd(revised in sep 98)</v>
          </cell>
          <cell r="D128">
            <v>1</v>
          </cell>
          <cell r="E128">
            <v>35510</v>
          </cell>
          <cell r="F128">
            <v>25568100</v>
          </cell>
          <cell r="G128">
            <v>13277287</v>
          </cell>
          <cell r="H128">
            <v>0.22789999999999999</v>
          </cell>
          <cell r="L128">
            <v>0.22869999999999999</v>
          </cell>
          <cell r="O128">
            <v>36789</v>
          </cell>
          <cell r="P128">
            <v>36880</v>
          </cell>
          <cell r="Q128">
            <v>2675000</v>
          </cell>
          <cell r="R128">
            <v>1918065</v>
          </cell>
          <cell r="S128">
            <v>756935</v>
          </cell>
          <cell r="T128">
            <v>12</v>
          </cell>
          <cell r="V128">
            <v>11359222</v>
          </cell>
          <cell r="W128">
            <v>85408.900977534227</v>
          </cell>
          <cell r="X128">
            <v>17.8</v>
          </cell>
          <cell r="Y128" t="str">
            <v>MED SYSTEMS</v>
          </cell>
          <cell r="Z128">
            <v>171726.53971506847</v>
          </cell>
          <cell r="AB128">
            <v>18.37</v>
          </cell>
          <cell r="AC128">
            <v>14.35</v>
          </cell>
          <cell r="AD128">
            <v>0.14349999999999999</v>
          </cell>
          <cell r="AE128">
            <v>1.95E-2</v>
          </cell>
          <cell r="AF128">
            <v>4.0000000000000001E-3</v>
          </cell>
          <cell r="AG128">
            <v>0.11999999999999998</v>
          </cell>
        </row>
        <row r="129">
          <cell r="A129" t="str">
            <v>W00123</v>
          </cell>
          <cell r="B129">
            <v>120</v>
          </cell>
          <cell r="C129" t="str">
            <v>Doctor's Xray</v>
          </cell>
          <cell r="D129">
            <v>2</v>
          </cell>
          <cell r="E129">
            <v>35510</v>
          </cell>
          <cell r="F129">
            <v>403636</v>
          </cell>
          <cell r="G129">
            <v>117370</v>
          </cell>
          <cell r="H129">
            <v>0.16919999999999999</v>
          </cell>
          <cell r="L129">
            <v>0.16919999999999999</v>
          </cell>
          <cell r="O129">
            <v>36782</v>
          </cell>
          <cell r="P129">
            <v>36873</v>
          </cell>
          <cell r="Q129">
            <v>32500</v>
          </cell>
          <cell r="R129">
            <v>27549</v>
          </cell>
          <cell r="S129">
            <v>4951</v>
          </cell>
          <cell r="T129">
            <v>19</v>
          </cell>
          <cell r="V129">
            <v>89821</v>
          </cell>
          <cell r="W129">
            <v>791.11383780821916</v>
          </cell>
          <cell r="X129">
            <v>17.8</v>
          </cell>
          <cell r="Y129" t="str">
            <v>MED SYSTEMS</v>
          </cell>
          <cell r="Z129">
            <v>1357.8966520547947</v>
          </cell>
          <cell r="AB129">
            <v>18.37</v>
          </cell>
          <cell r="AC129">
            <v>14.35</v>
          </cell>
          <cell r="AD129">
            <v>0.14349999999999999</v>
          </cell>
          <cell r="AE129">
            <v>1.95E-2</v>
          </cell>
          <cell r="AF129">
            <v>4.0000000000000001E-3</v>
          </cell>
          <cell r="AG129">
            <v>0.11999999999999998</v>
          </cell>
        </row>
        <row r="130">
          <cell r="A130" t="str">
            <v>W00207</v>
          </cell>
          <cell r="B130">
            <v>121</v>
          </cell>
          <cell r="C130" t="str">
            <v>Meenakshi Das-II</v>
          </cell>
          <cell r="D130">
            <v>2</v>
          </cell>
          <cell r="E130">
            <v>35510</v>
          </cell>
          <cell r="F130">
            <v>836000</v>
          </cell>
          <cell r="G130">
            <v>196699</v>
          </cell>
          <cell r="H130">
            <v>0.22020000000000001</v>
          </cell>
          <cell r="L130">
            <v>0.22020000000000001</v>
          </cell>
          <cell r="O130">
            <v>36800</v>
          </cell>
          <cell r="S130">
            <v>0</v>
          </cell>
          <cell r="T130">
            <v>92</v>
          </cell>
          <cell r="V130">
            <v>196699</v>
          </cell>
          <cell r="W130">
            <v>10917.279511232879</v>
          </cell>
          <cell r="X130">
            <v>17.8</v>
          </cell>
          <cell r="Y130" t="str">
            <v>MED SYSTEMS</v>
          </cell>
          <cell r="Z130">
            <v>2973.6577589041094</v>
          </cell>
          <cell r="AA130">
            <v>29683.75835068493</v>
          </cell>
          <cell r="AB130">
            <v>18.37</v>
          </cell>
          <cell r="AC130">
            <v>14.35</v>
          </cell>
          <cell r="AD130">
            <v>0.14349999999999999</v>
          </cell>
          <cell r="AE130">
            <v>1.95E-2</v>
          </cell>
          <cell r="AF130">
            <v>4.0000000000000001E-3</v>
          </cell>
          <cell r="AG130">
            <v>0.11999999999999998</v>
          </cell>
        </row>
        <row r="131">
          <cell r="A131" t="str">
            <v>W00031</v>
          </cell>
          <cell r="B131">
            <v>122</v>
          </cell>
          <cell r="C131" t="str">
            <v>Rama Rao</v>
          </cell>
          <cell r="D131">
            <v>1</v>
          </cell>
          <cell r="E131">
            <v>35510</v>
          </cell>
          <cell r="F131">
            <v>697437</v>
          </cell>
          <cell r="G131">
            <v>200286</v>
          </cell>
          <cell r="H131">
            <v>0.18559999999999999</v>
          </cell>
          <cell r="L131">
            <v>0.18559999999999999</v>
          </cell>
          <cell r="O131">
            <v>36835</v>
          </cell>
          <cell r="S131">
            <v>0</v>
          </cell>
          <cell r="T131">
            <v>57</v>
          </cell>
          <cell r="V131">
            <v>200286</v>
          </cell>
          <cell r="W131">
            <v>5805.1113731506848</v>
          </cell>
          <cell r="X131">
            <v>17.8</v>
          </cell>
          <cell r="Y131" t="str">
            <v>MED SYSTEMS</v>
          </cell>
          <cell r="Z131">
            <v>3027.8853369863014</v>
          </cell>
          <cell r="AA131">
            <v>19606.109804109587</v>
          </cell>
          <cell r="AB131">
            <v>18.37</v>
          </cell>
          <cell r="AC131">
            <v>14.35</v>
          </cell>
          <cell r="AD131">
            <v>0.14349999999999999</v>
          </cell>
          <cell r="AE131">
            <v>1.95E-2</v>
          </cell>
          <cell r="AF131">
            <v>4.0000000000000001E-3</v>
          </cell>
          <cell r="AG131">
            <v>0.11999999999999998</v>
          </cell>
        </row>
        <row r="132">
          <cell r="A132" t="str">
            <v>W00212</v>
          </cell>
          <cell r="B132">
            <v>123</v>
          </cell>
          <cell r="C132" t="str">
            <v>Karthik Scan &amp; Diagnostics</v>
          </cell>
          <cell r="D132">
            <v>1</v>
          </cell>
          <cell r="E132">
            <v>35510</v>
          </cell>
          <cell r="F132">
            <v>8500000</v>
          </cell>
          <cell r="G132">
            <v>0</v>
          </cell>
          <cell r="H132">
            <v>0.2213</v>
          </cell>
          <cell r="L132">
            <v>0.2213</v>
          </cell>
          <cell r="O132">
            <v>36404</v>
          </cell>
          <cell r="S132">
            <v>0</v>
          </cell>
          <cell r="T132">
            <v>488</v>
          </cell>
          <cell r="V132">
            <v>0</v>
          </cell>
          <cell r="W132">
            <v>0</v>
          </cell>
          <cell r="X132">
            <v>17.8</v>
          </cell>
          <cell r="Y132" t="str">
            <v>MED SYSTEMS</v>
          </cell>
          <cell r="Z132">
            <v>0</v>
          </cell>
          <cell r="AB132">
            <v>18.37</v>
          </cell>
          <cell r="AC132">
            <v>14.35</v>
          </cell>
          <cell r="AD132">
            <v>0.14349999999999999</v>
          </cell>
          <cell r="AE132">
            <v>1.95E-2</v>
          </cell>
          <cell r="AF132">
            <v>4.0000000000000001E-3</v>
          </cell>
          <cell r="AG132">
            <v>0.11999999999999998</v>
          </cell>
        </row>
        <row r="133">
          <cell r="A133" t="str">
            <v>W00085</v>
          </cell>
          <cell r="B133">
            <v>124</v>
          </cell>
          <cell r="C133" t="str">
            <v>Kishore Diagnostics Pvt Ltd</v>
          </cell>
          <cell r="D133">
            <v>1</v>
          </cell>
          <cell r="E133">
            <v>35510</v>
          </cell>
          <cell r="F133">
            <v>683800</v>
          </cell>
          <cell r="G133">
            <v>160896</v>
          </cell>
          <cell r="H133">
            <v>0.2203</v>
          </cell>
          <cell r="L133">
            <v>0.2203</v>
          </cell>
          <cell r="O133">
            <v>36833</v>
          </cell>
          <cell r="S133">
            <v>0</v>
          </cell>
          <cell r="T133">
            <v>59</v>
          </cell>
          <cell r="V133">
            <v>160896</v>
          </cell>
          <cell r="W133">
            <v>5729.5286005479447</v>
          </cell>
          <cell r="X133">
            <v>17.8</v>
          </cell>
          <cell r="Y133" t="str">
            <v>MED SYSTEMS</v>
          </cell>
          <cell r="Z133">
            <v>2432.394871232877</v>
          </cell>
          <cell r="AB133">
            <v>18.37</v>
          </cell>
          <cell r="AC133">
            <v>14.35</v>
          </cell>
          <cell r="AD133">
            <v>0.14349999999999999</v>
          </cell>
          <cell r="AE133">
            <v>1.95E-2</v>
          </cell>
          <cell r="AF133">
            <v>4.0000000000000001E-3</v>
          </cell>
          <cell r="AG133">
            <v>0.11999999999999998</v>
          </cell>
        </row>
        <row r="134">
          <cell r="A134" t="str">
            <v>W00152</v>
          </cell>
          <cell r="B134">
            <v>125</v>
          </cell>
          <cell r="C134" t="str">
            <v>Parul Dewan</v>
          </cell>
          <cell r="D134">
            <v>1</v>
          </cell>
          <cell r="E134">
            <v>35510</v>
          </cell>
          <cell r="F134">
            <v>688750</v>
          </cell>
          <cell r="G134">
            <v>121611</v>
          </cell>
          <cell r="H134">
            <v>0.21959999999999999</v>
          </cell>
          <cell r="L134">
            <v>0.21959999999999999</v>
          </cell>
          <cell r="O134">
            <v>36860</v>
          </cell>
          <cell r="S134">
            <v>0</v>
          </cell>
          <cell r="T134">
            <v>32</v>
          </cell>
          <cell r="V134">
            <v>121611</v>
          </cell>
          <cell r="W134">
            <v>2341.328271780822</v>
          </cell>
          <cell r="X134">
            <v>17.8</v>
          </cell>
          <cell r="Y134" t="str">
            <v>MED SYSTEMS</v>
          </cell>
          <cell r="Z134">
            <v>1838.4917753424659</v>
          </cell>
          <cell r="AB134">
            <v>18.37</v>
          </cell>
          <cell r="AC134">
            <v>14.35</v>
          </cell>
          <cell r="AD134">
            <v>0.14349999999999999</v>
          </cell>
          <cell r="AE134">
            <v>1.95E-2</v>
          </cell>
          <cell r="AF134">
            <v>4.0000000000000001E-3</v>
          </cell>
          <cell r="AG134">
            <v>0.11999999999999998</v>
          </cell>
        </row>
        <row r="135">
          <cell r="A135" t="str">
            <v>W00143</v>
          </cell>
          <cell r="B135">
            <v>126</v>
          </cell>
          <cell r="C135" t="str">
            <v>Sethuraman</v>
          </cell>
          <cell r="D135">
            <v>1</v>
          </cell>
          <cell r="E135">
            <v>35510</v>
          </cell>
          <cell r="F135">
            <v>4275000</v>
          </cell>
          <cell r="G135">
            <v>1181003</v>
          </cell>
          <cell r="H135">
            <v>0.22839999999999999</v>
          </cell>
          <cell r="L135">
            <v>0.22839999999999999</v>
          </cell>
          <cell r="O135">
            <v>36849</v>
          </cell>
          <cell r="S135">
            <v>0</v>
          </cell>
          <cell r="T135">
            <v>43</v>
          </cell>
          <cell r="V135">
            <v>1181003</v>
          </cell>
          <cell r="W135">
            <v>31777.716886575341</v>
          </cell>
          <cell r="X135">
            <v>17.8</v>
          </cell>
          <cell r="Y135" t="str">
            <v>MED SYSTEMS</v>
          </cell>
          <cell r="Z135">
            <v>17854.176860273972</v>
          </cell>
          <cell r="AB135">
            <v>18.37</v>
          </cell>
          <cell r="AC135">
            <v>14.35</v>
          </cell>
          <cell r="AD135">
            <v>0.14349999999999999</v>
          </cell>
          <cell r="AE135">
            <v>1.95E-2</v>
          </cell>
          <cell r="AF135">
            <v>4.0000000000000001E-3</v>
          </cell>
          <cell r="AG135">
            <v>0.11999999999999998</v>
          </cell>
        </row>
        <row r="136">
          <cell r="A136" t="str">
            <v>W00185</v>
          </cell>
          <cell r="B136">
            <v>127</v>
          </cell>
          <cell r="C136" t="str">
            <v>X Labs</v>
          </cell>
          <cell r="D136">
            <v>1</v>
          </cell>
          <cell r="E136">
            <v>35510</v>
          </cell>
          <cell r="F136">
            <v>400000</v>
          </cell>
          <cell r="G136">
            <v>94112</v>
          </cell>
          <cell r="H136">
            <v>0.22020000000000001</v>
          </cell>
          <cell r="L136">
            <v>0.22020000000000001</v>
          </cell>
          <cell r="O136">
            <v>36814</v>
          </cell>
          <cell r="S136">
            <v>0</v>
          </cell>
          <cell r="T136">
            <v>78</v>
          </cell>
          <cell r="V136">
            <v>94112</v>
          </cell>
          <cell r="W136">
            <v>4428.5755265753432</v>
          </cell>
          <cell r="X136">
            <v>17.8</v>
          </cell>
          <cell r="Y136" t="str">
            <v>MED SYSTEMS</v>
          </cell>
          <cell r="Z136">
            <v>1422.7671671232879</v>
          </cell>
          <cell r="AB136">
            <v>18.37</v>
          </cell>
          <cell r="AC136">
            <v>14.35</v>
          </cell>
          <cell r="AD136">
            <v>0.14349999999999999</v>
          </cell>
          <cell r="AE136">
            <v>1.95E-2</v>
          </cell>
          <cell r="AF136">
            <v>4.0000000000000001E-3</v>
          </cell>
          <cell r="AG136">
            <v>0.11999999999999998</v>
          </cell>
        </row>
        <row r="137">
          <cell r="A137" t="str">
            <v>W00030</v>
          </cell>
          <cell r="B137">
            <v>128</v>
          </cell>
          <cell r="C137" t="str">
            <v>Y Mohan Reddy</v>
          </cell>
          <cell r="D137">
            <v>1</v>
          </cell>
          <cell r="E137">
            <v>35510</v>
          </cell>
          <cell r="F137">
            <v>692455</v>
          </cell>
          <cell r="G137">
            <v>198851</v>
          </cell>
          <cell r="H137">
            <v>0.18559999999999999</v>
          </cell>
          <cell r="L137">
            <v>0.18559999999999999</v>
          </cell>
          <cell r="O137">
            <v>36833</v>
          </cell>
          <cell r="S137">
            <v>0</v>
          </cell>
          <cell r="T137">
            <v>59</v>
          </cell>
          <cell r="V137">
            <v>198851</v>
          </cell>
          <cell r="W137">
            <v>5965.7479189041096</v>
          </cell>
          <cell r="X137">
            <v>17.8</v>
          </cell>
          <cell r="Y137" t="str">
            <v>MED SYSTEMS</v>
          </cell>
          <cell r="Z137">
            <v>3006.1912821917808</v>
          </cell>
          <cell r="AB137">
            <v>18.37</v>
          </cell>
          <cell r="AC137">
            <v>14.35</v>
          </cell>
          <cell r="AD137">
            <v>0.14349999999999999</v>
          </cell>
          <cell r="AE137">
            <v>1.95E-2</v>
          </cell>
          <cell r="AF137">
            <v>4.0000000000000001E-3</v>
          </cell>
          <cell r="AG137">
            <v>0.11999999999999998</v>
          </cell>
        </row>
        <row r="138">
          <cell r="A138" t="str">
            <v>W00121</v>
          </cell>
          <cell r="B138">
            <v>129</v>
          </cell>
          <cell r="C138" t="str">
            <v>A Saritha</v>
          </cell>
          <cell r="D138">
            <v>1</v>
          </cell>
          <cell r="E138">
            <v>35520</v>
          </cell>
          <cell r="F138">
            <v>437000</v>
          </cell>
          <cell r="G138">
            <v>153524</v>
          </cell>
          <cell r="H138">
            <v>0.23169999999999999</v>
          </cell>
          <cell r="L138">
            <v>0.23169999999999999</v>
          </cell>
          <cell r="O138">
            <v>36776</v>
          </cell>
          <cell r="P138">
            <v>36867</v>
          </cell>
          <cell r="Q138">
            <v>34381</v>
          </cell>
          <cell r="R138">
            <v>25511</v>
          </cell>
          <cell r="S138">
            <v>8870</v>
          </cell>
          <cell r="T138">
            <v>25</v>
          </cell>
          <cell r="V138">
            <v>128013</v>
          </cell>
          <cell r="W138">
            <v>2031.5487739726022</v>
          </cell>
          <cell r="X138">
            <v>17.8</v>
          </cell>
          <cell r="Y138" t="str">
            <v>MED SYSTEMS</v>
          </cell>
          <cell r="Z138">
            <v>1935.2759835616437</v>
          </cell>
          <cell r="AB138">
            <v>18.37</v>
          </cell>
          <cell r="AC138">
            <v>14.35</v>
          </cell>
          <cell r="AD138">
            <v>0.14349999999999999</v>
          </cell>
          <cell r="AE138">
            <v>1.95E-2</v>
          </cell>
          <cell r="AF138">
            <v>4.0000000000000001E-3</v>
          </cell>
          <cell r="AG138">
            <v>0.11999999999999998</v>
          </cell>
        </row>
        <row r="139">
          <cell r="A139" t="str">
            <v>W00166</v>
          </cell>
          <cell r="B139">
            <v>130</v>
          </cell>
          <cell r="C139" t="str">
            <v>Apex Hospital</v>
          </cell>
          <cell r="D139">
            <v>1</v>
          </cell>
          <cell r="E139">
            <v>35520</v>
          </cell>
          <cell r="F139">
            <v>712500</v>
          </cell>
          <cell r="G139">
            <v>263750</v>
          </cell>
          <cell r="H139">
            <v>0.22270000000000001</v>
          </cell>
          <cell r="L139">
            <v>0.22270000000000001</v>
          </cell>
          <cell r="O139">
            <v>36838</v>
          </cell>
          <cell r="S139">
            <v>0</v>
          </cell>
          <cell r="T139">
            <v>54</v>
          </cell>
          <cell r="V139">
            <v>263750</v>
          </cell>
          <cell r="W139">
            <v>8689.8760273972603</v>
          </cell>
          <cell r="X139">
            <v>17.8</v>
          </cell>
          <cell r="Y139" t="str">
            <v>MED SYSTEMS</v>
          </cell>
          <cell r="Z139">
            <v>3987.321917808219</v>
          </cell>
          <cell r="AB139">
            <v>18.37</v>
          </cell>
          <cell r="AC139">
            <v>14.35</v>
          </cell>
          <cell r="AD139">
            <v>0.14349999999999999</v>
          </cell>
          <cell r="AE139">
            <v>1.95E-2</v>
          </cell>
          <cell r="AF139">
            <v>4.0000000000000001E-3</v>
          </cell>
          <cell r="AG139">
            <v>0.11999999999999998</v>
          </cell>
        </row>
        <row r="140">
          <cell r="A140" t="str">
            <v>W00082</v>
          </cell>
          <cell r="B140">
            <v>131</v>
          </cell>
          <cell r="C140" t="str">
            <v>Diagnostics Lab &amp; Xray</v>
          </cell>
          <cell r="D140">
            <v>1</v>
          </cell>
          <cell r="E140">
            <v>35520</v>
          </cell>
          <cell r="F140">
            <v>665000</v>
          </cell>
          <cell r="G140">
            <v>221569</v>
          </cell>
          <cell r="H140">
            <v>0.2261</v>
          </cell>
          <cell r="L140">
            <v>0.2261</v>
          </cell>
          <cell r="O140">
            <v>36795</v>
          </cell>
          <cell r="P140">
            <v>36886</v>
          </cell>
          <cell r="Q140">
            <v>49413</v>
          </cell>
          <cell r="R140">
            <v>36921</v>
          </cell>
          <cell r="S140">
            <v>12492</v>
          </cell>
          <cell r="T140">
            <v>6</v>
          </cell>
          <cell r="V140">
            <v>184648</v>
          </cell>
          <cell r="W140">
            <v>686.28349808219173</v>
          </cell>
          <cell r="X140">
            <v>17.8</v>
          </cell>
          <cell r="Y140" t="str">
            <v>MED SYSTEMS</v>
          </cell>
          <cell r="Z140">
            <v>2791.4730520547942</v>
          </cell>
          <cell r="AB140">
            <v>18.37</v>
          </cell>
          <cell r="AC140">
            <v>14.35</v>
          </cell>
          <cell r="AD140">
            <v>0.14349999999999999</v>
          </cell>
          <cell r="AE140">
            <v>1.95E-2</v>
          </cell>
          <cell r="AF140">
            <v>4.0000000000000001E-3</v>
          </cell>
          <cell r="AG140">
            <v>0.11999999999999998</v>
          </cell>
        </row>
        <row r="141">
          <cell r="A141" t="str">
            <v>W00073</v>
          </cell>
          <cell r="B141">
            <v>132</v>
          </cell>
          <cell r="C141" t="str">
            <v>Jeyasekharan</v>
          </cell>
          <cell r="D141">
            <v>1</v>
          </cell>
          <cell r="E141">
            <v>35520</v>
          </cell>
          <cell r="F141">
            <v>2636250</v>
          </cell>
          <cell r="G141">
            <v>725740</v>
          </cell>
          <cell r="H141">
            <v>0.23380000000000001</v>
          </cell>
          <cell r="L141">
            <v>0.23380000000000001</v>
          </cell>
          <cell r="O141">
            <v>36841</v>
          </cell>
          <cell r="S141">
            <v>0</v>
          </cell>
          <cell r="T141">
            <v>51</v>
          </cell>
          <cell r="V141">
            <v>725740</v>
          </cell>
          <cell r="W141">
            <v>23708.43455342466</v>
          </cell>
          <cell r="X141">
            <v>17.8</v>
          </cell>
          <cell r="Y141" t="str">
            <v>MED SYSTEMS</v>
          </cell>
          <cell r="Z141">
            <v>10971.5981369863</v>
          </cell>
          <cell r="AA141">
            <v>4859.8092986301372</v>
          </cell>
          <cell r="AB141">
            <v>18.37</v>
          </cell>
          <cell r="AC141">
            <v>14.35</v>
          </cell>
          <cell r="AD141">
            <v>0.14349999999999999</v>
          </cell>
          <cell r="AE141">
            <v>1.95E-2</v>
          </cell>
          <cell r="AF141">
            <v>4.0000000000000001E-3</v>
          </cell>
          <cell r="AG141">
            <v>0.11999999999999998</v>
          </cell>
        </row>
        <row r="142">
          <cell r="A142" t="str">
            <v>W00164</v>
          </cell>
          <cell r="B142">
            <v>133</v>
          </cell>
          <cell r="C142" t="str">
            <v>Maya Shenoy</v>
          </cell>
          <cell r="D142">
            <v>1</v>
          </cell>
          <cell r="E142">
            <v>35520</v>
          </cell>
          <cell r="F142">
            <v>340500</v>
          </cell>
          <cell r="G142">
            <v>100203</v>
          </cell>
          <cell r="H142">
            <v>0.21970000000000001</v>
          </cell>
          <cell r="L142">
            <v>0.21970000000000001</v>
          </cell>
          <cell r="O142">
            <v>36788</v>
          </cell>
          <cell r="P142">
            <v>36879</v>
          </cell>
          <cell r="Q142">
            <v>25537</v>
          </cell>
          <cell r="R142">
            <v>20049</v>
          </cell>
          <cell r="S142">
            <v>5488</v>
          </cell>
          <cell r="T142">
            <v>13</v>
          </cell>
          <cell r="V142">
            <v>80154</v>
          </cell>
          <cell r="W142">
            <v>627.19955999999991</v>
          </cell>
          <cell r="X142">
            <v>17.8</v>
          </cell>
          <cell r="Y142" t="str">
            <v>MED SYSTEMS</v>
          </cell>
          <cell r="Z142">
            <v>1211.7528</v>
          </cell>
          <cell r="AB142">
            <v>18.37</v>
          </cell>
          <cell r="AC142">
            <v>14.35</v>
          </cell>
          <cell r="AD142">
            <v>0.14349999999999999</v>
          </cell>
          <cell r="AE142">
            <v>1.95E-2</v>
          </cell>
          <cell r="AF142">
            <v>4.0000000000000001E-3</v>
          </cell>
          <cell r="AG142">
            <v>0.11999999999999998</v>
          </cell>
        </row>
        <row r="143">
          <cell r="A143" t="str">
            <v>W00155</v>
          </cell>
          <cell r="B143">
            <v>134</v>
          </cell>
          <cell r="C143" t="str">
            <v>Neet Hospital</v>
          </cell>
          <cell r="D143">
            <v>1</v>
          </cell>
          <cell r="E143">
            <v>35520</v>
          </cell>
          <cell r="F143">
            <v>3420000</v>
          </cell>
          <cell r="G143">
            <v>1136494</v>
          </cell>
          <cell r="H143">
            <v>0.22939999999999999</v>
          </cell>
          <cell r="L143">
            <v>0.22939999999999999</v>
          </cell>
          <cell r="O143">
            <v>36783</v>
          </cell>
          <cell r="P143">
            <v>36874</v>
          </cell>
          <cell r="Q143">
            <v>254125</v>
          </cell>
          <cell r="R143">
            <v>189140</v>
          </cell>
          <cell r="S143">
            <v>64985</v>
          </cell>
          <cell r="T143">
            <v>18</v>
          </cell>
          <cell r="V143">
            <v>947354</v>
          </cell>
          <cell r="W143">
            <v>10717.299004931507</v>
          </cell>
          <cell r="X143">
            <v>17.8</v>
          </cell>
          <cell r="Y143" t="str">
            <v>MED SYSTEMS</v>
          </cell>
          <cell r="Z143">
            <v>14321.916087671232</v>
          </cell>
          <cell r="AB143">
            <v>18.37</v>
          </cell>
          <cell r="AC143">
            <v>14.35</v>
          </cell>
          <cell r="AD143">
            <v>0.14349999999999999</v>
          </cell>
          <cell r="AE143">
            <v>1.95E-2</v>
          </cell>
          <cell r="AF143">
            <v>4.0000000000000001E-3</v>
          </cell>
          <cell r="AG143">
            <v>0.11999999999999998</v>
          </cell>
        </row>
        <row r="144">
          <cell r="A144" t="str">
            <v>W00011</v>
          </cell>
          <cell r="B144">
            <v>135</v>
          </cell>
          <cell r="C144" t="str">
            <v>Ratanada Xray</v>
          </cell>
          <cell r="D144">
            <v>1</v>
          </cell>
          <cell r="E144">
            <v>35520</v>
          </cell>
          <cell r="F144">
            <v>638466</v>
          </cell>
          <cell r="G144">
            <v>1</v>
          </cell>
          <cell r="H144">
            <v>0.20799999999999999</v>
          </cell>
          <cell r="L144">
            <v>0.20799999999999999</v>
          </cell>
          <cell r="O144">
            <v>36557</v>
          </cell>
          <cell r="S144">
            <v>0</v>
          </cell>
          <cell r="T144">
            <v>335</v>
          </cell>
          <cell r="V144">
            <v>1</v>
          </cell>
          <cell r="W144">
            <v>0.19090410958904108</v>
          </cell>
          <cell r="X144">
            <v>17.8</v>
          </cell>
          <cell r="Y144" t="str">
            <v>MED SYSTEMS</v>
          </cell>
          <cell r="Z144">
            <v>1.5117808219178084E-2</v>
          </cell>
          <cell r="AB144">
            <v>18.37</v>
          </cell>
          <cell r="AC144">
            <v>14.35</v>
          </cell>
          <cell r="AD144">
            <v>0.14349999999999999</v>
          </cell>
          <cell r="AE144">
            <v>1.95E-2</v>
          </cell>
          <cell r="AF144">
            <v>4.0000000000000001E-3</v>
          </cell>
          <cell r="AG144">
            <v>0.11999999999999998</v>
          </cell>
        </row>
        <row r="145">
          <cell r="A145" t="str">
            <v>W00071</v>
          </cell>
          <cell r="B145">
            <v>136</v>
          </cell>
          <cell r="C145" t="str">
            <v>Sathya Sai Baba Hospital</v>
          </cell>
          <cell r="D145">
            <v>1</v>
          </cell>
          <cell r="E145">
            <v>35520</v>
          </cell>
          <cell r="F145">
            <v>1425000</v>
          </cell>
          <cell r="G145">
            <v>474348</v>
          </cell>
          <cell r="H145">
            <v>0.22739999999999999</v>
          </cell>
          <cell r="L145">
            <v>0.22739999999999999</v>
          </cell>
          <cell r="O145">
            <v>36790</v>
          </cell>
          <cell r="P145">
            <v>36881</v>
          </cell>
          <cell r="Q145">
            <v>105885</v>
          </cell>
          <cell r="R145">
            <v>78990</v>
          </cell>
          <cell r="S145">
            <v>26895</v>
          </cell>
          <cell r="T145">
            <v>11</v>
          </cell>
          <cell r="V145">
            <v>395358</v>
          </cell>
          <cell r="W145">
            <v>2709.4479484931508</v>
          </cell>
          <cell r="X145">
            <v>17.8</v>
          </cell>
          <cell r="Y145" t="str">
            <v>MED SYSTEMS</v>
          </cell>
          <cell r="Z145">
            <v>5976.9464219178089</v>
          </cell>
          <cell r="AB145">
            <v>18.37</v>
          </cell>
          <cell r="AC145">
            <v>14.35</v>
          </cell>
          <cell r="AD145">
            <v>0.14349999999999999</v>
          </cell>
          <cell r="AE145">
            <v>1.95E-2</v>
          </cell>
          <cell r="AF145">
            <v>4.0000000000000001E-3</v>
          </cell>
          <cell r="AG145">
            <v>0.11999999999999998</v>
          </cell>
        </row>
        <row r="146">
          <cell r="A146" t="str">
            <v>W00162</v>
          </cell>
          <cell r="B146">
            <v>137</v>
          </cell>
          <cell r="C146" t="str">
            <v>Valsangkar</v>
          </cell>
          <cell r="D146">
            <v>1</v>
          </cell>
          <cell r="E146">
            <v>35537</v>
          </cell>
          <cell r="F146">
            <v>4550000</v>
          </cell>
          <cell r="G146">
            <v>0</v>
          </cell>
          <cell r="H146">
            <v>0.24179999999999999</v>
          </cell>
          <cell r="L146">
            <v>0.24179999999999999</v>
          </cell>
          <cell r="O146">
            <v>35700</v>
          </cell>
          <cell r="S146">
            <v>0</v>
          </cell>
          <cell r="T146">
            <v>1192</v>
          </cell>
          <cell r="V146">
            <v>0</v>
          </cell>
          <cell r="W146">
            <v>0</v>
          </cell>
          <cell r="X146">
            <v>0</v>
          </cell>
          <cell r="Y146" t="str">
            <v>MED SYSTEMS</v>
          </cell>
          <cell r="Z146">
            <v>0</v>
          </cell>
          <cell r="AB146">
            <v>18.190000000000001</v>
          </cell>
          <cell r="AC146">
            <v>13.85</v>
          </cell>
          <cell r="AD146">
            <v>0.13849999999999998</v>
          </cell>
          <cell r="AE146">
            <v>1.95E-2</v>
          </cell>
          <cell r="AF146">
            <v>4.0000000000000001E-3</v>
          </cell>
          <cell r="AG146">
            <v>0.11499999999999998</v>
          </cell>
        </row>
        <row r="147">
          <cell r="A147" t="str">
            <v>W00167</v>
          </cell>
          <cell r="B147">
            <v>138</v>
          </cell>
          <cell r="C147" t="str">
            <v>Mary Calvert Holdsworth</v>
          </cell>
          <cell r="D147">
            <v>1</v>
          </cell>
          <cell r="E147">
            <v>35537</v>
          </cell>
          <cell r="F147">
            <v>1425000</v>
          </cell>
          <cell r="G147">
            <v>316672</v>
          </cell>
          <cell r="H147">
            <v>0.2203</v>
          </cell>
          <cell r="L147">
            <v>0.2203</v>
          </cell>
          <cell r="O147">
            <v>36837</v>
          </cell>
          <cell r="S147">
            <v>0</v>
          </cell>
          <cell r="T147">
            <v>55</v>
          </cell>
          <cell r="V147">
            <v>316672</v>
          </cell>
          <cell r="W147">
            <v>10512.209008219179</v>
          </cell>
          <cell r="X147">
            <v>17.600000000000001</v>
          </cell>
          <cell r="Y147" t="str">
            <v>MED SYSTEMS</v>
          </cell>
          <cell r="Z147">
            <v>4733.595704109589</v>
          </cell>
          <cell r="AB147">
            <v>18.190000000000001</v>
          </cell>
          <cell r="AC147">
            <v>13.85</v>
          </cell>
          <cell r="AD147">
            <v>0.13849999999999998</v>
          </cell>
          <cell r="AE147">
            <v>1.95E-2</v>
          </cell>
          <cell r="AF147">
            <v>4.0000000000000001E-3</v>
          </cell>
          <cell r="AG147">
            <v>0.11499999999999998</v>
          </cell>
        </row>
        <row r="148">
          <cell r="A148" t="str">
            <v>W00020</v>
          </cell>
          <cell r="B148">
            <v>139</v>
          </cell>
          <cell r="C148" t="str">
            <v>R K Diagnostics</v>
          </cell>
          <cell r="D148">
            <v>1</v>
          </cell>
          <cell r="E148">
            <v>35537</v>
          </cell>
          <cell r="F148">
            <v>4806439</v>
          </cell>
          <cell r="G148">
            <v>1732688</v>
          </cell>
          <cell r="H148">
            <v>0.2082</v>
          </cell>
          <cell r="L148">
            <v>0.2082</v>
          </cell>
          <cell r="O148">
            <v>36846</v>
          </cell>
          <cell r="P148">
            <v>36876</v>
          </cell>
          <cell r="Q148">
            <v>132150</v>
          </cell>
          <cell r="R148">
            <v>102504</v>
          </cell>
          <cell r="S148">
            <v>29646</v>
          </cell>
          <cell r="T148">
            <v>16</v>
          </cell>
          <cell r="V148">
            <v>1630184</v>
          </cell>
          <cell r="W148">
            <v>14877.997098082191</v>
          </cell>
          <cell r="X148">
            <v>17.600000000000001</v>
          </cell>
          <cell r="Y148" t="str">
            <v>MED SYSTEMS</v>
          </cell>
          <cell r="Z148">
            <v>24367.901106849316</v>
          </cell>
          <cell r="AB148">
            <v>18.190000000000001</v>
          </cell>
          <cell r="AC148">
            <v>13.85</v>
          </cell>
          <cell r="AD148">
            <v>0.13849999999999998</v>
          </cell>
          <cell r="AE148">
            <v>1.95E-2</v>
          </cell>
          <cell r="AF148">
            <v>4.0000000000000001E-3</v>
          </cell>
          <cell r="AG148">
            <v>0.11499999999999998</v>
          </cell>
        </row>
        <row r="149">
          <cell r="A149" t="str">
            <v>W00169</v>
          </cell>
          <cell r="B149">
            <v>140</v>
          </cell>
          <cell r="C149" t="str">
            <v>S Suja</v>
          </cell>
          <cell r="D149">
            <v>1</v>
          </cell>
          <cell r="E149">
            <v>35537</v>
          </cell>
          <cell r="F149">
            <v>665000</v>
          </cell>
          <cell r="G149">
            <v>156496</v>
          </cell>
          <cell r="H149">
            <v>0.2198</v>
          </cell>
          <cell r="L149">
            <v>0.2198</v>
          </cell>
          <cell r="O149">
            <v>36809</v>
          </cell>
          <cell r="S149">
            <v>0</v>
          </cell>
          <cell r="T149">
            <v>83</v>
          </cell>
          <cell r="V149">
            <v>156496</v>
          </cell>
          <cell r="W149">
            <v>7821.970209315069</v>
          </cell>
          <cell r="X149">
            <v>17.600000000000001</v>
          </cell>
          <cell r="Y149" t="str">
            <v>MED SYSTEMS</v>
          </cell>
          <cell r="Z149">
            <v>2339.2936328767128</v>
          </cell>
          <cell r="AB149">
            <v>18.190000000000001</v>
          </cell>
          <cell r="AC149">
            <v>13.85</v>
          </cell>
          <cell r="AD149">
            <v>0.13849999999999998</v>
          </cell>
          <cell r="AE149">
            <v>1.95E-2</v>
          </cell>
          <cell r="AF149">
            <v>4.0000000000000001E-3</v>
          </cell>
          <cell r="AG149">
            <v>0.11499999999999998</v>
          </cell>
        </row>
        <row r="150">
          <cell r="A150" t="str">
            <v>W00168</v>
          </cell>
          <cell r="B150">
            <v>141</v>
          </cell>
          <cell r="C150" t="str">
            <v>Tuticorin Medical Imaging</v>
          </cell>
          <cell r="D150">
            <v>1</v>
          </cell>
          <cell r="E150">
            <v>35537</v>
          </cell>
          <cell r="F150">
            <v>641250</v>
          </cell>
          <cell r="G150">
            <v>224903</v>
          </cell>
          <cell r="H150">
            <v>0.2288</v>
          </cell>
          <cell r="L150">
            <v>0.2288</v>
          </cell>
          <cell r="O150">
            <v>36791</v>
          </cell>
          <cell r="P150">
            <v>36882</v>
          </cell>
          <cell r="Q150">
            <v>50169</v>
          </cell>
          <cell r="R150">
            <v>37339</v>
          </cell>
          <cell r="S150">
            <v>12830</v>
          </cell>
          <cell r="T150">
            <v>10</v>
          </cell>
          <cell r="V150">
            <v>187564</v>
          </cell>
          <cell r="W150">
            <v>1175.7436493150685</v>
          </cell>
          <cell r="X150">
            <v>17.600000000000001</v>
          </cell>
          <cell r="Y150" t="str">
            <v>MED SYSTEMS</v>
          </cell>
          <cell r="Z150">
            <v>2803.6963945205484</v>
          </cell>
          <cell r="AB150">
            <v>18.190000000000001</v>
          </cell>
          <cell r="AC150">
            <v>13.85</v>
          </cell>
          <cell r="AD150">
            <v>0.13849999999999998</v>
          </cell>
          <cell r="AE150">
            <v>1.95E-2</v>
          </cell>
          <cell r="AF150">
            <v>4.0000000000000001E-3</v>
          </cell>
          <cell r="AG150">
            <v>0.11499999999999998</v>
          </cell>
        </row>
        <row r="151">
          <cell r="A151" t="str">
            <v>W00027</v>
          </cell>
          <cell r="B151">
            <v>142</v>
          </cell>
          <cell r="C151" t="str">
            <v>Welcome X-Ray</v>
          </cell>
          <cell r="D151">
            <v>1</v>
          </cell>
          <cell r="E151">
            <v>35537</v>
          </cell>
          <cell r="F151">
            <v>669750</v>
          </cell>
          <cell r="G151">
            <v>136529</v>
          </cell>
          <cell r="H151">
            <v>0.28820000000000001</v>
          </cell>
          <cell r="L151">
            <v>0.28820000000000001</v>
          </cell>
          <cell r="N151">
            <v>136529</v>
          </cell>
          <cell r="O151">
            <v>36814</v>
          </cell>
          <cell r="S151">
            <v>0</v>
          </cell>
          <cell r="T151">
            <v>78</v>
          </cell>
          <cell r="V151">
            <v>0</v>
          </cell>
          <cell r="W151">
            <v>0</v>
          </cell>
          <cell r="X151">
            <v>17.600000000000001</v>
          </cell>
          <cell r="Y151" t="str">
            <v>MED SYSTEMS</v>
          </cell>
          <cell r="Z151">
            <v>0</v>
          </cell>
          <cell r="AB151">
            <v>18.190000000000001</v>
          </cell>
          <cell r="AC151">
            <v>13.85</v>
          </cell>
          <cell r="AD151">
            <v>0.13849999999999998</v>
          </cell>
          <cell r="AE151">
            <v>1.95E-2</v>
          </cell>
          <cell r="AF151">
            <v>4.0000000000000001E-3</v>
          </cell>
          <cell r="AG151">
            <v>0.11499999999999998</v>
          </cell>
        </row>
        <row r="152">
          <cell r="A152" t="str">
            <v>W00076</v>
          </cell>
          <cell r="B152">
            <v>143</v>
          </cell>
          <cell r="C152" t="str">
            <v>Apollo Medical Investigation</v>
          </cell>
          <cell r="D152">
            <v>2</v>
          </cell>
          <cell r="E152">
            <v>35576</v>
          </cell>
          <cell r="F152">
            <v>22325000</v>
          </cell>
          <cell r="G152">
            <v>0</v>
          </cell>
          <cell r="L152">
            <v>0.21229999999999999</v>
          </cell>
          <cell r="O152">
            <v>35915</v>
          </cell>
          <cell r="S152">
            <v>0</v>
          </cell>
          <cell r="T152">
            <v>977</v>
          </cell>
          <cell r="V152">
            <v>0</v>
          </cell>
          <cell r="W152">
            <v>0</v>
          </cell>
          <cell r="X152">
            <v>0</v>
          </cell>
          <cell r="Y152" t="str">
            <v>MED SYSTEMS</v>
          </cell>
          <cell r="Z152">
            <v>0</v>
          </cell>
          <cell r="AB152">
            <v>17.38</v>
          </cell>
          <cell r="AC152">
            <v>13.85</v>
          </cell>
          <cell r="AD152">
            <v>0.13849999999999998</v>
          </cell>
          <cell r="AE152">
            <v>1.95E-2</v>
          </cell>
          <cell r="AF152">
            <v>4.0000000000000001E-3</v>
          </cell>
          <cell r="AG152">
            <v>0.11499999999999998</v>
          </cell>
        </row>
        <row r="153">
          <cell r="A153" t="str">
            <v>W00075</v>
          </cell>
          <cell r="B153">
            <v>144</v>
          </cell>
          <cell r="C153" t="str">
            <v>R K Chakrabarthi</v>
          </cell>
          <cell r="D153">
            <v>1</v>
          </cell>
          <cell r="E153">
            <v>35576</v>
          </cell>
          <cell r="F153">
            <v>684000</v>
          </cell>
          <cell r="G153">
            <v>167202</v>
          </cell>
          <cell r="L153">
            <v>0.25840000000000002</v>
          </cell>
          <cell r="O153">
            <v>36860</v>
          </cell>
          <cell r="S153">
            <v>0</v>
          </cell>
          <cell r="T153">
            <v>32</v>
          </cell>
          <cell r="V153">
            <v>167202</v>
          </cell>
          <cell r="W153">
            <v>3787.8353358904114</v>
          </cell>
          <cell r="X153">
            <v>17.68</v>
          </cell>
          <cell r="Y153" t="str">
            <v>MED SYSTEMS</v>
          </cell>
          <cell r="Z153">
            <v>2510.6869084931504</v>
          </cell>
          <cell r="AA153">
            <v>28920.29579178082</v>
          </cell>
          <cell r="AB153">
            <v>17.38</v>
          </cell>
          <cell r="AC153">
            <v>13.85</v>
          </cell>
          <cell r="AD153">
            <v>0.13849999999999998</v>
          </cell>
          <cell r="AE153">
            <v>1.95E-2</v>
          </cell>
          <cell r="AF153">
            <v>4.0000000000000001E-3</v>
          </cell>
          <cell r="AG153">
            <v>0.11499999999999998</v>
          </cell>
        </row>
        <row r="154">
          <cell r="A154" t="str">
            <v>W00078</v>
          </cell>
          <cell r="B154">
            <v>145</v>
          </cell>
          <cell r="C154" t="str">
            <v>GG Hospital</v>
          </cell>
          <cell r="D154">
            <v>1</v>
          </cell>
          <cell r="E154">
            <v>35576</v>
          </cell>
          <cell r="F154">
            <v>1603430</v>
          </cell>
          <cell r="G154">
            <v>561965</v>
          </cell>
          <cell r="L154">
            <v>0.1837</v>
          </cell>
          <cell r="O154">
            <v>36827</v>
          </cell>
          <cell r="S154">
            <v>0</v>
          </cell>
          <cell r="T154">
            <v>65</v>
          </cell>
          <cell r="V154">
            <v>561965</v>
          </cell>
          <cell r="W154">
            <v>18383.953650684929</v>
          </cell>
          <cell r="X154">
            <v>17.68</v>
          </cell>
          <cell r="Y154" t="str">
            <v>MED SYSTEMS</v>
          </cell>
          <cell r="Z154">
            <v>8438.4048547945204</v>
          </cell>
          <cell r="AB154">
            <v>17.38</v>
          </cell>
          <cell r="AC154">
            <v>13.85</v>
          </cell>
          <cell r="AD154">
            <v>0.13849999999999998</v>
          </cell>
          <cell r="AE154">
            <v>1.95E-2</v>
          </cell>
          <cell r="AF154">
            <v>4.0000000000000001E-3</v>
          </cell>
          <cell r="AG154">
            <v>0.11499999999999998</v>
          </cell>
        </row>
        <row r="155">
          <cell r="A155" t="str">
            <v>W00181</v>
          </cell>
          <cell r="B155">
            <v>146</v>
          </cell>
          <cell r="C155" t="str">
            <v>Medinova Diagnostics Services</v>
          </cell>
          <cell r="D155">
            <v>4</v>
          </cell>
          <cell r="E155">
            <v>35576</v>
          </cell>
          <cell r="F155">
            <v>1313804</v>
          </cell>
          <cell r="G155">
            <v>381574</v>
          </cell>
          <cell r="L155">
            <v>0.21290000000000001</v>
          </cell>
          <cell r="O155">
            <v>36841</v>
          </cell>
          <cell r="P155">
            <v>36871</v>
          </cell>
          <cell r="Q155">
            <v>38475</v>
          </cell>
          <cell r="R155">
            <v>31797</v>
          </cell>
          <cell r="S155">
            <v>6678</v>
          </cell>
          <cell r="T155">
            <v>21</v>
          </cell>
          <cell r="V155">
            <v>349777</v>
          </cell>
          <cell r="W155">
            <v>4284.43284739726</v>
          </cell>
          <cell r="X155">
            <v>17.68</v>
          </cell>
          <cell r="Y155" t="str">
            <v>MED SYSTEMS</v>
          </cell>
          <cell r="Z155">
            <v>5252.2131002739725</v>
          </cell>
          <cell r="AB155">
            <v>17.38</v>
          </cell>
          <cell r="AC155">
            <v>13.85</v>
          </cell>
          <cell r="AD155">
            <v>0.13849999999999998</v>
          </cell>
          <cell r="AE155">
            <v>1.95E-2</v>
          </cell>
          <cell r="AF155">
            <v>4.0000000000000001E-3</v>
          </cell>
          <cell r="AG155">
            <v>0.11499999999999998</v>
          </cell>
        </row>
        <row r="156">
          <cell r="A156" t="str">
            <v>W00149</v>
          </cell>
          <cell r="B156">
            <v>147</v>
          </cell>
          <cell r="C156" t="str">
            <v xml:space="preserve">BHILAI SCANS </v>
          </cell>
          <cell r="D156">
            <v>1</v>
          </cell>
          <cell r="E156">
            <v>35611</v>
          </cell>
          <cell r="F156">
            <v>15200000</v>
          </cell>
          <cell r="G156">
            <v>7295862</v>
          </cell>
          <cell r="L156">
            <v>0.2059</v>
          </cell>
          <cell r="O156">
            <v>36794</v>
          </cell>
          <cell r="P156">
            <v>36885</v>
          </cell>
          <cell r="Q156">
            <v>1220800</v>
          </cell>
          <cell r="R156">
            <v>846229</v>
          </cell>
          <cell r="S156">
            <v>374571</v>
          </cell>
          <cell r="T156">
            <v>7</v>
          </cell>
          <cell r="V156">
            <v>6449633</v>
          </cell>
          <cell r="W156">
            <v>25468.098747671236</v>
          </cell>
          <cell r="X156">
            <v>17.28</v>
          </cell>
          <cell r="Y156" t="str">
            <v>MED SYSTEMS</v>
          </cell>
          <cell r="Z156">
            <v>94655.87412164385</v>
          </cell>
          <cell r="AB156">
            <v>16.97</v>
          </cell>
          <cell r="AC156">
            <v>13.85</v>
          </cell>
          <cell r="AD156">
            <v>0.13849999999999998</v>
          </cell>
          <cell r="AE156">
            <v>1.95E-2</v>
          </cell>
          <cell r="AF156">
            <v>4.0000000000000001E-3</v>
          </cell>
          <cell r="AG156">
            <v>0.11499999999999998</v>
          </cell>
        </row>
        <row r="157">
          <cell r="A157" t="str">
            <v>W00010</v>
          </cell>
          <cell r="B157">
            <v>148</v>
          </cell>
          <cell r="C157" t="str">
            <v>BHILAI SCANS MR</v>
          </cell>
          <cell r="D157">
            <v>1</v>
          </cell>
          <cell r="E157">
            <v>35611</v>
          </cell>
          <cell r="F157">
            <v>560500</v>
          </cell>
          <cell r="G157">
            <v>152887</v>
          </cell>
          <cell r="L157">
            <v>0.25280000000000002</v>
          </cell>
          <cell r="O157">
            <v>36840</v>
          </cell>
          <cell r="S157">
            <v>0</v>
          </cell>
          <cell r="T157">
            <v>52</v>
          </cell>
          <cell r="V157">
            <v>152887</v>
          </cell>
          <cell r="W157">
            <v>5506.2776635616447</v>
          </cell>
          <cell r="X157">
            <v>17.28</v>
          </cell>
          <cell r="Y157" t="str">
            <v>MED SYSTEMS</v>
          </cell>
          <cell r="Z157">
            <v>2243.7947441095889</v>
          </cell>
          <cell r="AB157">
            <v>16.97</v>
          </cell>
          <cell r="AC157">
            <v>13.85</v>
          </cell>
          <cell r="AD157">
            <v>0.13849999999999998</v>
          </cell>
          <cell r="AE157">
            <v>1.95E-2</v>
          </cell>
          <cell r="AF157">
            <v>4.0000000000000001E-3</v>
          </cell>
          <cell r="AG157">
            <v>0.11499999999999998</v>
          </cell>
        </row>
        <row r="158">
          <cell r="A158" t="str">
            <v>W00172</v>
          </cell>
          <cell r="B158">
            <v>149</v>
          </cell>
          <cell r="C158" t="str">
            <v>SHARAD JAIN</v>
          </cell>
          <cell r="D158">
            <v>1</v>
          </cell>
          <cell r="E158">
            <v>35611</v>
          </cell>
          <cell r="F158">
            <v>361000</v>
          </cell>
          <cell r="G158">
            <v>118946</v>
          </cell>
          <cell r="L158">
            <v>0.24060000000000001</v>
          </cell>
          <cell r="O158">
            <v>36836</v>
          </cell>
          <cell r="S158">
            <v>0</v>
          </cell>
          <cell r="T158">
            <v>56</v>
          </cell>
          <cell r="V158">
            <v>118946</v>
          </cell>
          <cell r="W158">
            <v>4390.7693852054799</v>
          </cell>
          <cell r="X158">
            <v>17.28</v>
          </cell>
          <cell r="Y158" t="str">
            <v>MED SYSTEMS</v>
          </cell>
          <cell r="Z158">
            <v>1745.6710487671232</v>
          </cell>
          <cell r="AB158">
            <v>16.97</v>
          </cell>
          <cell r="AC158">
            <v>13.85</v>
          </cell>
          <cell r="AD158">
            <v>0.13849999999999998</v>
          </cell>
          <cell r="AE158">
            <v>1.95E-2</v>
          </cell>
          <cell r="AF158">
            <v>4.0000000000000001E-3</v>
          </cell>
          <cell r="AG158">
            <v>0.11499999999999998</v>
          </cell>
        </row>
        <row r="159">
          <cell r="A159" t="str">
            <v>W00086</v>
          </cell>
          <cell r="B159">
            <v>150</v>
          </cell>
          <cell r="C159" t="str">
            <v>SRINIVASA RAO</v>
          </cell>
          <cell r="D159">
            <v>1</v>
          </cell>
          <cell r="E159">
            <v>35611</v>
          </cell>
          <cell r="F159">
            <v>996500</v>
          </cell>
          <cell r="G159">
            <v>295480</v>
          </cell>
          <cell r="L159">
            <v>0.2407</v>
          </cell>
          <cell r="O159">
            <v>36845</v>
          </cell>
          <cell r="S159">
            <v>0</v>
          </cell>
          <cell r="T159">
            <v>47</v>
          </cell>
          <cell r="V159">
            <v>295480</v>
          </cell>
          <cell r="W159">
            <v>9158.1799780821912</v>
          </cell>
          <cell r="X159">
            <v>17.28</v>
          </cell>
          <cell r="Y159" t="str">
            <v>MED SYSTEMS</v>
          </cell>
          <cell r="Z159">
            <v>4336.5130520547955</v>
          </cell>
          <cell r="AB159">
            <v>16.97</v>
          </cell>
          <cell r="AC159">
            <v>13.85</v>
          </cell>
          <cell r="AD159">
            <v>0.13849999999999998</v>
          </cell>
          <cell r="AE159">
            <v>1.95E-2</v>
          </cell>
          <cell r="AF159">
            <v>4.0000000000000001E-3</v>
          </cell>
          <cell r="AG159">
            <v>0.11499999999999998</v>
          </cell>
        </row>
        <row r="160">
          <cell r="A160" t="str">
            <v>W00021</v>
          </cell>
          <cell r="B160">
            <v>151</v>
          </cell>
          <cell r="C160" t="str">
            <v>GEETANJALI XRAYS</v>
          </cell>
          <cell r="D160">
            <v>1</v>
          </cell>
          <cell r="E160">
            <v>35611</v>
          </cell>
          <cell r="F160">
            <v>446500</v>
          </cell>
          <cell r="G160">
            <v>147892</v>
          </cell>
          <cell r="L160">
            <v>0.22869999999999999</v>
          </cell>
          <cell r="O160">
            <v>36858</v>
          </cell>
          <cell r="S160">
            <v>0</v>
          </cell>
          <cell r="T160">
            <v>34</v>
          </cell>
          <cell r="V160">
            <v>147892</v>
          </cell>
          <cell r="W160">
            <v>3150.6263386301366</v>
          </cell>
          <cell r="X160">
            <v>17.28</v>
          </cell>
          <cell r="Y160" t="str">
            <v>MED SYSTEMS</v>
          </cell>
          <cell r="Z160">
            <v>2170.4873030136991</v>
          </cell>
          <cell r="AB160">
            <v>16.97</v>
          </cell>
          <cell r="AC160">
            <v>13.85</v>
          </cell>
          <cell r="AD160">
            <v>0.13849999999999998</v>
          </cell>
          <cell r="AE160">
            <v>1.95E-2</v>
          </cell>
          <cell r="AF160">
            <v>4.0000000000000001E-3</v>
          </cell>
          <cell r="AG160">
            <v>0.11499999999999998</v>
          </cell>
        </row>
        <row r="161">
          <cell r="A161" t="str">
            <v>W00200</v>
          </cell>
          <cell r="B161">
            <v>152</v>
          </cell>
          <cell r="C161" t="str">
            <v>NEW NIGHTINGALE NURSING</v>
          </cell>
          <cell r="D161">
            <v>1</v>
          </cell>
          <cell r="E161">
            <v>35611</v>
          </cell>
          <cell r="F161">
            <v>172378</v>
          </cell>
          <cell r="G161">
            <v>45382</v>
          </cell>
          <cell r="L161">
            <v>0.22450000000000001</v>
          </cell>
          <cell r="O161">
            <v>36856</v>
          </cell>
          <cell r="S161">
            <v>0</v>
          </cell>
          <cell r="T161">
            <v>36</v>
          </cell>
          <cell r="V161">
            <v>45382</v>
          </cell>
          <cell r="W161">
            <v>1004.8693808219177</v>
          </cell>
          <cell r="X161">
            <v>17.28</v>
          </cell>
          <cell r="Y161" t="str">
            <v>MED SYSTEMS</v>
          </cell>
          <cell r="Z161">
            <v>666.03369205479464</v>
          </cell>
          <cell r="AB161">
            <v>16.97</v>
          </cell>
          <cell r="AC161">
            <v>13.85</v>
          </cell>
          <cell r="AD161">
            <v>0.13849999999999998</v>
          </cell>
          <cell r="AE161">
            <v>1.95E-2</v>
          </cell>
          <cell r="AF161">
            <v>4.0000000000000001E-3</v>
          </cell>
          <cell r="AG161">
            <v>0.11499999999999998</v>
          </cell>
        </row>
        <row r="162">
          <cell r="A162" t="str">
            <v>W00215</v>
          </cell>
          <cell r="B162">
            <v>153</v>
          </cell>
          <cell r="C162" t="str">
            <v>PRAYAG SCANNING</v>
          </cell>
          <cell r="D162">
            <v>1</v>
          </cell>
          <cell r="E162">
            <v>35611</v>
          </cell>
          <cell r="F162">
            <v>7192000</v>
          </cell>
          <cell r="G162">
            <v>3164772</v>
          </cell>
          <cell r="L162">
            <v>0.21990000000000001</v>
          </cell>
          <cell r="O162">
            <v>36860</v>
          </cell>
          <cell r="P162">
            <v>36890</v>
          </cell>
          <cell r="Q162">
            <v>198650</v>
          </cell>
          <cell r="R162">
            <v>141451</v>
          </cell>
          <cell r="S162">
            <v>57199</v>
          </cell>
          <cell r="T162">
            <v>2</v>
          </cell>
          <cell r="V162">
            <v>3023321</v>
          </cell>
          <cell r="W162">
            <v>3642.8947282191784</v>
          </cell>
          <cell r="X162">
            <v>17.28</v>
          </cell>
          <cell r="Y162" t="str">
            <v>MED SYSTEMS</v>
          </cell>
          <cell r="Z162">
            <v>44370.755980273978</v>
          </cell>
          <cell r="AB162">
            <v>16.97</v>
          </cell>
          <cell r="AC162">
            <v>13.85</v>
          </cell>
          <cell r="AD162">
            <v>0.13849999999999998</v>
          </cell>
          <cell r="AE162">
            <v>1.95E-2</v>
          </cell>
          <cell r="AF162">
            <v>4.0000000000000001E-3</v>
          </cell>
          <cell r="AG162">
            <v>0.11499999999999998</v>
          </cell>
        </row>
        <row r="163">
          <cell r="A163" t="str">
            <v>W00223</v>
          </cell>
          <cell r="B163">
            <v>154</v>
          </cell>
          <cell r="C163" t="str">
            <v>PRIYA SCANS</v>
          </cell>
          <cell r="D163">
            <v>1</v>
          </cell>
          <cell r="E163">
            <v>35611</v>
          </cell>
          <cell r="F163">
            <v>665000</v>
          </cell>
          <cell r="G163">
            <v>219112</v>
          </cell>
          <cell r="L163">
            <v>0.23549999999999999</v>
          </cell>
          <cell r="O163">
            <v>36835</v>
          </cell>
          <cell r="S163">
            <v>0</v>
          </cell>
          <cell r="T163">
            <v>57</v>
          </cell>
          <cell r="V163">
            <v>219112</v>
          </cell>
          <cell r="W163">
            <v>8058.2189917808209</v>
          </cell>
          <cell r="X163">
            <v>17.28</v>
          </cell>
          <cell r="Y163" t="str">
            <v>MED SYSTEMS</v>
          </cell>
          <cell r="Z163">
            <v>3215.7237304109594</v>
          </cell>
          <cell r="AB163">
            <v>16.97</v>
          </cell>
          <cell r="AC163">
            <v>13.85</v>
          </cell>
          <cell r="AD163">
            <v>0.13849999999999998</v>
          </cell>
          <cell r="AE163">
            <v>1.95E-2</v>
          </cell>
          <cell r="AF163">
            <v>4.0000000000000001E-3</v>
          </cell>
          <cell r="AG163">
            <v>0.11499999999999998</v>
          </cell>
        </row>
        <row r="164">
          <cell r="A164" t="str">
            <v>W00067</v>
          </cell>
          <cell r="B164">
            <v>155</v>
          </cell>
          <cell r="C164" t="str">
            <v>SEWA NURSING HOME</v>
          </cell>
          <cell r="D164">
            <v>1</v>
          </cell>
          <cell r="E164">
            <v>35611</v>
          </cell>
          <cell r="F164">
            <v>494000</v>
          </cell>
          <cell r="G164">
            <v>163036</v>
          </cell>
          <cell r="L164">
            <v>0.2384</v>
          </cell>
          <cell r="O164">
            <v>36843</v>
          </cell>
          <cell r="S164">
            <v>0</v>
          </cell>
          <cell r="T164">
            <v>49</v>
          </cell>
          <cell r="V164">
            <v>163036</v>
          </cell>
          <cell r="W164">
            <v>5217.8666783561648</v>
          </cell>
          <cell r="X164">
            <v>17.28</v>
          </cell>
          <cell r="Y164" t="str">
            <v>MED SYSTEMS</v>
          </cell>
          <cell r="Z164">
            <v>2392.743136438356</v>
          </cell>
          <cell r="AB164">
            <v>16.97</v>
          </cell>
          <cell r="AC164">
            <v>13.85</v>
          </cell>
          <cell r="AD164">
            <v>0.13849999999999998</v>
          </cell>
          <cell r="AE164">
            <v>1.95E-2</v>
          </cell>
          <cell r="AF164">
            <v>4.0000000000000001E-3</v>
          </cell>
          <cell r="AG164">
            <v>0.11499999999999998</v>
          </cell>
        </row>
        <row r="165">
          <cell r="A165" t="str">
            <v>W00022</v>
          </cell>
          <cell r="B165">
            <v>156</v>
          </cell>
          <cell r="C165" t="str">
            <v>SUNDARAM ARULRAJ</v>
          </cell>
          <cell r="D165">
            <v>1</v>
          </cell>
          <cell r="E165">
            <v>35611</v>
          </cell>
          <cell r="F165">
            <v>641250</v>
          </cell>
          <cell r="G165">
            <v>174587</v>
          </cell>
          <cell r="L165">
            <v>0.25059999999999999</v>
          </cell>
          <cell r="O165">
            <v>36858</v>
          </cell>
          <cell r="S165">
            <v>0</v>
          </cell>
          <cell r="T165">
            <v>34</v>
          </cell>
          <cell r="V165">
            <v>174587</v>
          </cell>
          <cell r="W165">
            <v>4075.4823967123284</v>
          </cell>
          <cell r="X165">
            <v>17.28</v>
          </cell>
          <cell r="Y165" t="str">
            <v>MED SYSTEMS</v>
          </cell>
          <cell r="Z165">
            <v>2562.267511232877</v>
          </cell>
          <cell r="AB165">
            <v>16.97</v>
          </cell>
          <cell r="AC165">
            <v>13.85</v>
          </cell>
          <cell r="AD165">
            <v>0.13849999999999998</v>
          </cell>
          <cell r="AE165">
            <v>1.95E-2</v>
          </cell>
          <cell r="AF165">
            <v>4.0000000000000001E-3</v>
          </cell>
          <cell r="AG165">
            <v>0.11499999999999998</v>
          </cell>
        </row>
        <row r="166">
          <cell r="A166" t="str">
            <v>W00062</v>
          </cell>
          <cell r="B166">
            <v>157</v>
          </cell>
          <cell r="C166" t="str">
            <v>SUMANTH SHARMA(amended in may)</v>
          </cell>
          <cell r="D166">
            <v>1</v>
          </cell>
          <cell r="E166">
            <v>35641</v>
          </cell>
          <cell r="F166">
            <v>622250</v>
          </cell>
          <cell r="G166">
            <v>182210</v>
          </cell>
          <cell r="L166">
            <v>0.2571</v>
          </cell>
          <cell r="O166">
            <v>36817</v>
          </cell>
          <cell r="S166">
            <v>0</v>
          </cell>
          <cell r="T166">
            <v>75</v>
          </cell>
          <cell r="V166">
            <v>182210</v>
          </cell>
          <cell r="W166">
            <v>9625.9296575342469</v>
          </cell>
          <cell r="X166">
            <v>17.28</v>
          </cell>
          <cell r="Y166" t="str">
            <v>MED SYSTEMS</v>
          </cell>
          <cell r="Z166">
            <v>2674.1439123287673</v>
          </cell>
          <cell r="AB166">
            <v>16.97</v>
          </cell>
          <cell r="AD166">
            <v>0.16969999999999999</v>
          </cell>
          <cell r="AE166">
            <v>1.95E-2</v>
          </cell>
          <cell r="AF166">
            <v>4.0000000000000001E-3</v>
          </cell>
          <cell r="AG166">
            <v>0.1462</v>
          </cell>
        </row>
        <row r="167">
          <cell r="A167" t="str">
            <v>W00112</v>
          </cell>
          <cell r="B167">
            <v>158</v>
          </cell>
          <cell r="C167" t="str">
            <v>PRIME MRI CENTRE</v>
          </cell>
          <cell r="D167">
            <v>1</v>
          </cell>
          <cell r="E167">
            <v>35646</v>
          </cell>
          <cell r="F167">
            <v>21733000</v>
          </cell>
          <cell r="G167">
            <v>0</v>
          </cell>
          <cell r="L167">
            <v>0.23669999999999999</v>
          </cell>
          <cell r="O167">
            <v>35851</v>
          </cell>
          <cell r="S167">
            <v>0</v>
          </cell>
          <cell r="T167">
            <v>1041</v>
          </cell>
          <cell r="V167">
            <v>0</v>
          </cell>
          <cell r="W167">
            <v>0</v>
          </cell>
          <cell r="X167">
            <v>0</v>
          </cell>
          <cell r="Y167" t="str">
            <v>MED SYSTEMS</v>
          </cell>
          <cell r="Z167">
            <v>0</v>
          </cell>
          <cell r="AB167">
            <v>16.97</v>
          </cell>
          <cell r="AD167">
            <v>0.16969999999999999</v>
          </cell>
          <cell r="AE167">
            <v>1.95E-2</v>
          </cell>
          <cell r="AF167">
            <v>4.0000000000000001E-3</v>
          </cell>
          <cell r="AG167">
            <v>0.1462</v>
          </cell>
        </row>
        <row r="168">
          <cell r="A168" t="str">
            <v>W00032</v>
          </cell>
          <cell r="B168">
            <v>159</v>
          </cell>
          <cell r="C168" t="str">
            <v>ST JAMES HOSPITAL</v>
          </cell>
          <cell r="D168">
            <v>1</v>
          </cell>
          <cell r="E168">
            <v>35646</v>
          </cell>
          <cell r="F168">
            <v>810000</v>
          </cell>
          <cell r="G168">
            <v>295950</v>
          </cell>
          <cell r="L168">
            <v>0.2298</v>
          </cell>
          <cell r="O168">
            <v>36802</v>
          </cell>
          <cell r="S168">
            <v>0</v>
          </cell>
          <cell r="T168">
            <v>90</v>
          </cell>
          <cell r="V168">
            <v>295950</v>
          </cell>
          <cell r="W168">
            <v>16769.418904109589</v>
          </cell>
          <cell r="X168">
            <v>17.28</v>
          </cell>
          <cell r="Y168" t="str">
            <v>MED SYSTEMS</v>
          </cell>
          <cell r="Z168">
            <v>4343.4108493150688</v>
          </cell>
          <cell r="AB168">
            <v>16.97</v>
          </cell>
          <cell r="AD168">
            <v>0.16969999999999999</v>
          </cell>
          <cell r="AE168">
            <v>1.95E-2</v>
          </cell>
          <cell r="AF168">
            <v>4.0000000000000001E-3</v>
          </cell>
          <cell r="AG168">
            <v>0.1462</v>
          </cell>
        </row>
        <row r="169">
          <cell r="A169" t="str">
            <v>W00109</v>
          </cell>
          <cell r="B169">
            <v>160</v>
          </cell>
          <cell r="C169" t="str">
            <v>VIJAYA MEDICAL CENTRE (amended in nov )</v>
          </cell>
          <cell r="D169">
            <v>1</v>
          </cell>
          <cell r="E169">
            <v>35647</v>
          </cell>
          <cell r="F169">
            <v>14328670</v>
          </cell>
          <cell r="G169">
            <v>10248194</v>
          </cell>
          <cell r="L169">
            <v>0.21340000000000001</v>
          </cell>
          <cell r="O169">
            <v>36831</v>
          </cell>
          <cell r="S169">
            <v>0</v>
          </cell>
          <cell r="T169">
            <v>61</v>
          </cell>
          <cell r="V169">
            <v>10248194</v>
          </cell>
          <cell r="W169">
            <v>365492.71390575345</v>
          </cell>
          <cell r="X169">
            <v>17.28</v>
          </cell>
          <cell r="Y169" t="str">
            <v>MED SYSTEMS</v>
          </cell>
          <cell r="Z169">
            <v>150404.17977863015</v>
          </cell>
          <cell r="AB169">
            <v>16.97</v>
          </cell>
          <cell r="AD169">
            <v>0.16969999999999999</v>
          </cell>
          <cell r="AE169">
            <v>1.95E-2</v>
          </cell>
          <cell r="AF169">
            <v>4.0000000000000001E-3</v>
          </cell>
          <cell r="AG169">
            <v>0.1462</v>
          </cell>
        </row>
        <row r="170">
          <cell r="A170" t="str">
            <v>W00072</v>
          </cell>
          <cell r="B170">
            <v>161</v>
          </cell>
          <cell r="C170" t="str">
            <v>BABY MEMORIAL-II</v>
          </cell>
          <cell r="D170">
            <v>2</v>
          </cell>
          <cell r="E170">
            <v>35703</v>
          </cell>
          <cell r="F170">
            <v>720000</v>
          </cell>
          <cell r="G170">
            <v>262008.17</v>
          </cell>
          <cell r="L170">
            <v>0.2145</v>
          </cell>
          <cell r="O170">
            <v>36840</v>
          </cell>
          <cell r="S170">
            <v>0</v>
          </cell>
          <cell r="T170">
            <v>52</v>
          </cell>
          <cell r="V170">
            <v>262008.17</v>
          </cell>
          <cell r="W170">
            <v>8006.6825429589044</v>
          </cell>
          <cell r="X170">
            <v>16.16</v>
          </cell>
          <cell r="Y170" t="str">
            <v>MED SYSTEMS</v>
          </cell>
          <cell r="Z170">
            <v>3596.0441874849316</v>
          </cell>
          <cell r="AB170">
            <v>15.85</v>
          </cell>
          <cell r="AC170">
            <v>13.85</v>
          </cell>
          <cell r="AD170">
            <v>0.13849999999999998</v>
          </cell>
          <cell r="AE170">
            <v>1.95E-2</v>
          </cell>
          <cell r="AF170">
            <v>4.0000000000000001E-3</v>
          </cell>
          <cell r="AG170">
            <v>0.11499999999999998</v>
          </cell>
        </row>
        <row r="171">
          <cell r="A171" t="str">
            <v>W00077</v>
          </cell>
          <cell r="B171">
            <v>162</v>
          </cell>
          <cell r="C171" t="str">
            <v>MADHU SCAN</v>
          </cell>
          <cell r="D171">
            <v>1</v>
          </cell>
          <cell r="E171">
            <v>35703</v>
          </cell>
          <cell r="F171">
            <v>665000</v>
          </cell>
          <cell r="G171">
            <v>277678</v>
          </cell>
          <cell r="L171">
            <v>0.22919999999999999</v>
          </cell>
          <cell r="O171">
            <v>36770</v>
          </cell>
          <cell r="P171">
            <v>36861</v>
          </cell>
          <cell r="Q171">
            <v>50400</v>
          </cell>
          <cell r="R171">
            <v>34531</v>
          </cell>
          <cell r="S171">
            <v>15869</v>
          </cell>
          <cell r="T171">
            <v>31</v>
          </cell>
          <cell r="V171">
            <v>243147</v>
          </cell>
          <cell r="W171">
            <v>4733.1727791780822</v>
          </cell>
          <cell r="X171">
            <v>16.16</v>
          </cell>
          <cell r="Y171" t="str">
            <v>MED SYSTEMS</v>
          </cell>
          <cell r="Z171">
            <v>3337.1759210958903</v>
          </cell>
          <cell r="AB171">
            <v>15.85</v>
          </cell>
          <cell r="AC171">
            <v>13.85</v>
          </cell>
          <cell r="AD171">
            <v>0.13849999999999998</v>
          </cell>
          <cell r="AE171">
            <v>1.95E-2</v>
          </cell>
          <cell r="AF171">
            <v>4.0000000000000001E-3</v>
          </cell>
          <cell r="AG171">
            <v>0.11499999999999998</v>
          </cell>
        </row>
        <row r="172">
          <cell r="A172" t="str">
            <v>W00214</v>
          </cell>
          <cell r="B172">
            <v>163</v>
          </cell>
          <cell r="C172" t="str">
            <v>MOULANA HOSPITAL</v>
          </cell>
          <cell r="D172">
            <v>1</v>
          </cell>
          <cell r="E172">
            <v>35703</v>
          </cell>
          <cell r="F172">
            <v>652500</v>
          </cell>
          <cell r="G172">
            <v>273212</v>
          </cell>
          <cell r="L172">
            <v>0.2263</v>
          </cell>
          <cell r="O172">
            <v>36779</v>
          </cell>
          <cell r="P172">
            <v>36870</v>
          </cell>
          <cell r="Q172">
            <v>49453</v>
          </cell>
          <cell r="R172">
            <v>34039</v>
          </cell>
          <cell r="S172">
            <v>15414</v>
          </cell>
          <cell r="T172">
            <v>22</v>
          </cell>
          <cell r="V172">
            <v>239173</v>
          </cell>
          <cell r="W172">
            <v>3262.3197200000004</v>
          </cell>
          <cell r="X172">
            <v>16.16</v>
          </cell>
          <cell r="Y172" t="str">
            <v>MED SYSTEMS</v>
          </cell>
          <cell r="Z172">
            <v>3282.6330432876716</v>
          </cell>
          <cell r="AB172">
            <v>15.85</v>
          </cell>
          <cell r="AC172">
            <v>13.85</v>
          </cell>
          <cell r="AD172">
            <v>0.13849999999999998</v>
          </cell>
          <cell r="AE172">
            <v>1.95E-2</v>
          </cell>
          <cell r="AF172">
            <v>4.0000000000000001E-3</v>
          </cell>
          <cell r="AG172">
            <v>0.11499999999999998</v>
          </cell>
        </row>
        <row r="173">
          <cell r="A173" t="str">
            <v>W00119</v>
          </cell>
          <cell r="B173">
            <v>164</v>
          </cell>
          <cell r="C173" t="str">
            <v>QUEST DIAGNOSTICS</v>
          </cell>
          <cell r="D173">
            <v>1</v>
          </cell>
          <cell r="E173">
            <v>35703</v>
          </cell>
          <cell r="F173">
            <v>391500</v>
          </cell>
          <cell r="G173">
            <v>142976.92000000001</v>
          </cell>
          <cell r="L173">
            <v>0.2306</v>
          </cell>
          <cell r="O173">
            <v>36857</v>
          </cell>
          <cell r="S173">
            <v>0</v>
          </cell>
          <cell r="T173">
            <v>35</v>
          </cell>
          <cell r="V173">
            <v>142976.92000000001</v>
          </cell>
          <cell r="W173">
            <v>3161.5526611506848</v>
          </cell>
          <cell r="X173">
            <v>16.16</v>
          </cell>
          <cell r="Y173" t="str">
            <v>MED SYSTEMS</v>
          </cell>
          <cell r="Z173">
            <v>1962.3484340602743</v>
          </cell>
          <cell r="AB173">
            <v>15.85</v>
          </cell>
          <cell r="AC173">
            <v>13.85</v>
          </cell>
          <cell r="AD173">
            <v>0.13849999999999998</v>
          </cell>
          <cell r="AE173">
            <v>1.95E-2</v>
          </cell>
          <cell r="AF173">
            <v>4.0000000000000001E-3</v>
          </cell>
          <cell r="AG173">
            <v>0.11499999999999998</v>
          </cell>
        </row>
        <row r="174">
          <cell r="A174" t="str">
            <v>W00057</v>
          </cell>
          <cell r="B174">
            <v>165</v>
          </cell>
          <cell r="C174" t="str">
            <v>BABY MEMORIAL-III</v>
          </cell>
          <cell r="D174">
            <v>3</v>
          </cell>
          <cell r="E174">
            <v>35734</v>
          </cell>
          <cell r="F174">
            <v>3339000</v>
          </cell>
          <cell r="G174">
            <v>1394838</v>
          </cell>
          <cell r="L174">
            <v>0.20830000000000001</v>
          </cell>
          <cell r="O174">
            <v>36800</v>
          </cell>
          <cell r="S174">
            <v>0</v>
          </cell>
          <cell r="T174">
            <v>92</v>
          </cell>
          <cell r="V174">
            <v>1394838</v>
          </cell>
          <cell r="W174">
            <v>73233.198621369869</v>
          </cell>
          <cell r="X174">
            <v>15.91</v>
          </cell>
          <cell r="Y174" t="str">
            <v>MED SYSTEMS</v>
          </cell>
          <cell r="Z174">
            <v>18847.891780273974</v>
          </cell>
          <cell r="AB174">
            <v>15.6</v>
          </cell>
          <cell r="AC174">
            <v>14.1</v>
          </cell>
          <cell r="AD174">
            <v>0.14099999999999999</v>
          </cell>
          <cell r="AE174">
            <v>1.95E-2</v>
          </cell>
          <cell r="AF174">
            <v>4.0000000000000001E-3</v>
          </cell>
          <cell r="AG174">
            <v>0.11749999999999998</v>
          </cell>
        </row>
        <row r="175">
          <cell r="A175" t="str">
            <v>W00019</v>
          </cell>
          <cell r="B175">
            <v>166</v>
          </cell>
          <cell r="C175" t="str">
            <v>HOSPITA INDIA MEDICAL</v>
          </cell>
          <cell r="D175">
            <v>1</v>
          </cell>
          <cell r="E175">
            <v>35734</v>
          </cell>
          <cell r="F175">
            <v>2548840</v>
          </cell>
          <cell r="G175">
            <v>1423570.33</v>
          </cell>
          <cell r="L175">
            <v>0.23899999999999999</v>
          </cell>
          <cell r="O175">
            <v>36831</v>
          </cell>
          <cell r="S175">
            <v>0</v>
          </cell>
          <cell r="T175">
            <v>61</v>
          </cell>
          <cell r="V175">
            <v>1423570.33</v>
          </cell>
          <cell r="W175">
            <v>56860.909153616441</v>
          </cell>
          <cell r="X175">
            <v>15.91</v>
          </cell>
          <cell r="Y175" t="str">
            <v>MED SYSTEMS</v>
          </cell>
          <cell r="Z175">
            <v>19236.140341350685</v>
          </cell>
          <cell r="AB175">
            <v>15.6</v>
          </cell>
          <cell r="AC175">
            <v>14.1</v>
          </cell>
          <cell r="AD175">
            <v>0.14099999999999999</v>
          </cell>
          <cell r="AE175">
            <v>1.95E-2</v>
          </cell>
          <cell r="AF175">
            <v>4.0000000000000001E-3</v>
          </cell>
          <cell r="AG175">
            <v>0.11749999999999998</v>
          </cell>
        </row>
        <row r="176">
          <cell r="A176" t="str">
            <v>W00205</v>
          </cell>
          <cell r="B176">
            <v>167</v>
          </cell>
          <cell r="C176" t="str">
            <v>KALPANA NURSING HOME</v>
          </cell>
          <cell r="D176">
            <v>1</v>
          </cell>
          <cell r="E176">
            <v>35734</v>
          </cell>
          <cell r="F176">
            <v>1662350</v>
          </cell>
          <cell r="G176">
            <v>0</v>
          </cell>
          <cell r="L176">
            <v>0.2225</v>
          </cell>
          <cell r="O176">
            <v>36410</v>
          </cell>
          <cell r="S176">
            <v>0</v>
          </cell>
          <cell r="T176">
            <v>482</v>
          </cell>
          <cell r="V176">
            <v>0</v>
          </cell>
          <cell r="W176">
            <v>0</v>
          </cell>
          <cell r="X176">
            <v>15.91</v>
          </cell>
          <cell r="Y176" t="str">
            <v>MED SYSTEMS</v>
          </cell>
          <cell r="Z176">
            <v>0</v>
          </cell>
          <cell r="AB176">
            <v>15.6</v>
          </cell>
          <cell r="AC176">
            <v>14.1</v>
          </cell>
          <cell r="AD176">
            <v>0.14099999999999999</v>
          </cell>
          <cell r="AE176">
            <v>1.95E-2</v>
          </cell>
          <cell r="AF176">
            <v>4.0000000000000001E-3</v>
          </cell>
          <cell r="AG176">
            <v>0.11749999999999998</v>
          </cell>
        </row>
        <row r="177">
          <cell r="A177" t="str">
            <v>W00050</v>
          </cell>
          <cell r="B177">
            <v>168</v>
          </cell>
          <cell r="C177" t="str">
            <v>HOSPITA INDIA MEDICAL</v>
          </cell>
          <cell r="D177">
            <v>2</v>
          </cell>
          <cell r="E177">
            <v>35740</v>
          </cell>
          <cell r="F177">
            <v>20998848</v>
          </cell>
          <cell r="G177">
            <v>13338351.370000001</v>
          </cell>
          <cell r="L177">
            <v>0.2172</v>
          </cell>
          <cell r="O177">
            <v>36831</v>
          </cell>
          <cell r="S177">
            <v>0</v>
          </cell>
          <cell r="T177">
            <v>61</v>
          </cell>
          <cell r="V177">
            <v>13338351.370000001</v>
          </cell>
          <cell r="W177">
            <v>484171.19170247676</v>
          </cell>
          <cell r="X177">
            <v>15.41</v>
          </cell>
          <cell r="Y177" t="str">
            <v>MED SYSTEMS</v>
          </cell>
          <cell r="Z177">
            <v>174571.61186199181</v>
          </cell>
          <cell r="AB177">
            <v>15.1</v>
          </cell>
          <cell r="AC177">
            <v>14.1</v>
          </cell>
          <cell r="AD177">
            <v>0.14099999999999999</v>
          </cell>
          <cell r="AE177">
            <v>1.95E-2</v>
          </cell>
          <cell r="AF177">
            <v>4.0000000000000001E-3</v>
          </cell>
          <cell r="AG177">
            <v>0.11749999999999998</v>
          </cell>
        </row>
        <row r="178">
          <cell r="A178" t="str">
            <v>W00080</v>
          </cell>
          <cell r="B178">
            <v>169</v>
          </cell>
          <cell r="C178" t="str">
            <v>CARDIOVASCULAR</v>
          </cell>
          <cell r="D178">
            <v>1</v>
          </cell>
          <cell r="E178">
            <v>35754</v>
          </cell>
          <cell r="F178">
            <v>31717805</v>
          </cell>
          <cell r="G178">
            <v>23303693.359999999</v>
          </cell>
          <cell r="L178">
            <v>0.2422</v>
          </cell>
          <cell r="O178">
            <v>36840</v>
          </cell>
          <cell r="P178">
            <v>36870</v>
          </cell>
          <cell r="Q178">
            <v>1069000</v>
          </cell>
          <cell r="R178">
            <v>605099</v>
          </cell>
          <cell r="S178">
            <v>463901</v>
          </cell>
          <cell r="T178">
            <v>22</v>
          </cell>
          <cell r="V178">
            <v>22698594.359999999</v>
          </cell>
          <cell r="W178">
            <v>331362.16489814792</v>
          </cell>
          <cell r="X178">
            <v>15.41</v>
          </cell>
          <cell r="Y178" t="str">
            <v>MED SYSTEMS</v>
          </cell>
          <cell r="Z178">
            <v>297077.95922508492</v>
          </cell>
          <cell r="AB178">
            <v>15.1</v>
          </cell>
          <cell r="AC178">
            <v>14.1</v>
          </cell>
          <cell r="AD178">
            <v>0.14099999999999999</v>
          </cell>
          <cell r="AE178">
            <v>1.95E-2</v>
          </cell>
          <cell r="AF178">
            <v>4.0000000000000001E-3</v>
          </cell>
          <cell r="AG178">
            <v>0.11749999999999998</v>
          </cell>
        </row>
        <row r="179">
          <cell r="A179" t="str">
            <v>W00190</v>
          </cell>
          <cell r="B179">
            <v>170</v>
          </cell>
          <cell r="C179" t="str">
            <v>MEDICAVE</v>
          </cell>
          <cell r="D179">
            <v>1</v>
          </cell>
          <cell r="E179">
            <v>35754</v>
          </cell>
          <cell r="F179">
            <v>2385240</v>
          </cell>
          <cell r="G179">
            <v>1739800.64</v>
          </cell>
          <cell r="L179">
            <v>0.16400000000000001</v>
          </cell>
          <cell r="O179">
            <v>36841</v>
          </cell>
          <cell r="P179">
            <v>36871</v>
          </cell>
          <cell r="Q179">
            <v>61494</v>
          </cell>
          <cell r="R179">
            <v>38041</v>
          </cell>
          <cell r="S179">
            <v>23453</v>
          </cell>
          <cell r="T179">
            <v>21</v>
          </cell>
          <cell r="V179">
            <v>1701759.64</v>
          </cell>
          <cell r="W179">
            <v>16057.151233315068</v>
          </cell>
          <cell r="X179">
            <v>15.41</v>
          </cell>
          <cell r="Y179" t="str">
            <v>MED SYSTEMS</v>
          </cell>
          <cell r="Z179">
            <v>22272.536921216437</v>
          </cell>
          <cell r="AB179">
            <v>15.1</v>
          </cell>
          <cell r="AC179">
            <v>14.1</v>
          </cell>
          <cell r="AD179">
            <v>0.14099999999999999</v>
          </cell>
          <cell r="AE179">
            <v>1.95E-2</v>
          </cell>
          <cell r="AF179">
            <v>4.0000000000000001E-3</v>
          </cell>
          <cell r="AG179">
            <v>0.11749999999999998</v>
          </cell>
        </row>
        <row r="180">
          <cell r="A180" t="str">
            <v>W00137</v>
          </cell>
          <cell r="B180">
            <v>171</v>
          </cell>
          <cell r="C180" t="str">
            <v>P V N MURTHY</v>
          </cell>
          <cell r="D180">
            <v>1</v>
          </cell>
          <cell r="E180">
            <v>35754</v>
          </cell>
          <cell r="F180">
            <v>661500</v>
          </cell>
          <cell r="G180">
            <v>349420</v>
          </cell>
          <cell r="L180">
            <v>0.24440000000000001</v>
          </cell>
          <cell r="O180">
            <v>36804</v>
          </cell>
          <cell r="S180">
            <v>0</v>
          </cell>
          <cell r="T180">
            <v>88</v>
          </cell>
          <cell r="V180">
            <v>349420</v>
          </cell>
          <cell r="W180">
            <v>20589.166641095893</v>
          </cell>
          <cell r="X180">
            <v>15.41</v>
          </cell>
          <cell r="Y180" t="str">
            <v>MED SYSTEMS</v>
          </cell>
          <cell r="Z180">
            <v>4573.1898136986301</v>
          </cell>
          <cell r="AB180">
            <v>15.1</v>
          </cell>
          <cell r="AC180">
            <v>14.1</v>
          </cell>
          <cell r="AD180">
            <v>0.14099999999999999</v>
          </cell>
          <cell r="AE180">
            <v>1.95E-2</v>
          </cell>
          <cell r="AF180">
            <v>4.0000000000000001E-3</v>
          </cell>
          <cell r="AG180">
            <v>0.11749999999999998</v>
          </cell>
        </row>
        <row r="181">
          <cell r="A181" t="str">
            <v>W00043</v>
          </cell>
          <cell r="B181">
            <v>172</v>
          </cell>
          <cell r="C181" t="str">
            <v>EKO DIAGNOSTICS</v>
          </cell>
          <cell r="D181">
            <v>1</v>
          </cell>
          <cell r="E181">
            <v>35756</v>
          </cell>
          <cell r="F181">
            <v>11020000</v>
          </cell>
          <cell r="G181">
            <v>4644555.0599999996</v>
          </cell>
          <cell r="L181">
            <v>0.2092</v>
          </cell>
          <cell r="O181">
            <v>36855</v>
          </cell>
          <cell r="S181">
            <v>0</v>
          </cell>
          <cell r="T181">
            <v>37</v>
          </cell>
          <cell r="V181">
            <v>4644555.0599999996</v>
          </cell>
          <cell r="W181">
            <v>98495.106812120532</v>
          </cell>
          <cell r="X181">
            <v>15.41</v>
          </cell>
          <cell r="Y181" t="str">
            <v>MED SYSTEMS</v>
          </cell>
          <cell r="Z181">
            <v>60787.682129112312</v>
          </cell>
          <cell r="AB181">
            <v>15.1</v>
          </cell>
          <cell r="AC181">
            <v>14.1</v>
          </cell>
          <cell r="AD181">
            <v>0.14099999999999999</v>
          </cell>
          <cell r="AE181">
            <v>1.95E-2</v>
          </cell>
          <cell r="AF181">
            <v>4.0000000000000001E-3</v>
          </cell>
          <cell r="AG181">
            <v>0.11749999999999998</v>
          </cell>
        </row>
        <row r="182">
          <cell r="A182" t="str">
            <v>W00195</v>
          </cell>
          <cell r="B182">
            <v>173</v>
          </cell>
          <cell r="C182" t="str">
            <v>EKO PROSPEED CT</v>
          </cell>
          <cell r="D182">
            <v>1</v>
          </cell>
          <cell r="E182">
            <v>35756</v>
          </cell>
          <cell r="F182">
            <v>16497540</v>
          </cell>
          <cell r="G182">
            <v>10640489</v>
          </cell>
          <cell r="L182">
            <v>0.22320000000000001</v>
          </cell>
          <cell r="O182">
            <v>36819</v>
          </cell>
          <cell r="S182">
            <v>0</v>
          </cell>
          <cell r="T182">
            <v>73</v>
          </cell>
          <cell r="V182">
            <v>10640489</v>
          </cell>
          <cell r="W182">
            <v>474991.42896000005</v>
          </cell>
          <cell r="X182">
            <v>15.41</v>
          </cell>
          <cell r="Y182" t="str">
            <v>MED SYSTEMS</v>
          </cell>
          <cell r="Z182">
            <v>139262.13699150685</v>
          </cell>
          <cell r="AB182">
            <v>15.1</v>
          </cell>
          <cell r="AC182">
            <v>14.1</v>
          </cell>
          <cell r="AD182">
            <v>0.14099999999999999</v>
          </cell>
          <cell r="AE182">
            <v>1.95E-2</v>
          </cell>
          <cell r="AF182">
            <v>4.0000000000000001E-3</v>
          </cell>
          <cell r="AG182">
            <v>0.11749999999999998</v>
          </cell>
        </row>
        <row r="183">
          <cell r="A183" t="str">
            <v>W00163</v>
          </cell>
          <cell r="B183">
            <v>174</v>
          </cell>
          <cell r="C183" t="str">
            <v>K L ANAND(revised in sep 98)</v>
          </cell>
          <cell r="D183">
            <v>1</v>
          </cell>
          <cell r="E183">
            <v>35756</v>
          </cell>
          <cell r="F183">
            <v>21500000</v>
          </cell>
          <cell r="G183">
            <v>15841694</v>
          </cell>
          <cell r="L183">
            <v>0.15190000000000001</v>
          </cell>
          <cell r="O183">
            <v>36858</v>
          </cell>
          <cell r="P183">
            <v>36888</v>
          </cell>
          <cell r="Q183">
            <v>527600</v>
          </cell>
          <cell r="R183">
            <v>329836</v>
          </cell>
          <cell r="S183">
            <v>197764</v>
          </cell>
          <cell r="T183">
            <v>4</v>
          </cell>
          <cell r="V183">
            <v>15511858</v>
          </cell>
          <cell r="W183">
            <v>25821.931289863016</v>
          </cell>
          <cell r="X183">
            <v>15.41</v>
          </cell>
          <cell r="Y183" t="str">
            <v>MED SYSTEMS</v>
          </cell>
          <cell r="Z183">
            <v>203018.34753917807</v>
          </cell>
          <cell r="AB183">
            <v>15.1</v>
          </cell>
          <cell r="AC183">
            <v>14.1</v>
          </cell>
          <cell r="AD183">
            <v>0.14099999999999999</v>
          </cell>
          <cell r="AE183">
            <v>1.95E-2</v>
          </cell>
          <cell r="AF183">
            <v>4.0000000000000001E-3</v>
          </cell>
          <cell r="AG183">
            <v>0.11749999999999998</v>
          </cell>
        </row>
        <row r="184">
          <cell r="A184" t="str">
            <v>W00196</v>
          </cell>
          <cell r="B184">
            <v>175</v>
          </cell>
          <cell r="C184" t="str">
            <v>Masih XRay Centre</v>
          </cell>
          <cell r="D184">
            <v>2</v>
          </cell>
          <cell r="E184">
            <v>35756</v>
          </cell>
          <cell r="F184">
            <v>459000</v>
          </cell>
          <cell r="G184">
            <v>1</v>
          </cell>
          <cell r="L184">
            <v>0.24610000000000001</v>
          </cell>
          <cell r="O184">
            <v>36807</v>
          </cell>
          <cell r="S184">
            <v>0</v>
          </cell>
          <cell r="T184">
            <v>85</v>
          </cell>
          <cell r="V184">
            <v>1</v>
          </cell>
          <cell r="W184">
            <v>5.7310958904109588E-2</v>
          </cell>
          <cell r="X184">
            <v>15.41</v>
          </cell>
          <cell r="Y184" t="str">
            <v>MED SYSTEMS</v>
          </cell>
          <cell r="Z184">
            <v>1.3087945205479455E-2</v>
          </cell>
          <cell r="AB184">
            <v>15.1</v>
          </cell>
          <cell r="AC184">
            <v>14.1</v>
          </cell>
          <cell r="AD184">
            <v>0.14099999999999999</v>
          </cell>
          <cell r="AE184">
            <v>1.95E-2</v>
          </cell>
          <cell r="AF184">
            <v>4.0000000000000001E-3</v>
          </cell>
          <cell r="AG184">
            <v>0.11749999999999998</v>
          </cell>
        </row>
        <row r="185">
          <cell r="A185" t="str">
            <v>W00012</v>
          </cell>
          <cell r="B185">
            <v>176</v>
          </cell>
          <cell r="C185" t="str">
            <v>COMPUTER RADIODIAGNOSTICS</v>
          </cell>
          <cell r="D185">
            <v>1</v>
          </cell>
          <cell r="E185">
            <v>35770</v>
          </cell>
          <cell r="F185">
            <v>6624000</v>
          </cell>
          <cell r="G185">
            <v>0</v>
          </cell>
          <cell r="L185">
            <v>0.22589999999999999</v>
          </cell>
          <cell r="O185">
            <v>35932</v>
          </cell>
          <cell r="S185">
            <v>0</v>
          </cell>
          <cell r="T185">
            <v>960</v>
          </cell>
          <cell r="V185">
            <v>0</v>
          </cell>
          <cell r="W185">
            <v>0</v>
          </cell>
          <cell r="X185">
            <v>0</v>
          </cell>
          <cell r="Y185" t="str">
            <v>MED SYSTEMS</v>
          </cell>
          <cell r="Z185">
            <v>0</v>
          </cell>
          <cell r="AB185">
            <v>15.1</v>
          </cell>
          <cell r="AC185">
            <v>14.1</v>
          </cell>
          <cell r="AD185">
            <v>0.14099999999999999</v>
          </cell>
          <cell r="AE185">
            <v>1.95E-2</v>
          </cell>
          <cell r="AF185">
            <v>4.0000000000000001E-3</v>
          </cell>
          <cell r="AG185">
            <v>0.11749999999999998</v>
          </cell>
        </row>
        <row r="186">
          <cell r="A186" t="str">
            <v>W00131</v>
          </cell>
          <cell r="B186">
            <v>177</v>
          </cell>
          <cell r="C186" t="str">
            <v>EKO DIAGNOSTICS</v>
          </cell>
          <cell r="D186">
            <v>2</v>
          </cell>
          <cell r="E186">
            <v>35770</v>
          </cell>
          <cell r="F186">
            <v>1943460</v>
          </cell>
          <cell r="G186">
            <v>1339856</v>
          </cell>
          <cell r="L186">
            <v>0.2165</v>
          </cell>
          <cell r="O186">
            <v>36770</v>
          </cell>
          <cell r="P186">
            <v>36861</v>
          </cell>
          <cell r="Q186">
            <v>146154</v>
          </cell>
          <cell r="R186">
            <v>73825</v>
          </cell>
          <cell r="S186">
            <v>72329</v>
          </cell>
          <cell r="T186">
            <v>31</v>
          </cell>
          <cell r="V186">
            <v>1266031</v>
          </cell>
          <cell r="W186">
            <v>23279.361798630136</v>
          </cell>
          <cell r="X186">
            <v>15.41</v>
          </cell>
          <cell r="Y186" t="str">
            <v>MED SYSTEMS</v>
          </cell>
          <cell r="Z186">
            <v>16569.744356438357</v>
          </cell>
          <cell r="AB186">
            <v>15.1</v>
          </cell>
          <cell r="AC186">
            <v>14.1</v>
          </cell>
          <cell r="AD186">
            <v>0.14099999999999999</v>
          </cell>
          <cell r="AE186">
            <v>1.95E-2</v>
          </cell>
          <cell r="AF186">
            <v>4.0000000000000001E-3</v>
          </cell>
          <cell r="AG186">
            <v>0.11749999999999998</v>
          </cell>
        </row>
        <row r="187">
          <cell r="A187" t="str">
            <v>W00100</v>
          </cell>
          <cell r="B187">
            <v>178</v>
          </cell>
          <cell r="C187" t="str">
            <v>MEDICAVE DIAGNOSTICS</v>
          </cell>
          <cell r="D187">
            <v>2</v>
          </cell>
          <cell r="E187">
            <v>35780</v>
          </cell>
          <cell r="F187">
            <v>11487454</v>
          </cell>
          <cell r="G187">
            <v>9299185.3499999996</v>
          </cell>
          <cell r="L187">
            <v>0.2258</v>
          </cell>
          <cell r="O187">
            <v>36831</v>
          </cell>
          <cell r="P187">
            <v>36861</v>
          </cell>
          <cell r="Q187">
            <v>351006</v>
          </cell>
          <cell r="R187">
            <v>178450</v>
          </cell>
          <cell r="S187">
            <v>172556</v>
          </cell>
          <cell r="T187">
            <v>31</v>
          </cell>
          <cell r="V187">
            <v>9120735.3499999996</v>
          </cell>
          <cell r="W187">
            <v>174913.21452857534</v>
          </cell>
          <cell r="X187">
            <v>15.41</v>
          </cell>
          <cell r="Y187" t="str">
            <v>MED SYSTEMS</v>
          </cell>
          <cell r="Z187">
            <v>119371.68449447944</v>
          </cell>
          <cell r="AB187">
            <v>15.1</v>
          </cell>
          <cell r="AC187">
            <v>14.1</v>
          </cell>
          <cell r="AD187">
            <v>0.14099999999999999</v>
          </cell>
          <cell r="AE187">
            <v>1.95E-2</v>
          </cell>
          <cell r="AF187">
            <v>4.0000000000000001E-3</v>
          </cell>
          <cell r="AG187">
            <v>0.11749999999999998</v>
          </cell>
        </row>
        <row r="188">
          <cell r="A188" t="str">
            <v>W00502</v>
          </cell>
          <cell r="B188">
            <v>179</v>
          </cell>
          <cell r="C188" t="str">
            <v>BHUVAN XRAY(foreclosed in august 99)</v>
          </cell>
          <cell r="D188">
            <v>1</v>
          </cell>
          <cell r="E188">
            <v>35788</v>
          </cell>
          <cell r="F188">
            <v>3860000</v>
          </cell>
          <cell r="G188">
            <v>0</v>
          </cell>
          <cell r="L188">
            <v>0.2359</v>
          </cell>
          <cell r="O188">
            <v>36363</v>
          </cell>
          <cell r="S188">
            <v>0</v>
          </cell>
          <cell r="T188">
            <v>529</v>
          </cell>
          <cell r="V188">
            <v>0</v>
          </cell>
          <cell r="W188">
            <v>0</v>
          </cell>
          <cell r="X188">
            <v>15.41</v>
          </cell>
          <cell r="Y188" t="str">
            <v>MED SYSTEMS</v>
          </cell>
          <cell r="Z188">
            <v>0</v>
          </cell>
          <cell r="AB188">
            <v>15.1</v>
          </cell>
          <cell r="AC188">
            <v>14.1</v>
          </cell>
          <cell r="AD188">
            <v>0.14099999999999999</v>
          </cell>
          <cell r="AE188">
            <v>1.95E-2</v>
          </cell>
          <cell r="AF188">
            <v>4.0000000000000001E-3</v>
          </cell>
          <cell r="AG188">
            <v>0.11749999999999998</v>
          </cell>
        </row>
        <row r="189">
          <cell r="A189" t="str">
            <v>W00505</v>
          </cell>
          <cell r="B189">
            <v>180</v>
          </cell>
          <cell r="C189" t="str">
            <v>HOSPITA INDIA MEDICAL</v>
          </cell>
          <cell r="D189">
            <v>3</v>
          </cell>
          <cell r="E189">
            <v>35788</v>
          </cell>
          <cell r="F189">
            <v>8122752</v>
          </cell>
          <cell r="G189">
            <v>5662247</v>
          </cell>
          <cell r="L189">
            <v>0.21759999999999999</v>
          </cell>
          <cell r="O189">
            <v>36786</v>
          </cell>
          <cell r="P189">
            <v>36877</v>
          </cell>
          <cell r="Q189">
            <v>812069</v>
          </cell>
          <cell r="R189">
            <v>504823</v>
          </cell>
          <cell r="S189">
            <v>307246</v>
          </cell>
          <cell r="T189">
            <v>15</v>
          </cell>
          <cell r="V189">
            <v>5157424</v>
          </cell>
          <cell r="W189">
            <v>46120.087495890402</v>
          </cell>
          <cell r="X189">
            <v>15.41</v>
          </cell>
          <cell r="Y189" t="str">
            <v>MED SYSTEMS</v>
          </cell>
          <cell r="Z189">
            <v>67500.082713424665</v>
          </cell>
          <cell r="AB189">
            <v>15.1</v>
          </cell>
          <cell r="AC189">
            <v>14.1</v>
          </cell>
          <cell r="AD189">
            <v>0.14099999999999999</v>
          </cell>
          <cell r="AE189">
            <v>1.95E-2</v>
          </cell>
          <cell r="AF189">
            <v>4.0000000000000001E-3</v>
          </cell>
          <cell r="AG189">
            <v>0.11749999999999998</v>
          </cell>
        </row>
        <row r="190">
          <cell r="A190" t="str">
            <v>W00506</v>
          </cell>
          <cell r="B190">
            <v>181</v>
          </cell>
          <cell r="C190" t="str">
            <v>MOIDU'S MEDICARE</v>
          </cell>
          <cell r="D190">
            <v>2</v>
          </cell>
          <cell r="E190">
            <v>35788</v>
          </cell>
          <cell r="F190">
            <v>2082500</v>
          </cell>
          <cell r="G190">
            <v>75792.039999999994</v>
          </cell>
          <cell r="L190">
            <v>0.20280000000000001</v>
          </cell>
          <cell r="O190">
            <v>36839</v>
          </cell>
          <cell r="P190">
            <v>36869</v>
          </cell>
          <cell r="Q190">
            <v>77053</v>
          </cell>
          <cell r="R190">
            <v>75790</v>
          </cell>
          <cell r="S190">
            <v>1263</v>
          </cell>
          <cell r="T190">
            <v>23</v>
          </cell>
          <cell r="V190">
            <v>2.0399999999935972</v>
          </cell>
          <cell r="W190">
            <v>2.6069523287589411E-2</v>
          </cell>
          <cell r="X190">
            <v>15.41</v>
          </cell>
          <cell r="Y190" t="str">
            <v>MED SYSTEMS</v>
          </cell>
          <cell r="Z190">
            <v>2.6699408219094282E-2</v>
          </cell>
          <cell r="AB190">
            <v>15.1</v>
          </cell>
          <cell r="AC190">
            <v>14.1</v>
          </cell>
          <cell r="AD190">
            <v>0.14099999999999999</v>
          </cell>
          <cell r="AE190">
            <v>1.95E-2</v>
          </cell>
          <cell r="AF190">
            <v>4.0000000000000001E-3</v>
          </cell>
          <cell r="AG190">
            <v>0.11749999999999998</v>
          </cell>
        </row>
        <row r="191">
          <cell r="A191" t="str">
            <v>W00501</v>
          </cell>
          <cell r="B191">
            <v>182</v>
          </cell>
          <cell r="C191" t="str">
            <v>POSITIVE HEALTH CARE</v>
          </cell>
          <cell r="D191">
            <v>1</v>
          </cell>
          <cell r="E191">
            <v>35788</v>
          </cell>
          <cell r="F191">
            <v>693500</v>
          </cell>
          <cell r="G191">
            <v>288261.64</v>
          </cell>
          <cell r="L191">
            <v>0.2339</v>
          </cell>
          <cell r="O191">
            <v>36841</v>
          </cell>
          <cell r="S191">
            <v>0</v>
          </cell>
          <cell r="T191">
            <v>51</v>
          </cell>
          <cell r="V191">
            <v>288261.64</v>
          </cell>
          <cell r="W191">
            <v>9420.9432257424651</v>
          </cell>
          <cell r="X191">
            <v>15.41</v>
          </cell>
          <cell r="Y191" t="str">
            <v>MED SYSTEMS</v>
          </cell>
          <cell r="Z191">
            <v>3772.7525491616448</v>
          </cell>
          <cell r="AB191">
            <v>15.1</v>
          </cell>
          <cell r="AC191">
            <v>14.1</v>
          </cell>
          <cell r="AD191">
            <v>0.14099999999999999</v>
          </cell>
          <cell r="AE191">
            <v>1.95E-2</v>
          </cell>
          <cell r="AF191">
            <v>4.0000000000000001E-3</v>
          </cell>
          <cell r="AG191">
            <v>0.11749999999999998</v>
          </cell>
        </row>
        <row r="192">
          <cell r="A192" t="str">
            <v>W00047</v>
          </cell>
          <cell r="B192">
            <v>183</v>
          </cell>
          <cell r="C192" t="str">
            <v>BELLARY HEALTH CARE</v>
          </cell>
          <cell r="D192">
            <v>1</v>
          </cell>
          <cell r="E192">
            <v>35794</v>
          </cell>
          <cell r="F192">
            <v>4600000</v>
          </cell>
          <cell r="G192">
            <v>2502258.6</v>
          </cell>
          <cell r="L192">
            <v>0.2122</v>
          </cell>
          <cell r="O192">
            <v>36835</v>
          </cell>
          <cell r="P192">
            <v>36865</v>
          </cell>
          <cell r="Q192">
            <v>128800</v>
          </cell>
          <cell r="R192">
            <v>85166</v>
          </cell>
          <cell r="S192">
            <v>43634</v>
          </cell>
          <cell r="T192">
            <v>27</v>
          </cell>
          <cell r="V192">
            <v>2417092.6</v>
          </cell>
          <cell r="W192">
            <v>37941.069431342468</v>
          </cell>
          <cell r="X192">
            <v>15.41</v>
          </cell>
          <cell r="Y192" t="str">
            <v>MED SYSTEMS</v>
          </cell>
          <cell r="Z192">
            <v>31634.77550536986</v>
          </cell>
          <cell r="AB192">
            <v>15.1</v>
          </cell>
          <cell r="AC192">
            <v>14.1</v>
          </cell>
          <cell r="AD192">
            <v>0.14099999999999999</v>
          </cell>
          <cell r="AE192">
            <v>1.95E-2</v>
          </cell>
          <cell r="AF192">
            <v>4.0000000000000001E-3</v>
          </cell>
          <cell r="AG192">
            <v>0.11749999999999998</v>
          </cell>
        </row>
        <row r="193">
          <cell r="A193" t="e">
            <v>#N/A</v>
          </cell>
          <cell r="B193">
            <v>184</v>
          </cell>
          <cell r="C193" t="str">
            <v>THOMAS CHANDY</v>
          </cell>
          <cell r="D193">
            <v>1</v>
          </cell>
          <cell r="E193">
            <v>35794</v>
          </cell>
          <cell r="F193">
            <v>1045000</v>
          </cell>
          <cell r="G193">
            <v>0</v>
          </cell>
          <cell r="L193">
            <v>0.25719999999999998</v>
          </cell>
          <cell r="O193">
            <v>35794</v>
          </cell>
          <cell r="S193">
            <v>0</v>
          </cell>
          <cell r="T193">
            <v>1098</v>
          </cell>
          <cell r="V193">
            <v>0</v>
          </cell>
          <cell r="W193">
            <v>0</v>
          </cell>
          <cell r="X193">
            <v>0</v>
          </cell>
          <cell r="Y193" t="str">
            <v>MED SYSTEMS</v>
          </cell>
          <cell r="Z193">
            <v>0</v>
          </cell>
          <cell r="AB193">
            <v>15.1</v>
          </cell>
          <cell r="AC193">
            <v>14.1</v>
          </cell>
          <cell r="AD193">
            <v>0.14099999999999999</v>
          </cell>
          <cell r="AE193">
            <v>1.95E-2</v>
          </cell>
          <cell r="AF193">
            <v>4.0000000000000001E-3</v>
          </cell>
          <cell r="AG193">
            <v>0.11749999999999998</v>
          </cell>
        </row>
        <row r="194">
          <cell r="A194" t="str">
            <v>W00105</v>
          </cell>
          <cell r="B194">
            <v>185</v>
          </cell>
          <cell r="C194" t="str">
            <v>I S VIRDI</v>
          </cell>
          <cell r="D194">
            <v>1</v>
          </cell>
          <cell r="E194">
            <v>35794</v>
          </cell>
          <cell r="F194">
            <v>2070000</v>
          </cell>
          <cell r="G194">
            <v>979353</v>
          </cell>
          <cell r="L194">
            <v>0.2215</v>
          </cell>
          <cell r="O194">
            <v>36788</v>
          </cell>
          <cell r="P194">
            <v>36879</v>
          </cell>
          <cell r="Q194">
            <v>162876</v>
          </cell>
          <cell r="R194">
            <v>108793</v>
          </cell>
          <cell r="S194">
            <v>54083</v>
          </cell>
          <cell r="T194">
            <v>13</v>
          </cell>
          <cell r="V194">
            <v>870560</v>
          </cell>
          <cell r="W194">
            <v>6867.8836164383565</v>
          </cell>
          <cell r="X194">
            <v>15.41</v>
          </cell>
          <cell r="Y194" t="str">
            <v>MED SYSTEMS</v>
          </cell>
          <cell r="Z194">
            <v>11393.841578082192</v>
          </cell>
          <cell r="AB194">
            <v>15.1</v>
          </cell>
          <cell r="AC194">
            <v>14.1</v>
          </cell>
          <cell r="AD194">
            <v>0.14099999999999999</v>
          </cell>
          <cell r="AE194">
            <v>1.95E-2</v>
          </cell>
          <cell r="AF194">
            <v>4.0000000000000001E-3</v>
          </cell>
          <cell r="AG194">
            <v>0.11749999999999998</v>
          </cell>
        </row>
        <row r="195">
          <cell r="A195" t="str">
            <v>W00106</v>
          </cell>
          <cell r="B195">
            <v>186</v>
          </cell>
          <cell r="C195" t="str">
            <v>MEENAKSHI DAS</v>
          </cell>
          <cell r="D195">
            <v>3</v>
          </cell>
          <cell r="E195">
            <v>35794</v>
          </cell>
          <cell r="F195">
            <v>2397500</v>
          </cell>
          <cell r="G195">
            <v>1378346</v>
          </cell>
          <cell r="L195">
            <v>0.20760000000000001</v>
          </cell>
          <cell r="O195">
            <v>36793</v>
          </cell>
          <cell r="P195">
            <v>36884</v>
          </cell>
          <cell r="Q195">
            <v>195500</v>
          </cell>
          <cell r="R195">
            <v>124160</v>
          </cell>
          <cell r="S195">
            <v>71340</v>
          </cell>
          <cell r="T195">
            <v>8</v>
          </cell>
          <cell r="V195">
            <v>1254186</v>
          </cell>
          <cell r="W195">
            <v>5706.7181063013704</v>
          </cell>
          <cell r="X195">
            <v>15.41</v>
          </cell>
          <cell r="Y195" t="str">
            <v>MED SYSTEMS</v>
          </cell>
          <cell r="Z195">
            <v>16414.717645479453</v>
          </cell>
          <cell r="AB195">
            <v>15.1</v>
          </cell>
          <cell r="AC195">
            <v>14.1</v>
          </cell>
          <cell r="AD195">
            <v>0.14099999999999999</v>
          </cell>
          <cell r="AE195">
            <v>1.95E-2</v>
          </cell>
          <cell r="AF195">
            <v>4.0000000000000001E-3</v>
          </cell>
          <cell r="AG195">
            <v>0.11749999999999998</v>
          </cell>
        </row>
        <row r="196">
          <cell r="A196" t="str">
            <v>W00107</v>
          </cell>
          <cell r="B196">
            <v>187</v>
          </cell>
          <cell r="C196" t="str">
            <v>NORTH BENGAL NURSING</v>
          </cell>
          <cell r="D196">
            <v>1</v>
          </cell>
          <cell r="E196">
            <v>35794</v>
          </cell>
          <cell r="F196">
            <v>565250</v>
          </cell>
          <cell r="G196">
            <v>171082</v>
          </cell>
          <cell r="L196">
            <v>0.18210000000000001</v>
          </cell>
          <cell r="O196">
            <v>36815</v>
          </cell>
          <cell r="S196">
            <v>0</v>
          </cell>
          <cell r="T196">
            <v>77</v>
          </cell>
          <cell r="V196">
            <v>171082</v>
          </cell>
          <cell r="W196">
            <v>6572.2204915068496</v>
          </cell>
          <cell r="X196">
            <v>15.41</v>
          </cell>
          <cell r="Y196" t="str">
            <v>MED SYSTEMS</v>
          </cell>
          <cell r="Z196">
            <v>2239.1118416438353</v>
          </cell>
          <cell r="AB196">
            <v>15.1</v>
          </cell>
          <cell r="AC196">
            <v>14.1</v>
          </cell>
          <cell r="AD196">
            <v>0.14099999999999999</v>
          </cell>
          <cell r="AE196">
            <v>1.95E-2</v>
          </cell>
          <cell r="AF196">
            <v>4.0000000000000001E-3</v>
          </cell>
          <cell r="AG196">
            <v>0.11749999999999998</v>
          </cell>
        </row>
        <row r="197">
          <cell r="A197" t="str">
            <v>W00058</v>
          </cell>
          <cell r="B197">
            <v>188</v>
          </cell>
          <cell r="C197" t="str">
            <v>TRICHY PREMIER CT SCANS( Forcl. In Jan00)</v>
          </cell>
          <cell r="D197">
            <v>1</v>
          </cell>
          <cell r="E197">
            <v>35794</v>
          </cell>
          <cell r="F197">
            <v>20000000</v>
          </cell>
          <cell r="G197">
            <v>0</v>
          </cell>
          <cell r="L197">
            <v>0.21870000000000001</v>
          </cell>
          <cell r="N197">
            <v>0</v>
          </cell>
          <cell r="O197">
            <v>36495</v>
          </cell>
          <cell r="S197">
            <v>0</v>
          </cell>
          <cell r="T197">
            <v>397</v>
          </cell>
          <cell r="V197">
            <v>0</v>
          </cell>
          <cell r="W197">
            <v>0</v>
          </cell>
          <cell r="X197">
            <v>15.41</v>
          </cell>
          <cell r="Y197" t="str">
            <v>MED SYSTEMS</v>
          </cell>
          <cell r="Z197">
            <v>0</v>
          </cell>
          <cell r="AB197">
            <v>15.1</v>
          </cell>
          <cell r="AC197">
            <v>14.1</v>
          </cell>
          <cell r="AD197">
            <v>0.14099999999999999</v>
          </cell>
          <cell r="AE197">
            <v>1.95E-2</v>
          </cell>
          <cell r="AF197">
            <v>4.0000000000000001E-3</v>
          </cell>
          <cell r="AG197">
            <v>0.11749999999999998</v>
          </cell>
        </row>
        <row r="198">
          <cell r="A198" t="str">
            <v>W00503</v>
          </cell>
          <cell r="B198">
            <v>189</v>
          </cell>
          <cell r="C198" t="str">
            <v>GALAV SCAN CENTRE</v>
          </cell>
          <cell r="D198">
            <v>1</v>
          </cell>
          <cell r="E198">
            <v>35815</v>
          </cell>
          <cell r="F198">
            <v>5177500</v>
          </cell>
          <cell r="G198">
            <v>2448348</v>
          </cell>
          <cell r="L198">
            <v>0.22170000000000001</v>
          </cell>
          <cell r="O198">
            <v>36814</v>
          </cell>
          <cell r="S198">
            <v>0</v>
          </cell>
          <cell r="T198">
            <v>78</v>
          </cell>
          <cell r="V198">
            <v>2448348</v>
          </cell>
          <cell r="W198">
            <v>115995.34965698632</v>
          </cell>
          <cell r="X198">
            <v>15.66</v>
          </cell>
          <cell r="Y198" t="str">
            <v>MED SYSTEMS</v>
          </cell>
          <cell r="Z198">
            <v>32563.699180273972</v>
          </cell>
          <cell r="AB198">
            <v>15.35</v>
          </cell>
          <cell r="AD198">
            <v>0.1535</v>
          </cell>
          <cell r="AE198">
            <v>1.95E-2</v>
          </cell>
          <cell r="AF198">
            <v>4.0000000000000001E-3</v>
          </cell>
          <cell r="AG198">
            <v>0.13</v>
          </cell>
        </row>
        <row r="199">
          <cell r="A199" t="str">
            <v>W00154</v>
          </cell>
          <cell r="B199">
            <v>190</v>
          </cell>
          <cell r="C199" t="str">
            <v>MOIDU'S MEDICARE PVT LTD</v>
          </cell>
          <cell r="D199">
            <v>3</v>
          </cell>
          <cell r="E199">
            <v>35857</v>
          </cell>
          <cell r="F199">
            <v>19579000</v>
          </cell>
          <cell r="G199">
            <v>11874409.439999999</v>
          </cell>
          <cell r="L199">
            <v>0.15359999999999999</v>
          </cell>
          <cell r="O199">
            <v>36845</v>
          </cell>
          <cell r="P199">
            <v>36875</v>
          </cell>
          <cell r="Q199">
            <v>507150</v>
          </cell>
          <cell r="R199">
            <v>357272</v>
          </cell>
          <cell r="S199">
            <v>149878</v>
          </cell>
          <cell r="T199">
            <v>17</v>
          </cell>
          <cell r="V199">
            <v>11517137.439999999</v>
          </cell>
          <cell r="W199">
            <v>82393.285707747942</v>
          </cell>
          <cell r="X199">
            <v>15.91</v>
          </cell>
          <cell r="Y199" t="str">
            <v>MED SYSTEMS</v>
          </cell>
          <cell r="Z199">
            <v>155626.50292554521</v>
          </cell>
          <cell r="AB199">
            <v>15.6</v>
          </cell>
          <cell r="AD199">
            <v>0.156</v>
          </cell>
          <cell r="AE199">
            <v>1.95E-2</v>
          </cell>
          <cell r="AF199">
            <v>4.0000000000000001E-3</v>
          </cell>
          <cell r="AG199">
            <v>0.13250000000000001</v>
          </cell>
        </row>
        <row r="200">
          <cell r="A200" t="str">
            <v>W00153</v>
          </cell>
          <cell r="B200">
            <v>191</v>
          </cell>
          <cell r="C200" t="str">
            <v>SUBURBAN SONO CLINIC</v>
          </cell>
          <cell r="D200">
            <v>1</v>
          </cell>
          <cell r="E200">
            <v>35857</v>
          </cell>
          <cell r="F200">
            <v>2340000</v>
          </cell>
          <cell r="G200">
            <v>1329016.08</v>
          </cell>
          <cell r="L200">
            <v>0.20979999999999999</v>
          </cell>
          <cell r="O200">
            <v>36836</v>
          </cell>
          <cell r="S200">
            <v>0</v>
          </cell>
          <cell r="T200">
            <v>56</v>
          </cell>
          <cell r="V200">
            <v>1329016.08</v>
          </cell>
          <cell r="W200">
            <v>42779.024988230136</v>
          </cell>
          <cell r="X200">
            <v>15.91</v>
          </cell>
          <cell r="Y200" t="str">
            <v>MED SYSTEMS</v>
          </cell>
          <cell r="Z200">
            <v>17958.466323747944</v>
          </cell>
          <cell r="AB200">
            <v>15.6</v>
          </cell>
          <cell r="AD200">
            <v>0.156</v>
          </cell>
          <cell r="AE200">
            <v>1.95E-2</v>
          </cell>
          <cell r="AF200">
            <v>4.0000000000000001E-3</v>
          </cell>
          <cell r="AG200">
            <v>0.13250000000000001</v>
          </cell>
        </row>
        <row r="201">
          <cell r="A201" t="str">
            <v>W00126</v>
          </cell>
          <cell r="B201">
            <v>192</v>
          </cell>
          <cell r="C201" t="str">
            <v>ULTRASOUND CENTRE</v>
          </cell>
          <cell r="D201">
            <v>1</v>
          </cell>
          <cell r="E201">
            <v>35857</v>
          </cell>
          <cell r="F201">
            <v>1593000</v>
          </cell>
          <cell r="G201">
            <v>0</v>
          </cell>
          <cell r="L201">
            <v>0.22359999999999999</v>
          </cell>
          <cell r="O201">
            <v>36011</v>
          </cell>
          <cell r="S201">
            <v>0</v>
          </cell>
          <cell r="T201">
            <v>881</v>
          </cell>
          <cell r="V201">
            <v>0</v>
          </cell>
          <cell r="W201">
            <v>0</v>
          </cell>
          <cell r="X201">
            <v>0</v>
          </cell>
          <cell r="Y201" t="str">
            <v>MED SYSTEMS</v>
          </cell>
          <cell r="Z201">
            <v>0</v>
          </cell>
          <cell r="AB201">
            <v>15.6</v>
          </cell>
          <cell r="AD201">
            <v>0.156</v>
          </cell>
          <cell r="AE201">
            <v>1.95E-2</v>
          </cell>
          <cell r="AF201">
            <v>4.0000000000000001E-3</v>
          </cell>
          <cell r="AG201">
            <v>0.13250000000000001</v>
          </cell>
        </row>
        <row r="202">
          <cell r="A202" t="str">
            <v>W00074</v>
          </cell>
          <cell r="B202">
            <v>193</v>
          </cell>
          <cell r="C202" t="str">
            <v>VIJAYA MEDICAL CENTRE</v>
          </cell>
          <cell r="D202">
            <v>2</v>
          </cell>
          <cell r="E202">
            <v>35857</v>
          </cell>
          <cell r="F202">
            <v>1722000</v>
          </cell>
          <cell r="G202">
            <v>689415.23</v>
          </cell>
          <cell r="L202">
            <v>0.21</v>
          </cell>
          <cell r="O202">
            <v>36846</v>
          </cell>
          <cell r="S202">
            <v>0</v>
          </cell>
          <cell r="T202">
            <v>46</v>
          </cell>
          <cell r="V202">
            <v>689415.23</v>
          </cell>
          <cell r="W202">
            <v>18245.893484383563</v>
          </cell>
          <cell r="X202">
            <v>15.91</v>
          </cell>
          <cell r="Y202" t="str">
            <v>MED SYSTEMS</v>
          </cell>
          <cell r="Z202">
            <v>9315.7941257068487</v>
          </cell>
          <cell r="AB202">
            <v>15.6</v>
          </cell>
          <cell r="AD202">
            <v>0.156</v>
          </cell>
          <cell r="AE202">
            <v>1.95E-2</v>
          </cell>
          <cell r="AF202">
            <v>4.0000000000000001E-3</v>
          </cell>
          <cell r="AG202">
            <v>0.13250000000000001</v>
          </cell>
        </row>
        <row r="203">
          <cell r="A203" t="str">
            <v>W00001</v>
          </cell>
          <cell r="B203">
            <v>194</v>
          </cell>
          <cell r="C203" t="str">
            <v>BAHULEYAN CHARITABLE HOSPITAL</v>
          </cell>
          <cell r="D203">
            <v>1</v>
          </cell>
          <cell r="E203">
            <v>35881</v>
          </cell>
          <cell r="F203">
            <v>2604547</v>
          </cell>
          <cell r="G203">
            <v>0</v>
          </cell>
          <cell r="L203">
            <v>0.2228</v>
          </cell>
          <cell r="O203">
            <v>35962</v>
          </cell>
          <cell r="S203">
            <v>0</v>
          </cell>
          <cell r="T203">
            <v>930</v>
          </cell>
          <cell r="V203">
            <v>0</v>
          </cell>
          <cell r="W203">
            <v>0</v>
          </cell>
          <cell r="X203">
            <v>0</v>
          </cell>
          <cell r="Y203" t="str">
            <v>MED SYSTEMS</v>
          </cell>
          <cell r="Z203">
            <v>0</v>
          </cell>
          <cell r="AB203">
            <v>15.6</v>
          </cell>
          <cell r="AD203">
            <v>0.156</v>
          </cell>
          <cell r="AE203">
            <v>1.95E-2</v>
          </cell>
          <cell r="AF203">
            <v>4.0000000000000001E-3</v>
          </cell>
          <cell r="AG203">
            <v>0.13250000000000001</v>
          </cell>
        </row>
        <row r="204">
          <cell r="A204" t="str">
            <v>W00009</v>
          </cell>
          <cell r="B204">
            <v>195</v>
          </cell>
          <cell r="C204" t="str">
            <v>COCOON MARKETING</v>
          </cell>
          <cell r="D204">
            <v>1</v>
          </cell>
          <cell r="E204">
            <v>35881</v>
          </cell>
          <cell r="F204">
            <v>516150</v>
          </cell>
          <cell r="G204">
            <v>1</v>
          </cell>
          <cell r="L204">
            <v>0.26889999999999997</v>
          </cell>
          <cell r="O204">
            <v>36187</v>
          </cell>
          <cell r="S204">
            <v>0</v>
          </cell>
          <cell r="T204">
            <v>705</v>
          </cell>
          <cell r="V204">
            <v>1</v>
          </cell>
          <cell r="W204">
            <v>0.5193821917808219</v>
          </cell>
          <cell r="X204">
            <v>0</v>
          </cell>
          <cell r="Y204" t="str">
            <v>MED SYSTEMS</v>
          </cell>
          <cell r="Z204">
            <v>0</v>
          </cell>
          <cell r="AB204">
            <v>15.6</v>
          </cell>
          <cell r="AD204">
            <v>0.156</v>
          </cell>
          <cell r="AE204">
            <v>1.95E-2</v>
          </cell>
          <cell r="AF204">
            <v>4.0000000000000001E-3</v>
          </cell>
          <cell r="AG204">
            <v>0.13250000000000001</v>
          </cell>
        </row>
        <row r="205">
          <cell r="A205" t="str">
            <v>W00006</v>
          </cell>
          <cell r="B205">
            <v>196</v>
          </cell>
          <cell r="C205" t="str">
            <v>COCOON MARKETING</v>
          </cell>
          <cell r="D205">
            <v>2</v>
          </cell>
          <cell r="E205">
            <v>35881</v>
          </cell>
          <cell r="F205">
            <v>381150</v>
          </cell>
          <cell r="G205">
            <v>0</v>
          </cell>
          <cell r="L205">
            <v>0.26889999999999997</v>
          </cell>
          <cell r="O205">
            <v>36187</v>
          </cell>
          <cell r="S205">
            <v>0</v>
          </cell>
          <cell r="T205">
            <v>705</v>
          </cell>
          <cell r="V205">
            <v>0</v>
          </cell>
          <cell r="W205">
            <v>0</v>
          </cell>
          <cell r="X205">
            <v>0</v>
          </cell>
          <cell r="Y205" t="str">
            <v>MED SYSTEMS</v>
          </cell>
          <cell r="Z205">
            <v>0</v>
          </cell>
          <cell r="AB205">
            <v>15.6</v>
          </cell>
          <cell r="AD205">
            <v>0.156</v>
          </cell>
          <cell r="AE205">
            <v>1.95E-2</v>
          </cell>
          <cell r="AF205">
            <v>4.0000000000000001E-3</v>
          </cell>
          <cell r="AG205">
            <v>0.13250000000000001</v>
          </cell>
        </row>
        <row r="206">
          <cell r="A206" t="str">
            <v>W00007</v>
          </cell>
          <cell r="B206">
            <v>197</v>
          </cell>
          <cell r="C206" t="str">
            <v>COCOON MARKETING</v>
          </cell>
          <cell r="D206">
            <v>3</v>
          </cell>
          <cell r="E206">
            <v>35881</v>
          </cell>
          <cell r="F206">
            <v>346500</v>
          </cell>
          <cell r="G206">
            <v>1</v>
          </cell>
          <cell r="L206">
            <v>0.26889999999999997</v>
          </cell>
          <cell r="O206">
            <v>36187</v>
          </cell>
          <cell r="S206">
            <v>0</v>
          </cell>
          <cell r="T206">
            <v>705</v>
          </cell>
          <cell r="V206">
            <v>1</v>
          </cell>
          <cell r="W206">
            <v>0.5193821917808219</v>
          </cell>
          <cell r="X206">
            <v>0</v>
          </cell>
          <cell r="Y206" t="str">
            <v>MED SYSTEMS</v>
          </cell>
          <cell r="Z206">
            <v>0</v>
          </cell>
          <cell r="AB206">
            <v>15.6</v>
          </cell>
          <cell r="AD206">
            <v>0.156</v>
          </cell>
          <cell r="AE206">
            <v>1.95E-2</v>
          </cell>
          <cell r="AF206">
            <v>4.0000000000000001E-3</v>
          </cell>
          <cell r="AG206">
            <v>0.13250000000000001</v>
          </cell>
        </row>
        <row r="207">
          <cell r="A207" t="str">
            <v>W00007</v>
          </cell>
          <cell r="B207">
            <v>198</v>
          </cell>
          <cell r="C207" t="str">
            <v>COCOON MARKETING</v>
          </cell>
          <cell r="D207">
            <v>4</v>
          </cell>
          <cell r="E207">
            <v>35881</v>
          </cell>
          <cell r="F207">
            <v>346500</v>
          </cell>
          <cell r="G207">
            <v>1</v>
          </cell>
          <cell r="L207">
            <v>0.26889999999999997</v>
          </cell>
          <cell r="O207">
            <v>36187</v>
          </cell>
          <cell r="S207">
            <v>0</v>
          </cell>
          <cell r="T207">
            <v>705</v>
          </cell>
          <cell r="V207">
            <v>1</v>
          </cell>
          <cell r="W207">
            <v>0.5193821917808219</v>
          </cell>
          <cell r="X207">
            <v>0</v>
          </cell>
          <cell r="Y207" t="str">
            <v>MED SYSTEMS</v>
          </cell>
          <cell r="Z207">
            <v>0</v>
          </cell>
          <cell r="AB207">
            <v>15.6</v>
          </cell>
          <cell r="AD207">
            <v>0.156</v>
          </cell>
          <cell r="AE207">
            <v>1.95E-2</v>
          </cell>
          <cell r="AF207">
            <v>4.0000000000000001E-3</v>
          </cell>
          <cell r="AG207">
            <v>0.13250000000000001</v>
          </cell>
        </row>
        <row r="208">
          <cell r="A208" t="str">
            <v>W00052</v>
          </cell>
          <cell r="B208">
            <v>199</v>
          </cell>
          <cell r="C208" t="str">
            <v>AJIT BARUAH</v>
          </cell>
          <cell r="D208">
            <v>1</v>
          </cell>
          <cell r="E208">
            <v>35881</v>
          </cell>
          <cell r="F208">
            <v>609300</v>
          </cell>
          <cell r="G208">
            <v>0</v>
          </cell>
          <cell r="L208">
            <v>0.2414</v>
          </cell>
          <cell r="O208">
            <v>35922</v>
          </cell>
          <cell r="S208">
            <v>0</v>
          </cell>
          <cell r="T208">
            <v>970</v>
          </cell>
          <cell r="V208">
            <v>0</v>
          </cell>
          <cell r="W208">
            <v>0</v>
          </cell>
          <cell r="X208">
            <v>0</v>
          </cell>
          <cell r="Y208" t="str">
            <v>MED SYSTEMS</v>
          </cell>
          <cell r="Z208">
            <v>0</v>
          </cell>
          <cell r="AB208">
            <v>15.6</v>
          </cell>
          <cell r="AD208">
            <v>0.156</v>
          </cell>
          <cell r="AE208">
            <v>1.95E-2</v>
          </cell>
          <cell r="AF208">
            <v>4.0000000000000001E-3</v>
          </cell>
          <cell r="AG208">
            <v>0.13250000000000001</v>
          </cell>
        </row>
        <row r="209">
          <cell r="A209" t="str">
            <v>W00129</v>
          </cell>
          <cell r="B209">
            <v>200</v>
          </cell>
          <cell r="C209" t="str">
            <v>GHODKE</v>
          </cell>
          <cell r="D209">
            <v>1</v>
          </cell>
          <cell r="E209">
            <v>35881</v>
          </cell>
          <cell r="F209">
            <v>468730</v>
          </cell>
          <cell r="G209">
            <v>274112</v>
          </cell>
          <cell r="L209">
            <v>0.23269999999999999</v>
          </cell>
          <cell r="O209">
            <v>36854</v>
          </cell>
          <cell r="P209">
            <v>36884</v>
          </cell>
          <cell r="Q209">
            <v>13517</v>
          </cell>
          <cell r="R209">
            <v>8275</v>
          </cell>
          <cell r="S209">
            <v>5242</v>
          </cell>
          <cell r="T209">
            <v>8</v>
          </cell>
          <cell r="V209">
            <v>265837</v>
          </cell>
          <cell r="W209">
            <v>1355.8415320547945</v>
          </cell>
          <cell r="X209">
            <v>15.91</v>
          </cell>
          <cell r="Y209" t="str">
            <v>MED SYSTEMS</v>
          </cell>
          <cell r="Z209">
            <v>3592.1497745205484</v>
          </cell>
          <cell r="AA209">
            <v>10420.31792219178</v>
          </cell>
          <cell r="AB209">
            <v>15.6</v>
          </cell>
          <cell r="AD209">
            <v>0.156</v>
          </cell>
          <cell r="AE209">
            <v>1.95E-2</v>
          </cell>
          <cell r="AF209">
            <v>4.0000000000000001E-3</v>
          </cell>
          <cell r="AG209">
            <v>0.13250000000000001</v>
          </cell>
        </row>
        <row r="210">
          <cell r="A210" t="str">
            <v>W00211</v>
          </cell>
          <cell r="B210">
            <v>201</v>
          </cell>
          <cell r="C210" t="str">
            <v>JAYARAM NAIDU</v>
          </cell>
          <cell r="D210">
            <v>1</v>
          </cell>
          <cell r="E210">
            <v>35881</v>
          </cell>
          <cell r="F210">
            <v>171026</v>
          </cell>
          <cell r="G210">
            <v>13465.57</v>
          </cell>
          <cell r="L210">
            <v>0.23849999999999999</v>
          </cell>
          <cell r="O210">
            <v>36848</v>
          </cell>
          <cell r="P210">
            <v>36878</v>
          </cell>
          <cell r="Q210">
            <v>6933</v>
          </cell>
          <cell r="R210">
            <v>6669</v>
          </cell>
          <cell r="S210">
            <v>264</v>
          </cell>
          <cell r="T210">
            <v>14</v>
          </cell>
          <cell r="V210">
            <v>6796.57</v>
          </cell>
          <cell r="W210">
            <v>62.174649945205481</v>
          </cell>
          <cell r="X210">
            <v>15.91</v>
          </cell>
          <cell r="Y210" t="str">
            <v>MED SYSTEMS</v>
          </cell>
          <cell r="Z210">
            <v>91.839350402739726</v>
          </cell>
          <cell r="AA210">
            <v>5465.8693041095894</v>
          </cell>
          <cell r="AB210">
            <v>15.6</v>
          </cell>
          <cell r="AD210">
            <v>0.156</v>
          </cell>
          <cell r="AE210">
            <v>1.95E-2</v>
          </cell>
          <cell r="AF210">
            <v>4.0000000000000001E-3</v>
          </cell>
          <cell r="AG210">
            <v>0.13250000000000001</v>
          </cell>
        </row>
        <row r="211">
          <cell r="A211" t="str">
            <v>W00159</v>
          </cell>
          <cell r="B211">
            <v>202</v>
          </cell>
          <cell r="C211" t="str">
            <v>S KALAVATHI</v>
          </cell>
          <cell r="D211">
            <v>1</v>
          </cell>
          <cell r="E211">
            <v>35881</v>
          </cell>
          <cell r="F211">
            <v>700000</v>
          </cell>
          <cell r="G211">
            <v>217140.88</v>
          </cell>
          <cell r="L211">
            <v>1.44E-2</v>
          </cell>
          <cell r="O211">
            <v>36853</v>
          </cell>
          <cell r="P211">
            <v>36883</v>
          </cell>
          <cell r="Q211">
            <v>15650</v>
          </cell>
          <cell r="R211">
            <v>15392</v>
          </cell>
          <cell r="S211">
            <v>258</v>
          </cell>
          <cell r="T211">
            <v>9</v>
          </cell>
          <cell r="V211">
            <v>201748.88</v>
          </cell>
          <cell r="W211">
            <v>71.634670816438344</v>
          </cell>
          <cell r="X211">
            <v>15.91</v>
          </cell>
          <cell r="Y211" t="str">
            <v>MED SYSTEMS</v>
          </cell>
          <cell r="Z211">
            <v>2726.1524686246576</v>
          </cell>
          <cell r="AB211">
            <v>15.6</v>
          </cell>
          <cell r="AD211">
            <v>0.156</v>
          </cell>
          <cell r="AE211">
            <v>1.95E-2</v>
          </cell>
          <cell r="AF211">
            <v>4.0000000000000001E-3</v>
          </cell>
          <cell r="AG211">
            <v>0.13250000000000001</v>
          </cell>
        </row>
        <row r="212">
          <cell r="A212" t="str">
            <v>W00097</v>
          </cell>
          <cell r="B212">
            <v>203</v>
          </cell>
          <cell r="C212" t="str">
            <v>GANGA SCANS</v>
          </cell>
          <cell r="D212">
            <v>1</v>
          </cell>
          <cell r="E212">
            <v>35881</v>
          </cell>
          <cell r="F212">
            <v>6251280</v>
          </cell>
          <cell r="G212">
            <v>4359543.66</v>
          </cell>
          <cell r="L212">
            <v>0.215</v>
          </cell>
          <cell r="O212">
            <v>36831</v>
          </cell>
          <cell r="P212">
            <v>36861</v>
          </cell>
          <cell r="Q212">
            <v>194000</v>
          </cell>
          <cell r="R212">
            <v>116955</v>
          </cell>
          <cell r="S212">
            <v>77045</v>
          </cell>
          <cell r="T212">
            <v>31</v>
          </cell>
          <cell r="V212">
            <v>4242588.66</v>
          </cell>
          <cell r="W212">
            <v>77470.831284657528</v>
          </cell>
          <cell r="X212">
            <v>15.91</v>
          </cell>
          <cell r="Y212" t="str">
            <v>MED SYSTEMS</v>
          </cell>
          <cell r="Z212">
            <v>57328.415150646579</v>
          </cell>
          <cell r="AB212">
            <v>15.6</v>
          </cell>
          <cell r="AD212">
            <v>0.156</v>
          </cell>
          <cell r="AE212">
            <v>1.95E-2</v>
          </cell>
          <cell r="AF212">
            <v>4.0000000000000001E-3</v>
          </cell>
          <cell r="AG212">
            <v>0.13250000000000001</v>
          </cell>
        </row>
        <row r="213">
          <cell r="A213" t="str">
            <v>W00055</v>
          </cell>
          <cell r="B213">
            <v>204</v>
          </cell>
          <cell r="C213" t="str">
            <v xml:space="preserve">MANIPAL </v>
          </cell>
          <cell r="D213">
            <v>1</v>
          </cell>
          <cell r="E213">
            <v>35881</v>
          </cell>
          <cell r="F213">
            <v>40792000</v>
          </cell>
          <cell r="G213">
            <v>0</v>
          </cell>
          <cell r="L213">
            <v>0.1623</v>
          </cell>
          <cell r="O213">
            <v>35881</v>
          </cell>
          <cell r="S213">
            <v>0</v>
          </cell>
          <cell r="T213">
            <v>1011</v>
          </cell>
          <cell r="V213">
            <v>0</v>
          </cell>
          <cell r="W213">
            <v>0</v>
          </cell>
          <cell r="X213">
            <v>0</v>
          </cell>
          <cell r="Y213" t="str">
            <v>MED SYSTEMS</v>
          </cell>
          <cell r="Z213">
            <v>0</v>
          </cell>
          <cell r="AB213">
            <v>15.6</v>
          </cell>
          <cell r="AD213">
            <v>0.156</v>
          </cell>
          <cell r="AE213">
            <v>1.95E-2</v>
          </cell>
          <cell r="AF213">
            <v>4.0000000000000001E-3</v>
          </cell>
          <cell r="AG213">
            <v>0.13250000000000001</v>
          </cell>
        </row>
        <row r="214">
          <cell r="A214" t="str">
            <v>W00118</v>
          </cell>
          <cell r="B214">
            <v>205</v>
          </cell>
          <cell r="C214" t="str">
            <v>RADICAL XRAY</v>
          </cell>
          <cell r="D214">
            <v>1</v>
          </cell>
          <cell r="E214">
            <v>35881</v>
          </cell>
          <cell r="F214">
            <v>636683</v>
          </cell>
          <cell r="G214">
            <v>356102.17</v>
          </cell>
          <cell r="L214">
            <v>0.18890000000000001</v>
          </cell>
          <cell r="O214">
            <v>36852</v>
          </cell>
          <cell r="P214">
            <v>36882</v>
          </cell>
          <cell r="Q214">
            <v>16790</v>
          </cell>
          <cell r="R214">
            <v>11262</v>
          </cell>
          <cell r="S214">
            <v>5528</v>
          </cell>
          <cell r="T214">
            <v>10</v>
          </cell>
          <cell r="V214">
            <v>344840.17</v>
          </cell>
          <cell r="W214">
            <v>1784.6659756986301</v>
          </cell>
          <cell r="X214">
            <v>15.91</v>
          </cell>
          <cell r="Y214" t="str">
            <v>MED SYSTEMS</v>
          </cell>
          <cell r="Z214">
            <v>4659.6882259095892</v>
          </cell>
          <cell r="AB214">
            <v>15.6</v>
          </cell>
          <cell r="AD214">
            <v>0.156</v>
          </cell>
          <cell r="AE214">
            <v>1.95E-2</v>
          </cell>
          <cell r="AF214">
            <v>4.0000000000000001E-3</v>
          </cell>
          <cell r="AG214">
            <v>0.13250000000000001</v>
          </cell>
        </row>
        <row r="215">
          <cell r="A215" t="str">
            <v>W00039</v>
          </cell>
          <cell r="B215">
            <v>206</v>
          </cell>
          <cell r="C215" t="str">
            <v>SAI MAHIMA SHUKLA</v>
          </cell>
          <cell r="D215">
            <v>1</v>
          </cell>
          <cell r="E215">
            <v>35881</v>
          </cell>
          <cell r="F215">
            <v>441885</v>
          </cell>
          <cell r="G215">
            <v>257317.93</v>
          </cell>
          <cell r="L215">
            <v>0.2397</v>
          </cell>
          <cell r="O215">
            <v>36837</v>
          </cell>
          <cell r="P215">
            <v>36867</v>
          </cell>
          <cell r="Q215">
            <v>12780</v>
          </cell>
          <cell r="R215">
            <v>7710</v>
          </cell>
          <cell r="S215">
            <v>5070</v>
          </cell>
          <cell r="T215">
            <v>25</v>
          </cell>
          <cell r="V215">
            <v>249607.93</v>
          </cell>
          <cell r="W215">
            <v>4098.0151247260274</v>
          </cell>
          <cell r="X215">
            <v>15.91</v>
          </cell>
          <cell r="Y215" t="str">
            <v>MED SYSTEMS</v>
          </cell>
          <cell r="Z215">
            <v>3372.8527987753423</v>
          </cell>
          <cell r="AB215">
            <v>15.6</v>
          </cell>
          <cell r="AD215">
            <v>0.156</v>
          </cell>
          <cell r="AE215">
            <v>1.95E-2</v>
          </cell>
          <cell r="AF215">
            <v>4.0000000000000001E-3</v>
          </cell>
          <cell r="AG215">
            <v>0.13250000000000001</v>
          </cell>
        </row>
        <row r="216">
          <cell r="A216" t="str">
            <v>W00117</v>
          </cell>
          <cell r="B216">
            <v>207</v>
          </cell>
          <cell r="C216" t="str">
            <v>SOLAPUR SCANS(foreclosed in dec 1998)</v>
          </cell>
          <cell r="D216">
            <v>1</v>
          </cell>
          <cell r="E216">
            <v>35881</v>
          </cell>
          <cell r="F216">
            <v>18589116</v>
          </cell>
          <cell r="G216">
            <v>0</v>
          </cell>
          <cell r="L216">
            <v>0.2238</v>
          </cell>
          <cell r="O216">
            <v>36114</v>
          </cell>
          <cell r="S216">
            <v>0</v>
          </cell>
          <cell r="T216">
            <v>778</v>
          </cell>
          <cell r="V216">
            <v>0</v>
          </cell>
          <cell r="W216">
            <v>0</v>
          </cell>
          <cell r="X216">
            <v>0</v>
          </cell>
          <cell r="Y216" t="str">
            <v>MED SYSTEMS</v>
          </cell>
          <cell r="Z216">
            <v>0</v>
          </cell>
          <cell r="AB216">
            <v>15.6</v>
          </cell>
          <cell r="AD216">
            <v>0.156</v>
          </cell>
          <cell r="AE216">
            <v>1.95E-2</v>
          </cell>
          <cell r="AF216">
            <v>4.0000000000000001E-3</v>
          </cell>
          <cell r="AG216">
            <v>0.13250000000000001</v>
          </cell>
        </row>
        <row r="217">
          <cell r="A217" t="str">
            <v>W00066</v>
          </cell>
          <cell r="B217">
            <v>208</v>
          </cell>
          <cell r="C217" t="str">
            <v>SRINIVASA NURSING HOME</v>
          </cell>
          <cell r="D217">
            <v>1</v>
          </cell>
          <cell r="E217">
            <v>35881</v>
          </cell>
          <cell r="F217">
            <v>638278</v>
          </cell>
          <cell r="G217">
            <v>373305.92</v>
          </cell>
          <cell r="L217">
            <v>0.2354</v>
          </cell>
          <cell r="O217">
            <v>36850</v>
          </cell>
          <cell r="P217">
            <v>36880</v>
          </cell>
          <cell r="Q217">
            <v>18460</v>
          </cell>
          <cell r="R217">
            <v>11237</v>
          </cell>
          <cell r="S217">
            <v>7223</v>
          </cell>
          <cell r="T217">
            <v>12</v>
          </cell>
          <cell r="V217">
            <v>362068.92</v>
          </cell>
          <cell r="W217">
            <v>2802.1158499068488</v>
          </cell>
          <cell r="X217">
            <v>15.91</v>
          </cell>
          <cell r="Y217" t="str">
            <v>MED SYSTEMS</v>
          </cell>
          <cell r="Z217">
            <v>4892.4934803616434</v>
          </cell>
          <cell r="AB217">
            <v>15.6</v>
          </cell>
          <cell r="AD217">
            <v>0.156</v>
          </cell>
          <cell r="AE217">
            <v>1.95E-2</v>
          </cell>
          <cell r="AF217">
            <v>4.0000000000000001E-3</v>
          </cell>
          <cell r="AG217">
            <v>0.13250000000000001</v>
          </cell>
        </row>
        <row r="218">
          <cell r="A218" t="str">
            <v>W00193</v>
          </cell>
          <cell r="B218">
            <v>209</v>
          </cell>
          <cell r="C218" t="str">
            <v>TRAVANCORE SCANS</v>
          </cell>
          <cell r="D218">
            <v>1</v>
          </cell>
          <cell r="E218">
            <v>35881</v>
          </cell>
          <cell r="F218">
            <v>5175000</v>
          </cell>
          <cell r="G218">
            <v>3088850.79</v>
          </cell>
          <cell r="L218">
            <v>0.2261</v>
          </cell>
          <cell r="O218">
            <v>36835</v>
          </cell>
          <cell r="P218">
            <v>36865</v>
          </cell>
          <cell r="Q218">
            <v>142925</v>
          </cell>
          <cell r="R218">
            <v>85522</v>
          </cell>
          <cell r="S218">
            <v>57403</v>
          </cell>
          <cell r="T218">
            <v>27</v>
          </cell>
          <cell r="V218">
            <v>3003328.79</v>
          </cell>
          <cell r="W218">
            <v>50231.291135104111</v>
          </cell>
          <cell r="X218">
            <v>15.91</v>
          </cell>
          <cell r="Y218" t="str">
            <v>MED SYSTEMS</v>
          </cell>
          <cell r="Z218">
            <v>40582.788836052052</v>
          </cell>
          <cell r="AB218">
            <v>15.6</v>
          </cell>
          <cell r="AD218">
            <v>0.156</v>
          </cell>
          <cell r="AE218">
            <v>1.95E-2</v>
          </cell>
          <cell r="AF218">
            <v>4.0000000000000001E-3</v>
          </cell>
          <cell r="AG218">
            <v>0.13250000000000001</v>
          </cell>
        </row>
        <row r="219">
          <cell r="A219" t="str">
            <v>W00095</v>
          </cell>
          <cell r="B219">
            <v>210</v>
          </cell>
          <cell r="C219" t="str">
            <v>ULTRALAB</v>
          </cell>
          <cell r="D219">
            <v>1</v>
          </cell>
          <cell r="E219">
            <v>35881</v>
          </cell>
          <cell r="F219">
            <v>476175</v>
          </cell>
          <cell r="G219">
            <v>210349.37</v>
          </cell>
          <cell r="L219">
            <v>0.23780000000000001</v>
          </cell>
          <cell r="O219">
            <v>36834</v>
          </cell>
          <cell r="S219">
            <v>0</v>
          </cell>
          <cell r="T219">
            <v>58</v>
          </cell>
          <cell r="V219">
            <v>210349.37</v>
          </cell>
          <cell r="W219">
            <v>7948.5552076383565</v>
          </cell>
          <cell r="X219">
            <v>15.91</v>
          </cell>
          <cell r="Y219" t="str">
            <v>MED SYSTEMS</v>
          </cell>
          <cell r="Z219">
            <v>2842.3674733616435</v>
          </cell>
          <cell r="AB219">
            <v>15.6</v>
          </cell>
          <cell r="AD219">
            <v>0.156</v>
          </cell>
          <cell r="AE219">
            <v>1.95E-2</v>
          </cell>
          <cell r="AF219">
            <v>4.0000000000000001E-3</v>
          </cell>
          <cell r="AG219">
            <v>0.13250000000000001</v>
          </cell>
        </row>
        <row r="220">
          <cell r="A220" t="str">
            <v>W00049</v>
          </cell>
          <cell r="B220">
            <v>211</v>
          </cell>
          <cell r="C220" t="str">
            <v>VIRDI HOSPITAL(foreclosed in july 99)</v>
          </cell>
          <cell r="D220">
            <v>2</v>
          </cell>
          <cell r="E220">
            <v>35881</v>
          </cell>
          <cell r="F220">
            <v>4270000</v>
          </cell>
          <cell r="G220">
            <v>0</v>
          </cell>
          <cell r="L220">
            <v>0.23019999999999999</v>
          </cell>
          <cell r="O220">
            <v>36336</v>
          </cell>
          <cell r="S220">
            <v>0</v>
          </cell>
          <cell r="T220">
            <v>556</v>
          </cell>
          <cell r="V220">
            <v>0</v>
          </cell>
          <cell r="W220">
            <v>0</v>
          </cell>
          <cell r="X220">
            <v>0</v>
          </cell>
          <cell r="Y220" t="str">
            <v>MED SYSTEMS</v>
          </cell>
          <cell r="Z220">
            <v>0</v>
          </cell>
          <cell r="AB220">
            <v>15.6</v>
          </cell>
          <cell r="AD220">
            <v>0.156</v>
          </cell>
          <cell r="AE220">
            <v>1.95E-2</v>
          </cell>
          <cell r="AF220">
            <v>4.0000000000000001E-3</v>
          </cell>
          <cell r="AG220">
            <v>0.13250000000000001</v>
          </cell>
        </row>
        <row r="221">
          <cell r="A221" t="str">
            <v>W00210</v>
          </cell>
          <cell r="B221">
            <v>212</v>
          </cell>
          <cell r="C221" t="str">
            <v>SEWA NURSING HOME</v>
          </cell>
          <cell r="D221">
            <v>2</v>
          </cell>
          <cell r="E221">
            <v>35885</v>
          </cell>
          <cell r="F221">
            <v>425000</v>
          </cell>
          <cell r="G221">
            <v>93115</v>
          </cell>
          <cell r="L221">
            <v>0.24490000000000001</v>
          </cell>
          <cell r="O221">
            <v>36789</v>
          </cell>
          <cell r="P221">
            <v>36880</v>
          </cell>
          <cell r="Q221">
            <v>50850</v>
          </cell>
          <cell r="R221">
            <v>45164</v>
          </cell>
          <cell r="S221">
            <v>5686</v>
          </cell>
          <cell r="T221">
            <v>12</v>
          </cell>
          <cell r="V221">
            <v>47951</v>
          </cell>
          <cell r="W221">
            <v>386.07780493150682</v>
          </cell>
          <cell r="X221">
            <v>15.91</v>
          </cell>
          <cell r="Y221" t="str">
            <v>MED SYSTEMS</v>
          </cell>
          <cell r="Z221">
            <v>647.94281397260272</v>
          </cell>
          <cell r="AB221">
            <v>15.6</v>
          </cell>
          <cell r="AD221">
            <v>0.156</v>
          </cell>
          <cell r="AE221">
            <v>1.95E-2</v>
          </cell>
          <cell r="AF221">
            <v>4.0000000000000001E-3</v>
          </cell>
          <cell r="AG221">
            <v>0.13250000000000001</v>
          </cell>
        </row>
        <row r="222">
          <cell r="A222" t="str">
            <v>W00165</v>
          </cell>
          <cell r="B222">
            <v>213</v>
          </cell>
          <cell r="C222" t="str">
            <v>SHANKAR MEDICAL STORE(foreclosed in dec 99)</v>
          </cell>
          <cell r="D222">
            <v>1</v>
          </cell>
          <cell r="E222">
            <v>35885</v>
          </cell>
          <cell r="F222">
            <v>664017</v>
          </cell>
          <cell r="G222">
            <v>0</v>
          </cell>
          <cell r="L222">
            <v>0.23630000000000001</v>
          </cell>
          <cell r="N222">
            <v>0</v>
          </cell>
          <cell r="O222">
            <v>36481</v>
          </cell>
          <cell r="S222">
            <v>0</v>
          </cell>
          <cell r="T222">
            <v>411</v>
          </cell>
          <cell r="V222">
            <v>0</v>
          </cell>
          <cell r="W222">
            <v>0</v>
          </cell>
          <cell r="X222">
            <v>15.91</v>
          </cell>
          <cell r="Y222" t="str">
            <v>MED SYSTEMS</v>
          </cell>
          <cell r="Z222">
            <v>0</v>
          </cell>
          <cell r="AB222">
            <v>15.6</v>
          </cell>
          <cell r="AD222">
            <v>0.156</v>
          </cell>
          <cell r="AE222">
            <v>1.95E-2</v>
          </cell>
          <cell r="AF222">
            <v>4.0000000000000001E-3</v>
          </cell>
          <cell r="AG222">
            <v>0.13250000000000001</v>
          </cell>
        </row>
        <row r="223">
          <cell r="A223" t="str">
            <v>W00044</v>
          </cell>
          <cell r="B223">
            <v>214</v>
          </cell>
          <cell r="C223" t="str">
            <v>PALIWAL HOSPITAL</v>
          </cell>
          <cell r="D223">
            <v>1</v>
          </cell>
          <cell r="E223">
            <v>35915</v>
          </cell>
          <cell r="F223">
            <v>1375000</v>
          </cell>
          <cell r="G223">
            <v>296362.93</v>
          </cell>
          <cell r="L223">
            <v>0.24349999999999999</v>
          </cell>
          <cell r="O223">
            <v>36800</v>
          </cell>
          <cell r="S223">
            <v>0</v>
          </cell>
          <cell r="T223">
            <v>92</v>
          </cell>
          <cell r="V223">
            <v>296362.93</v>
          </cell>
          <cell r="W223">
            <v>18189.376322904111</v>
          </cell>
          <cell r="X223">
            <v>15.91</v>
          </cell>
          <cell r="Y223" t="str">
            <v>MED SYSTEMS</v>
          </cell>
          <cell r="Z223">
            <v>4004.6345398712324</v>
          </cell>
          <cell r="AB223">
            <v>14.35</v>
          </cell>
          <cell r="AD223">
            <v>0.14349999999999999</v>
          </cell>
          <cell r="AE223">
            <v>1.95E-2</v>
          </cell>
          <cell r="AF223">
            <v>4.0000000000000001E-3</v>
          </cell>
          <cell r="AG223">
            <v>0.11999999999999998</v>
          </cell>
        </row>
        <row r="224">
          <cell r="A224" t="str">
            <v>W00091</v>
          </cell>
          <cell r="B224">
            <v>215</v>
          </cell>
          <cell r="C224" t="str">
            <v>BALAJI NURSING HOME</v>
          </cell>
          <cell r="D224">
            <v>1</v>
          </cell>
          <cell r="E224">
            <v>35942</v>
          </cell>
          <cell r="F224">
            <v>840000</v>
          </cell>
          <cell r="G224">
            <v>533827</v>
          </cell>
          <cell r="L224">
            <v>0.2399</v>
          </cell>
          <cell r="O224">
            <v>36834</v>
          </cell>
          <cell r="P224">
            <v>36864</v>
          </cell>
          <cell r="Q224">
            <v>23822</v>
          </cell>
          <cell r="R224">
            <v>13298</v>
          </cell>
          <cell r="S224">
            <v>10524</v>
          </cell>
          <cell r="T224">
            <v>28</v>
          </cell>
          <cell r="V224">
            <v>520529</v>
          </cell>
          <cell r="W224">
            <v>9579.4449282191799</v>
          </cell>
          <cell r="X224">
            <v>15.16</v>
          </cell>
          <cell r="Y224" t="str">
            <v>MED SYSTEMS</v>
          </cell>
          <cell r="Z224">
            <v>6702.1317490410966</v>
          </cell>
          <cell r="AB224">
            <v>14.85</v>
          </cell>
          <cell r="AD224">
            <v>0.14849999999999999</v>
          </cell>
          <cell r="AE224">
            <v>1.95E-2</v>
          </cell>
          <cell r="AF224">
            <v>4.0000000000000001E-3</v>
          </cell>
          <cell r="AG224">
            <v>0.125</v>
          </cell>
        </row>
        <row r="225">
          <cell r="A225" t="str">
            <v>W00098</v>
          </cell>
          <cell r="B225">
            <v>216</v>
          </cell>
          <cell r="C225" t="str">
            <v>R  SHANKAR</v>
          </cell>
          <cell r="D225">
            <v>1</v>
          </cell>
          <cell r="E225">
            <v>35942</v>
          </cell>
          <cell r="F225">
            <v>333739</v>
          </cell>
          <cell r="G225">
            <v>59199</v>
          </cell>
          <cell r="L225">
            <v>0.1885</v>
          </cell>
          <cell r="O225">
            <v>36845</v>
          </cell>
          <cell r="P225">
            <v>36875</v>
          </cell>
          <cell r="Q225">
            <v>12400</v>
          </cell>
          <cell r="R225">
            <v>11483</v>
          </cell>
          <cell r="S225">
            <v>917</v>
          </cell>
          <cell r="T225">
            <v>17</v>
          </cell>
          <cell r="V225">
            <v>47716</v>
          </cell>
          <cell r="W225">
            <v>418.92033424657541</v>
          </cell>
          <cell r="X225">
            <v>15.16</v>
          </cell>
          <cell r="Y225" t="str">
            <v>MED SYSTEMS</v>
          </cell>
          <cell r="Z225">
            <v>614.37291397260276</v>
          </cell>
          <cell r="AA225">
            <v>167671.88015780819</v>
          </cell>
          <cell r="AB225">
            <v>14.85</v>
          </cell>
          <cell r="AD225">
            <v>0.14849999999999999</v>
          </cell>
          <cell r="AE225">
            <v>1.95E-2</v>
          </cell>
          <cell r="AF225">
            <v>4.0000000000000001E-3</v>
          </cell>
          <cell r="AG225">
            <v>0.125</v>
          </cell>
        </row>
        <row r="226">
          <cell r="A226" t="str">
            <v>W00122</v>
          </cell>
          <cell r="B226">
            <v>217</v>
          </cell>
          <cell r="C226" t="str">
            <v>SHAFI MULLAH BASHA</v>
          </cell>
          <cell r="D226">
            <v>1</v>
          </cell>
          <cell r="E226">
            <v>35942</v>
          </cell>
          <cell r="F226">
            <v>375173</v>
          </cell>
          <cell r="G226">
            <v>30665</v>
          </cell>
          <cell r="L226">
            <v>0.24</v>
          </cell>
          <cell r="O226">
            <v>36837</v>
          </cell>
          <cell r="P226">
            <v>36867</v>
          </cell>
          <cell r="Q226">
            <v>15792</v>
          </cell>
          <cell r="R226">
            <v>15187</v>
          </cell>
          <cell r="S226">
            <v>605</v>
          </cell>
          <cell r="T226">
            <v>25</v>
          </cell>
          <cell r="V226">
            <v>15478</v>
          </cell>
          <cell r="W226">
            <v>254.43287671232875</v>
          </cell>
          <cell r="X226">
            <v>15.16</v>
          </cell>
          <cell r="Y226" t="str">
            <v>MED SYSTEMS</v>
          </cell>
          <cell r="Z226">
            <v>199.28879123287672</v>
          </cell>
          <cell r="AB226">
            <v>14.85</v>
          </cell>
          <cell r="AD226">
            <v>0.14849999999999999</v>
          </cell>
          <cell r="AE226">
            <v>1.95E-2</v>
          </cell>
          <cell r="AF226">
            <v>4.0000000000000001E-3</v>
          </cell>
          <cell r="AG226">
            <v>0.125</v>
          </cell>
        </row>
        <row r="227">
          <cell r="A227" t="str">
            <v>W00087</v>
          </cell>
          <cell r="B227">
            <v>218</v>
          </cell>
          <cell r="C227" t="str">
            <v>G NEUROMED DIAGNOSTICS</v>
          </cell>
          <cell r="D227">
            <v>1</v>
          </cell>
          <cell r="E227">
            <v>35942</v>
          </cell>
          <cell r="F227">
            <v>1647750</v>
          </cell>
          <cell r="G227">
            <v>1127200</v>
          </cell>
          <cell r="L227">
            <v>0.2349</v>
          </cell>
          <cell r="O227">
            <v>36831</v>
          </cell>
          <cell r="S227">
            <v>0</v>
          </cell>
          <cell r="T227">
            <v>61</v>
          </cell>
          <cell r="V227">
            <v>1127200</v>
          </cell>
          <cell r="W227">
            <v>44250.783780821919</v>
          </cell>
          <cell r="X227">
            <v>15.16</v>
          </cell>
          <cell r="Y227" t="str">
            <v>MED SYSTEMS</v>
          </cell>
          <cell r="Z227">
            <v>14513.394849315069</v>
          </cell>
          <cell r="AB227">
            <v>14.85</v>
          </cell>
          <cell r="AD227">
            <v>0.14849999999999999</v>
          </cell>
          <cell r="AE227">
            <v>1.95E-2</v>
          </cell>
          <cell r="AF227">
            <v>4.0000000000000001E-3</v>
          </cell>
          <cell r="AG227">
            <v>0.125</v>
          </cell>
        </row>
        <row r="228">
          <cell r="A228" t="str">
            <v>W00084</v>
          </cell>
          <cell r="B228">
            <v>219</v>
          </cell>
          <cell r="C228" t="str">
            <v>AMBALA CT SCAN</v>
          </cell>
          <cell r="D228">
            <v>2</v>
          </cell>
          <cell r="E228">
            <v>35969</v>
          </cell>
          <cell r="F228">
            <v>5500000</v>
          </cell>
          <cell r="G228">
            <v>5404770</v>
          </cell>
          <cell r="L228">
            <v>0.22600000000000001</v>
          </cell>
          <cell r="O228">
            <v>36850</v>
          </cell>
          <cell r="P228">
            <v>36880</v>
          </cell>
          <cell r="Q228">
            <v>172000</v>
          </cell>
          <cell r="R228">
            <v>71599</v>
          </cell>
          <cell r="S228">
            <v>100401</v>
          </cell>
          <cell r="T228">
            <v>12</v>
          </cell>
          <cell r="V228">
            <v>5333171</v>
          </cell>
          <cell r="W228">
            <v>39626.191101369855</v>
          </cell>
          <cell r="X228">
            <v>15.16</v>
          </cell>
          <cell r="Y228" t="str">
            <v>MED SYSTEMS</v>
          </cell>
          <cell r="Z228">
            <v>68667.864196164388</v>
          </cell>
          <cell r="AB228">
            <v>14.85</v>
          </cell>
          <cell r="AD228">
            <v>0.14849999999999999</v>
          </cell>
          <cell r="AE228">
            <v>1.95E-2</v>
          </cell>
          <cell r="AF228">
            <v>4.0000000000000001E-3</v>
          </cell>
          <cell r="AG228">
            <v>0.125</v>
          </cell>
        </row>
        <row r="229">
          <cell r="A229" t="str">
            <v>W00004</v>
          </cell>
          <cell r="B229">
            <v>220</v>
          </cell>
          <cell r="C229" t="str">
            <v>CDR MEDICAL</v>
          </cell>
          <cell r="D229">
            <v>2</v>
          </cell>
          <cell r="E229">
            <v>35973</v>
          </cell>
          <cell r="F229">
            <v>2970000</v>
          </cell>
          <cell r="G229">
            <v>1999730</v>
          </cell>
          <cell r="L229">
            <v>0.21959999999999999</v>
          </cell>
          <cell r="O229">
            <v>36852</v>
          </cell>
          <cell r="P229">
            <v>36882</v>
          </cell>
          <cell r="Q229">
            <v>87180</v>
          </cell>
          <cell r="R229">
            <v>51090</v>
          </cell>
          <cell r="S229">
            <v>36090</v>
          </cell>
          <cell r="T229">
            <v>10</v>
          </cell>
          <cell r="V229">
            <v>1948640</v>
          </cell>
          <cell r="W229">
            <v>11723.872438356162</v>
          </cell>
          <cell r="X229">
            <v>15.16</v>
          </cell>
          <cell r="Y229" t="str">
            <v>MED SYSTEMS</v>
          </cell>
          <cell r="Z229">
            <v>25089.941216438354</v>
          </cell>
          <cell r="AB229">
            <v>14.85</v>
          </cell>
          <cell r="AD229">
            <v>0.14849999999999999</v>
          </cell>
          <cell r="AE229">
            <v>1.95E-2</v>
          </cell>
          <cell r="AF229">
            <v>4.0000000000000001E-3</v>
          </cell>
          <cell r="AG229">
            <v>0.125</v>
          </cell>
        </row>
        <row r="230">
          <cell r="A230" t="str">
            <v>W00088</v>
          </cell>
          <cell r="B230">
            <v>221</v>
          </cell>
          <cell r="C230" t="str">
            <v>ARPUTHAMARY</v>
          </cell>
          <cell r="D230">
            <v>1</v>
          </cell>
          <cell r="E230">
            <v>35985</v>
          </cell>
          <cell r="F230">
            <v>407000</v>
          </cell>
          <cell r="G230">
            <v>100627</v>
          </cell>
          <cell r="L230">
            <v>0.2316</v>
          </cell>
          <cell r="O230">
            <v>36839</v>
          </cell>
          <cell r="P230">
            <v>36869</v>
          </cell>
          <cell r="Q230">
            <v>15500</v>
          </cell>
          <cell r="R230">
            <v>13585</v>
          </cell>
          <cell r="S230">
            <v>1915</v>
          </cell>
          <cell r="T230">
            <v>23</v>
          </cell>
          <cell r="V230">
            <v>87042</v>
          </cell>
          <cell r="W230">
            <v>1270.2885632876712</v>
          </cell>
          <cell r="X230">
            <v>15.41</v>
          </cell>
          <cell r="Y230" t="str">
            <v>MED SYSTEMS</v>
          </cell>
          <cell r="Z230">
            <v>1139.2009265753425</v>
          </cell>
          <cell r="AB230">
            <v>15.1</v>
          </cell>
          <cell r="AD230">
            <v>0.151</v>
          </cell>
          <cell r="AE230">
            <v>1.95E-2</v>
          </cell>
          <cell r="AF230">
            <v>4.0000000000000001E-3</v>
          </cell>
          <cell r="AG230">
            <v>0.1275</v>
          </cell>
        </row>
        <row r="231">
          <cell r="A231" t="str">
            <v>W00089</v>
          </cell>
          <cell r="B231">
            <v>222</v>
          </cell>
          <cell r="C231" t="str">
            <v>BHARATHI</v>
          </cell>
          <cell r="D231">
            <v>1</v>
          </cell>
          <cell r="E231">
            <v>35985</v>
          </cell>
          <cell r="F231">
            <v>432000</v>
          </cell>
          <cell r="G231">
            <v>0</v>
          </cell>
          <cell r="L231">
            <v>0.2319</v>
          </cell>
          <cell r="O231">
            <v>36173</v>
          </cell>
          <cell r="S231">
            <v>0</v>
          </cell>
          <cell r="T231">
            <v>719</v>
          </cell>
          <cell r="V231">
            <v>0</v>
          </cell>
          <cell r="W231">
            <v>0</v>
          </cell>
          <cell r="X231">
            <v>0</v>
          </cell>
          <cell r="Y231" t="str">
            <v>MED SYSTEMS</v>
          </cell>
          <cell r="Z231">
            <v>0</v>
          </cell>
          <cell r="AB231">
            <v>15.1</v>
          </cell>
          <cell r="AD231">
            <v>0.151</v>
          </cell>
          <cell r="AE231">
            <v>1.95E-2</v>
          </cell>
          <cell r="AF231">
            <v>4.0000000000000001E-3</v>
          </cell>
          <cell r="AG231">
            <v>0.1275</v>
          </cell>
        </row>
        <row r="232">
          <cell r="A232">
            <v>0</v>
          </cell>
          <cell r="B232">
            <v>223</v>
          </cell>
          <cell r="C232" t="str">
            <v>COMPUTER RADIODIAGNOSTICS(amended)</v>
          </cell>
          <cell r="D232">
            <v>1</v>
          </cell>
          <cell r="E232">
            <v>35992</v>
          </cell>
          <cell r="F232">
            <v>1900000</v>
          </cell>
          <cell r="G232">
            <v>746530</v>
          </cell>
          <cell r="L232">
            <v>0.2306</v>
          </cell>
          <cell r="O232">
            <v>36850</v>
          </cell>
          <cell r="P232">
            <v>36880</v>
          </cell>
          <cell r="Q232">
            <v>53372</v>
          </cell>
          <cell r="R232">
            <v>39222</v>
          </cell>
          <cell r="S232">
            <v>14150</v>
          </cell>
          <cell r="T232">
            <v>12</v>
          </cell>
          <cell r="V232">
            <v>707308</v>
          </cell>
          <cell r="W232">
            <v>5362.363555068493</v>
          </cell>
          <cell r="X232">
            <v>15.41</v>
          </cell>
          <cell r="Y232" t="str">
            <v>MED SYSTEMS</v>
          </cell>
          <cell r="Z232">
            <v>9257.2083473972598</v>
          </cell>
          <cell r="AB232">
            <v>15.1</v>
          </cell>
          <cell r="AD232">
            <v>0.151</v>
          </cell>
          <cell r="AE232">
            <v>1.95E-2</v>
          </cell>
          <cell r="AF232">
            <v>4.0000000000000001E-3</v>
          </cell>
          <cell r="AG232">
            <v>0.1275</v>
          </cell>
        </row>
        <row r="233">
          <cell r="A233" t="str">
            <v>W00229</v>
          </cell>
          <cell r="B233">
            <v>224</v>
          </cell>
          <cell r="C233" t="str">
            <v>CARE NURSING HOME</v>
          </cell>
          <cell r="D233">
            <v>1</v>
          </cell>
          <cell r="E233">
            <v>36025</v>
          </cell>
          <cell r="F233">
            <v>495860</v>
          </cell>
          <cell r="G233">
            <v>316077</v>
          </cell>
          <cell r="L233">
            <v>0.2351</v>
          </cell>
          <cell r="O233">
            <v>36843</v>
          </cell>
          <cell r="P233">
            <v>36873</v>
          </cell>
          <cell r="Q233">
            <v>14768</v>
          </cell>
          <cell r="R233">
            <v>8661</v>
          </cell>
          <cell r="S233">
            <v>6107</v>
          </cell>
          <cell r="T233">
            <v>19</v>
          </cell>
          <cell r="V233">
            <v>307416</v>
          </cell>
          <cell r="W233">
            <v>3762.1822750684933</v>
          </cell>
          <cell r="X233">
            <v>15.16</v>
          </cell>
          <cell r="Y233" t="str">
            <v>MED SYSTEMS</v>
          </cell>
          <cell r="Z233">
            <v>3958.1705030136986</v>
          </cell>
          <cell r="AB233">
            <v>14.85</v>
          </cell>
          <cell r="AD233">
            <v>0.14849999999999999</v>
          </cell>
          <cell r="AE233">
            <v>1.95E-2</v>
          </cell>
          <cell r="AF233">
            <v>4.0000000000000001E-3</v>
          </cell>
          <cell r="AG233">
            <v>0.125</v>
          </cell>
        </row>
        <row r="234">
          <cell r="A234" t="str">
            <v>W00213</v>
          </cell>
          <cell r="B234">
            <v>225</v>
          </cell>
          <cell r="C234" t="str">
            <v>POPULAR XRAY</v>
          </cell>
          <cell r="D234">
            <v>1</v>
          </cell>
          <cell r="E234">
            <v>36025</v>
          </cell>
          <cell r="F234">
            <v>309966</v>
          </cell>
          <cell r="G234">
            <v>162630</v>
          </cell>
          <cell r="L234">
            <v>0.223</v>
          </cell>
          <cell r="O234">
            <v>36838</v>
          </cell>
          <cell r="S234">
            <v>0</v>
          </cell>
          <cell r="T234">
            <v>54</v>
          </cell>
          <cell r="V234">
            <v>162630</v>
          </cell>
          <cell r="W234">
            <v>5365.4533150684938</v>
          </cell>
          <cell r="X234">
            <v>15.16</v>
          </cell>
          <cell r="Y234" t="str">
            <v>MED SYSTEMS</v>
          </cell>
          <cell r="Z234">
            <v>2093.9615013698631</v>
          </cell>
          <cell r="AB234">
            <v>14.85</v>
          </cell>
          <cell r="AD234">
            <v>0.14849999999999999</v>
          </cell>
          <cell r="AE234">
            <v>1.95E-2</v>
          </cell>
          <cell r="AF234">
            <v>4.0000000000000001E-3</v>
          </cell>
          <cell r="AG234">
            <v>0.125</v>
          </cell>
        </row>
        <row r="235">
          <cell r="A235" t="str">
            <v>W00194</v>
          </cell>
          <cell r="B235">
            <v>226</v>
          </cell>
          <cell r="C235" t="str">
            <v>MEDWIN DIAGNOSTICS(foreclosed in mar 99)</v>
          </cell>
          <cell r="D235">
            <v>1</v>
          </cell>
          <cell r="E235">
            <v>36033</v>
          </cell>
          <cell r="F235">
            <v>4275000</v>
          </cell>
          <cell r="G235">
            <v>0</v>
          </cell>
          <cell r="L235">
            <v>0.22140000000000001</v>
          </cell>
          <cell r="O235">
            <v>36211</v>
          </cell>
          <cell r="S235">
            <v>0</v>
          </cell>
          <cell r="T235">
            <v>681</v>
          </cell>
          <cell r="V235">
            <v>0</v>
          </cell>
          <cell r="W235">
            <v>0</v>
          </cell>
          <cell r="X235">
            <v>0</v>
          </cell>
          <cell r="Y235" t="str">
            <v>MED SYSTEMS</v>
          </cell>
          <cell r="Z235">
            <v>0</v>
          </cell>
          <cell r="AB235">
            <v>14.85</v>
          </cell>
          <cell r="AD235">
            <v>0.14849999999999999</v>
          </cell>
          <cell r="AE235">
            <v>1.95E-2</v>
          </cell>
          <cell r="AF235">
            <v>4.0000000000000001E-3</v>
          </cell>
          <cell r="AG235">
            <v>0.125</v>
          </cell>
        </row>
        <row r="236">
          <cell r="A236" t="str">
            <v>W00232</v>
          </cell>
          <cell r="B236">
            <v>227</v>
          </cell>
          <cell r="C236" t="str">
            <v>O S RAJENDRAN</v>
          </cell>
          <cell r="D236">
            <v>1</v>
          </cell>
          <cell r="E236">
            <v>36039</v>
          </cell>
          <cell r="F236">
            <v>1240000</v>
          </cell>
          <cell r="G236">
            <v>823125</v>
          </cell>
          <cell r="L236">
            <v>0.20330000000000001</v>
          </cell>
          <cell r="O236">
            <v>36848</v>
          </cell>
          <cell r="S236">
            <v>0</v>
          </cell>
          <cell r="T236">
            <v>44</v>
          </cell>
          <cell r="V236">
            <v>823125</v>
          </cell>
          <cell r="W236">
            <v>20172.651369863015</v>
          </cell>
          <cell r="X236">
            <v>15.16</v>
          </cell>
          <cell r="Y236" t="str">
            <v>MED SYSTEMS</v>
          </cell>
          <cell r="Z236">
            <v>10598.241780821918</v>
          </cell>
          <cell r="AA236">
            <v>42050.852776986299</v>
          </cell>
          <cell r="AB236">
            <v>14.85</v>
          </cell>
          <cell r="AD236">
            <v>0.14849999999999999</v>
          </cell>
          <cell r="AE236">
            <v>1.95E-2</v>
          </cell>
          <cell r="AF236">
            <v>4.0000000000000001E-3</v>
          </cell>
          <cell r="AG236">
            <v>0.125</v>
          </cell>
        </row>
        <row r="237">
          <cell r="A237" t="str">
            <v>W00228</v>
          </cell>
          <cell r="B237">
            <v>228</v>
          </cell>
          <cell r="C237" t="str">
            <v>USMANPURA CT SCAN</v>
          </cell>
          <cell r="D237">
            <v>1</v>
          </cell>
          <cell r="E237">
            <v>36039</v>
          </cell>
          <cell r="F237">
            <v>16867000</v>
          </cell>
          <cell r="G237">
            <v>0</v>
          </cell>
          <cell r="L237">
            <v>0.24709999999999999</v>
          </cell>
          <cell r="O237">
            <v>36127</v>
          </cell>
          <cell r="S237">
            <v>0</v>
          </cell>
          <cell r="T237">
            <v>765</v>
          </cell>
          <cell r="V237">
            <v>0</v>
          </cell>
          <cell r="W237">
            <v>0</v>
          </cell>
          <cell r="X237">
            <v>0</v>
          </cell>
          <cell r="Y237" t="str">
            <v>MED SYSTEMS</v>
          </cell>
          <cell r="Z237">
            <v>0</v>
          </cell>
          <cell r="AB237">
            <v>14.85</v>
          </cell>
          <cell r="AD237">
            <v>0.14849999999999999</v>
          </cell>
          <cell r="AE237">
            <v>1.95E-2</v>
          </cell>
          <cell r="AF237">
            <v>4.0000000000000001E-3</v>
          </cell>
          <cell r="AG237">
            <v>0.125</v>
          </cell>
        </row>
        <row r="238">
          <cell r="A238" t="str">
            <v>W00226</v>
          </cell>
          <cell r="B238">
            <v>229</v>
          </cell>
          <cell r="C238" t="str">
            <v>SETHURAMAN</v>
          </cell>
          <cell r="D238">
            <v>2</v>
          </cell>
          <cell r="E238">
            <v>36063</v>
          </cell>
          <cell r="F238">
            <v>4376000</v>
          </cell>
          <cell r="G238">
            <v>3011353</v>
          </cell>
          <cell r="L238">
            <v>0.21110999999999999</v>
          </cell>
          <cell r="O238">
            <v>36851</v>
          </cell>
          <cell r="P238">
            <v>36881</v>
          </cell>
          <cell r="Q238">
            <v>118385</v>
          </cell>
          <cell r="R238">
            <v>66148</v>
          </cell>
          <cell r="S238">
            <v>52237</v>
          </cell>
          <cell r="T238">
            <v>11</v>
          </cell>
          <cell r="V238">
            <v>2945205</v>
          </cell>
          <cell r="W238">
            <v>18738.039734383561</v>
          </cell>
          <cell r="X238">
            <v>15.41</v>
          </cell>
          <cell r="Y238" t="str">
            <v>MED SYSTEMS</v>
          </cell>
          <cell r="Z238">
            <v>38546.681658904105</v>
          </cell>
          <cell r="AB238">
            <v>14.85</v>
          </cell>
          <cell r="AD238">
            <v>0.14849999999999999</v>
          </cell>
          <cell r="AE238">
            <v>1.95E-2</v>
          </cell>
          <cell r="AF238">
            <v>4.0000000000000001E-3</v>
          </cell>
          <cell r="AG238">
            <v>0.125</v>
          </cell>
        </row>
        <row r="239">
          <cell r="A239" t="str">
            <v>W00227</v>
          </cell>
          <cell r="B239">
            <v>230</v>
          </cell>
          <cell r="C239" t="str">
            <v>SETHURAMAN</v>
          </cell>
          <cell r="D239">
            <v>3</v>
          </cell>
          <cell r="E239">
            <v>36063</v>
          </cell>
          <cell r="F239">
            <v>1980000</v>
          </cell>
          <cell r="G239">
            <v>1357099</v>
          </cell>
          <cell r="L239">
            <v>0.21410000000000001</v>
          </cell>
          <cell r="O239">
            <v>36840</v>
          </cell>
          <cell r="P239">
            <v>36870</v>
          </cell>
          <cell r="Q239">
            <v>53565</v>
          </cell>
          <cell r="R239">
            <v>29680</v>
          </cell>
          <cell r="S239">
            <v>23885</v>
          </cell>
          <cell r="T239">
            <v>22</v>
          </cell>
          <cell r="V239">
            <v>1327419</v>
          </cell>
          <cell r="W239">
            <v>17129.887599452057</v>
          </cell>
          <cell r="X239">
            <v>15.41</v>
          </cell>
          <cell r="Y239" t="str">
            <v>MED SYSTEMS</v>
          </cell>
          <cell r="Z239">
            <v>17373.187136712328</v>
          </cell>
          <cell r="AB239">
            <v>14.85</v>
          </cell>
          <cell r="AD239">
            <v>0.14849999999999999</v>
          </cell>
          <cell r="AE239">
            <v>1.95E-2</v>
          </cell>
          <cell r="AF239">
            <v>4.0000000000000001E-3</v>
          </cell>
          <cell r="AG239">
            <v>0.125</v>
          </cell>
        </row>
        <row r="240">
          <cell r="A240" t="str">
            <v>W00220</v>
          </cell>
          <cell r="B240">
            <v>231</v>
          </cell>
          <cell r="C240" t="str">
            <v>FORT SCANS</v>
          </cell>
          <cell r="D240">
            <v>1</v>
          </cell>
          <cell r="E240">
            <v>36066</v>
          </cell>
          <cell r="F240">
            <v>4000000</v>
          </cell>
          <cell r="G240">
            <v>0</v>
          </cell>
          <cell r="L240">
            <v>0.22850000000000001</v>
          </cell>
          <cell r="O240">
            <v>36066</v>
          </cell>
          <cell r="S240">
            <v>0</v>
          </cell>
          <cell r="T240">
            <v>826</v>
          </cell>
          <cell r="V240">
            <v>0</v>
          </cell>
          <cell r="W240">
            <v>0</v>
          </cell>
          <cell r="X240">
            <v>0</v>
          </cell>
          <cell r="Y240" t="str">
            <v>MED SYSTEMS</v>
          </cell>
          <cell r="Z240">
            <v>0</v>
          </cell>
          <cell r="AB240">
            <v>14.85</v>
          </cell>
          <cell r="AD240">
            <v>0.14849999999999999</v>
          </cell>
          <cell r="AE240">
            <v>1.95E-2</v>
          </cell>
          <cell r="AF240">
            <v>4.0000000000000001E-3</v>
          </cell>
          <cell r="AG240">
            <v>0.125</v>
          </cell>
        </row>
        <row r="241">
          <cell r="A241" t="str">
            <v>W00221</v>
          </cell>
          <cell r="B241">
            <v>232</v>
          </cell>
          <cell r="C241" t="str">
            <v>MEDINOVA DIAGNOSTICS</v>
          </cell>
          <cell r="D241">
            <v>5</v>
          </cell>
          <cell r="E241">
            <v>36066</v>
          </cell>
          <cell r="F241">
            <v>705644</v>
          </cell>
          <cell r="G241">
            <v>414895</v>
          </cell>
          <cell r="L241">
            <v>0.2152</v>
          </cell>
          <cell r="O241">
            <v>36852</v>
          </cell>
          <cell r="P241">
            <v>36882</v>
          </cell>
          <cell r="Q241">
            <v>21418</v>
          </cell>
          <cell r="R241">
            <v>14080</v>
          </cell>
          <cell r="S241">
            <v>7338</v>
          </cell>
          <cell r="T241">
            <v>10</v>
          </cell>
          <cell r="V241">
            <v>400815</v>
          </cell>
          <cell r="W241">
            <v>2363.161315068493</v>
          </cell>
          <cell r="X241">
            <v>15.41</v>
          </cell>
          <cell r="Y241" t="str">
            <v>MED SYSTEMS</v>
          </cell>
          <cell r="Z241">
            <v>5245.8447575342461</v>
          </cell>
          <cell r="AB241">
            <v>14.85</v>
          </cell>
          <cell r="AD241">
            <v>0.14849999999999999</v>
          </cell>
          <cell r="AE241">
            <v>1.95E-2</v>
          </cell>
          <cell r="AF241">
            <v>4.0000000000000001E-3</v>
          </cell>
          <cell r="AG241">
            <v>0.125</v>
          </cell>
        </row>
        <row r="242">
          <cell r="A242" t="str">
            <v>W00230</v>
          </cell>
          <cell r="B242">
            <v>233</v>
          </cell>
          <cell r="C242" t="str">
            <v>SIDDAYYA KUDLAMATH</v>
          </cell>
          <cell r="D242">
            <v>1</v>
          </cell>
          <cell r="E242">
            <v>36075</v>
          </cell>
          <cell r="F242">
            <v>1498736</v>
          </cell>
          <cell r="G242">
            <v>993826</v>
          </cell>
          <cell r="L242">
            <v>0.20399999999999999</v>
          </cell>
          <cell r="O242">
            <v>36840</v>
          </cell>
          <cell r="P242">
            <v>36870</v>
          </cell>
          <cell r="Q242">
            <v>40510</v>
          </cell>
          <cell r="R242">
            <v>23845</v>
          </cell>
          <cell r="S242">
            <v>16665</v>
          </cell>
          <cell r="T242">
            <v>22</v>
          </cell>
          <cell r="V242">
            <v>969981</v>
          </cell>
          <cell r="W242">
            <v>11926.78007671233</v>
          </cell>
          <cell r="X242">
            <v>15.41</v>
          </cell>
          <cell r="Y242" t="str">
            <v>MED SYSTEMS</v>
          </cell>
          <cell r="Z242">
            <v>12695.058178356165</v>
          </cell>
          <cell r="AB242">
            <v>15.1</v>
          </cell>
          <cell r="AD242">
            <v>0.151</v>
          </cell>
          <cell r="AE242">
            <v>1.95E-2</v>
          </cell>
          <cell r="AF242">
            <v>4.0000000000000001E-3</v>
          </cell>
          <cell r="AG242">
            <v>0.1275</v>
          </cell>
        </row>
        <row r="243">
          <cell r="A243" t="str">
            <v>W00225</v>
          </cell>
          <cell r="B243">
            <v>234</v>
          </cell>
          <cell r="C243" t="str">
            <v>G NEUROMED DIAGNOSTICS</v>
          </cell>
          <cell r="D243">
            <v>2</v>
          </cell>
          <cell r="E243">
            <v>36075</v>
          </cell>
          <cell r="F243">
            <v>6422000</v>
          </cell>
          <cell r="G243">
            <v>5041559</v>
          </cell>
          <cell r="L243">
            <v>0.23019999999999999</v>
          </cell>
          <cell r="O243">
            <v>36798</v>
          </cell>
          <cell r="P243">
            <v>36889</v>
          </cell>
          <cell r="Q243">
            <v>593100</v>
          </cell>
          <cell r="R243">
            <v>303702</v>
          </cell>
          <cell r="S243">
            <v>289398</v>
          </cell>
          <cell r="T243">
            <v>3</v>
          </cell>
          <cell r="V243">
            <v>4737857</v>
          </cell>
          <cell r="W243">
            <v>8964.2850526027378</v>
          </cell>
          <cell r="X243">
            <v>15.41</v>
          </cell>
          <cell r="Y243" t="str">
            <v>MED SYSTEMS</v>
          </cell>
          <cell r="Z243">
            <v>62008.812807397262</v>
          </cell>
          <cell r="AB243">
            <v>15.1</v>
          </cell>
          <cell r="AD243">
            <v>0.151</v>
          </cell>
          <cell r="AE243">
            <v>1.95E-2</v>
          </cell>
          <cell r="AF243">
            <v>4.0000000000000001E-3</v>
          </cell>
          <cell r="AG243">
            <v>0.1275</v>
          </cell>
        </row>
        <row r="244">
          <cell r="A244" t="str">
            <v>W00231</v>
          </cell>
          <cell r="B244">
            <v>235</v>
          </cell>
          <cell r="C244" t="str">
            <v>MURARI PRASAD MISHRA</v>
          </cell>
          <cell r="D244">
            <v>1</v>
          </cell>
          <cell r="E244">
            <v>36075</v>
          </cell>
          <cell r="F244">
            <v>451250</v>
          </cell>
          <cell r="G244">
            <v>157772</v>
          </cell>
          <cell r="L244">
            <v>0.2364</v>
          </cell>
          <cell r="O244">
            <v>36859</v>
          </cell>
          <cell r="P244">
            <v>36889</v>
          </cell>
          <cell r="Q244">
            <v>17528</v>
          </cell>
          <cell r="R244">
            <v>14463</v>
          </cell>
          <cell r="S244">
            <v>3065</v>
          </cell>
          <cell r="T244">
            <v>3</v>
          </cell>
          <cell r="V244">
            <v>143309</v>
          </cell>
          <cell r="W244">
            <v>278.45135013698626</v>
          </cell>
          <cell r="X244">
            <v>15.41</v>
          </cell>
          <cell r="Y244" t="str">
            <v>MED SYSTEMS</v>
          </cell>
          <cell r="Z244">
            <v>1875.6203394520548</v>
          </cell>
          <cell r="AB244">
            <v>15.1</v>
          </cell>
          <cell r="AD244">
            <v>0.151</v>
          </cell>
          <cell r="AE244">
            <v>1.95E-2</v>
          </cell>
          <cell r="AF244">
            <v>4.0000000000000001E-3</v>
          </cell>
          <cell r="AG244">
            <v>0.1275</v>
          </cell>
        </row>
        <row r="245">
          <cell r="A245" t="str">
            <v>W00233</v>
          </cell>
          <cell r="B245">
            <v>236</v>
          </cell>
          <cell r="C245" t="str">
            <v>KALPANA JHAKU</v>
          </cell>
          <cell r="D245">
            <v>1</v>
          </cell>
          <cell r="E245">
            <v>36091</v>
          </cell>
          <cell r="F245">
            <v>317136</v>
          </cell>
          <cell r="G245">
            <v>112824</v>
          </cell>
          <cell r="L245">
            <v>0.22989999999999999</v>
          </cell>
          <cell r="O245">
            <v>36850</v>
          </cell>
          <cell r="P245">
            <v>36880</v>
          </cell>
          <cell r="Q245">
            <v>12500</v>
          </cell>
          <cell r="R245">
            <v>10368</v>
          </cell>
          <cell r="S245">
            <v>2132</v>
          </cell>
          <cell r="T245">
            <v>12</v>
          </cell>
          <cell r="V245">
            <v>102456</v>
          </cell>
          <cell r="W245">
            <v>774.39893917808217</v>
          </cell>
          <cell r="X245">
            <v>14.91</v>
          </cell>
          <cell r="Y245" t="str">
            <v>MED SYSTEMS</v>
          </cell>
          <cell r="Z245">
            <v>1297.4298016438356</v>
          </cell>
          <cell r="AB245">
            <v>15.1</v>
          </cell>
          <cell r="AD245">
            <v>0.151</v>
          </cell>
          <cell r="AE245">
            <v>1.95E-2</v>
          </cell>
          <cell r="AF245">
            <v>4.0000000000000001E-3</v>
          </cell>
          <cell r="AG245">
            <v>0.1275</v>
          </cell>
        </row>
        <row r="246">
          <cell r="A246" t="str">
            <v>W00236</v>
          </cell>
          <cell r="B246">
            <v>237</v>
          </cell>
          <cell r="C246" t="str">
            <v>B I JAFFERY</v>
          </cell>
          <cell r="D246">
            <v>1</v>
          </cell>
          <cell r="E246">
            <v>36104</v>
          </cell>
          <cell r="F246">
            <v>2030000</v>
          </cell>
          <cell r="G246">
            <v>1416085</v>
          </cell>
          <cell r="L246">
            <v>0.1988</v>
          </cell>
          <cell r="O246">
            <v>36799</v>
          </cell>
          <cell r="P246">
            <v>36890</v>
          </cell>
          <cell r="Q246">
            <v>159455</v>
          </cell>
          <cell r="R246">
            <v>89257</v>
          </cell>
          <cell r="S246">
            <v>70198</v>
          </cell>
          <cell r="T246">
            <v>2</v>
          </cell>
          <cell r="V246">
            <v>1326828</v>
          </cell>
          <cell r="W246">
            <v>1445.3337336986303</v>
          </cell>
          <cell r="X246">
            <v>14.91</v>
          </cell>
          <cell r="Y246" t="str">
            <v>MED SYSTEMS</v>
          </cell>
          <cell r="Z246">
            <v>16802.004654246575</v>
          </cell>
          <cell r="AB246">
            <v>14.6</v>
          </cell>
          <cell r="AD246">
            <v>0.14599999999999999</v>
          </cell>
          <cell r="AE246">
            <v>1.95E-2</v>
          </cell>
          <cell r="AF246">
            <v>4.0000000000000001E-3</v>
          </cell>
          <cell r="AG246">
            <v>0.1225</v>
          </cell>
        </row>
        <row r="247">
          <cell r="A247" t="str">
            <v>w00237</v>
          </cell>
          <cell r="B247">
            <v>238</v>
          </cell>
          <cell r="C247" t="str">
            <v>VERDICT DIAGNOSTICS</v>
          </cell>
          <cell r="D247">
            <v>1</v>
          </cell>
          <cell r="E247">
            <v>36122</v>
          </cell>
          <cell r="F247">
            <v>3960000</v>
          </cell>
          <cell r="G247">
            <v>2422519</v>
          </cell>
          <cell r="L247">
            <v>0.2455</v>
          </cell>
          <cell r="O247">
            <v>36779</v>
          </cell>
          <cell r="P247">
            <v>36870</v>
          </cell>
          <cell r="Q247">
            <v>345979</v>
          </cell>
          <cell r="R247">
            <v>197729</v>
          </cell>
          <cell r="S247">
            <v>148250</v>
          </cell>
          <cell r="T247">
            <v>22</v>
          </cell>
          <cell r="V247">
            <v>2224790</v>
          </cell>
          <cell r="W247">
            <v>32920.796684931505</v>
          </cell>
          <cell r="X247">
            <v>14.91</v>
          </cell>
          <cell r="Y247" t="str">
            <v>MED SYSTEMS</v>
          </cell>
          <cell r="Z247">
            <v>28173.155778082193</v>
          </cell>
          <cell r="AB247">
            <v>14.6</v>
          </cell>
          <cell r="AD247">
            <v>0.14599999999999999</v>
          </cell>
          <cell r="AE247">
            <v>1.95E-2</v>
          </cell>
          <cell r="AF247">
            <v>4.0000000000000001E-3</v>
          </cell>
          <cell r="AG247">
            <v>0.1225</v>
          </cell>
        </row>
        <row r="248">
          <cell r="A248" t="str">
            <v>W00242</v>
          </cell>
          <cell r="B248">
            <v>239</v>
          </cell>
          <cell r="C248" t="str">
            <v>BHARAT SCANS</v>
          </cell>
          <cell r="D248">
            <v>1</v>
          </cell>
          <cell r="E248">
            <v>36138</v>
          </cell>
          <cell r="F248">
            <v>10650000</v>
          </cell>
          <cell r="G248">
            <v>8431352</v>
          </cell>
          <cell r="L248">
            <v>0.21340000000000001</v>
          </cell>
          <cell r="O248">
            <v>36858</v>
          </cell>
          <cell r="P248">
            <v>36888</v>
          </cell>
          <cell r="Q248">
            <v>319000</v>
          </cell>
          <cell r="R248">
            <v>171134</v>
          </cell>
          <cell r="S248">
            <v>147866</v>
          </cell>
          <cell r="T248">
            <v>4</v>
          </cell>
          <cell r="V248">
            <v>8260218</v>
          </cell>
          <cell r="W248">
            <v>19317.594752876714</v>
          </cell>
          <cell r="X248">
            <v>14.91</v>
          </cell>
          <cell r="Y248" t="str">
            <v>MED SYSTEMS</v>
          </cell>
          <cell r="Z248">
            <v>104601.5167610959</v>
          </cell>
          <cell r="AB248">
            <v>14.6</v>
          </cell>
          <cell r="AD248">
            <v>0.14599999999999999</v>
          </cell>
          <cell r="AE248">
            <v>1.95E-2</v>
          </cell>
          <cell r="AF248">
            <v>4.0000000000000001E-3</v>
          </cell>
          <cell r="AG248">
            <v>0.1225</v>
          </cell>
        </row>
        <row r="249">
          <cell r="A249" t="str">
            <v>W00241</v>
          </cell>
          <cell r="B249">
            <v>240</v>
          </cell>
          <cell r="C249" t="str">
            <v>D C PARIJA</v>
          </cell>
          <cell r="D249">
            <v>1</v>
          </cell>
          <cell r="E249">
            <v>36138</v>
          </cell>
          <cell r="F249">
            <v>512000</v>
          </cell>
          <cell r="G249">
            <v>218681</v>
          </cell>
          <cell r="L249">
            <v>0.193</v>
          </cell>
          <cell r="O249">
            <v>36831</v>
          </cell>
          <cell r="P249">
            <v>36861</v>
          </cell>
          <cell r="Q249">
            <v>18770</v>
          </cell>
          <cell r="R249">
            <v>15301</v>
          </cell>
          <cell r="S249">
            <v>3469</v>
          </cell>
          <cell r="T249">
            <v>31</v>
          </cell>
          <cell r="V249">
            <v>203380</v>
          </cell>
          <cell r="W249">
            <v>3333.7603835616442</v>
          </cell>
          <cell r="X249">
            <v>14.91</v>
          </cell>
          <cell r="Y249" t="str">
            <v>MED SYSTEMS</v>
          </cell>
          <cell r="Z249">
            <v>2575.4594465753426</v>
          </cell>
          <cell r="AA249">
            <v>223613.47822136988</v>
          </cell>
          <cell r="AB249">
            <v>14.6</v>
          </cell>
          <cell r="AD249">
            <v>0.14599999999999999</v>
          </cell>
          <cell r="AE249">
            <v>1.95E-2</v>
          </cell>
          <cell r="AF249">
            <v>4.0000000000000001E-3</v>
          </cell>
          <cell r="AG249">
            <v>0.1225</v>
          </cell>
        </row>
        <row r="250">
          <cell r="A250" t="str">
            <v>W00240</v>
          </cell>
          <cell r="B250">
            <v>241</v>
          </cell>
          <cell r="C250" t="str">
            <v>KAMAL NARAIN</v>
          </cell>
          <cell r="D250">
            <v>1</v>
          </cell>
          <cell r="E250">
            <v>36138</v>
          </cell>
          <cell r="F250">
            <v>406400</v>
          </cell>
          <cell r="G250">
            <v>161305</v>
          </cell>
          <cell r="L250">
            <v>0.19520000000000001</v>
          </cell>
          <cell r="O250">
            <v>36856</v>
          </cell>
          <cell r="P250">
            <v>36886</v>
          </cell>
          <cell r="Q250">
            <v>14900</v>
          </cell>
          <cell r="R250">
            <v>12312</v>
          </cell>
          <cell r="S250">
            <v>2588</v>
          </cell>
          <cell r="T250">
            <v>6</v>
          </cell>
          <cell r="V250">
            <v>148993</v>
          </cell>
          <cell r="W250">
            <v>478.08384000000001</v>
          </cell>
          <cell r="X250">
            <v>14.91</v>
          </cell>
          <cell r="Y250" t="str">
            <v>MED SYSTEMS</v>
          </cell>
          <cell r="Z250">
            <v>1886.7412199999999</v>
          </cell>
          <cell r="AA250">
            <v>1501.0058684931507</v>
          </cell>
          <cell r="AB250">
            <v>14.6</v>
          </cell>
          <cell r="AD250">
            <v>0.14599999999999999</v>
          </cell>
          <cell r="AE250">
            <v>1.95E-2</v>
          </cell>
          <cell r="AF250">
            <v>4.0000000000000001E-3</v>
          </cell>
          <cell r="AG250">
            <v>0.1225</v>
          </cell>
        </row>
        <row r="251">
          <cell r="A251" t="str">
            <v>W00243</v>
          </cell>
          <cell r="B251">
            <v>242</v>
          </cell>
          <cell r="C251" t="str">
            <v>ZIA UL HASAN RIZVI</v>
          </cell>
          <cell r="D251">
            <v>1</v>
          </cell>
          <cell r="E251">
            <v>36138</v>
          </cell>
          <cell r="F251">
            <v>344000</v>
          </cell>
          <cell r="G251">
            <v>136092</v>
          </cell>
          <cell r="L251">
            <v>0.20269999999999999</v>
          </cell>
          <cell r="O251">
            <v>36839</v>
          </cell>
          <cell r="P251">
            <v>36869</v>
          </cell>
          <cell r="Q251">
            <v>12620</v>
          </cell>
          <cell r="R251">
            <v>10353</v>
          </cell>
          <cell r="S251">
            <v>2267</v>
          </cell>
          <cell r="T251">
            <v>23</v>
          </cell>
          <cell r="V251">
            <v>125739</v>
          </cell>
          <cell r="W251">
            <v>1606.0487449315069</v>
          </cell>
          <cell r="X251">
            <v>14.91</v>
          </cell>
          <cell r="Y251" t="str">
            <v>MED SYSTEMS</v>
          </cell>
          <cell r="Z251">
            <v>1592.2691284931507</v>
          </cell>
          <cell r="AB251">
            <v>14.6</v>
          </cell>
          <cell r="AD251">
            <v>0.14599999999999999</v>
          </cell>
          <cell r="AE251">
            <v>1.95E-2</v>
          </cell>
          <cell r="AF251">
            <v>4.0000000000000001E-3</v>
          </cell>
          <cell r="AG251">
            <v>0.1225</v>
          </cell>
        </row>
        <row r="252">
          <cell r="A252" t="str">
            <v>W00245</v>
          </cell>
          <cell r="B252">
            <v>243</v>
          </cell>
          <cell r="C252" t="str">
            <v>G. Bhakthavatsalam</v>
          </cell>
          <cell r="D252">
            <v>1</v>
          </cell>
          <cell r="E252">
            <v>36138</v>
          </cell>
          <cell r="F252">
            <v>1125000</v>
          </cell>
          <cell r="G252">
            <v>804910</v>
          </cell>
          <cell r="L252">
            <v>0.1817</v>
          </cell>
          <cell r="O252">
            <v>36831</v>
          </cell>
          <cell r="P252">
            <v>36861</v>
          </cell>
          <cell r="Q252">
            <v>28565</v>
          </cell>
          <cell r="R252">
            <v>16545</v>
          </cell>
          <cell r="S252">
            <v>12020</v>
          </cell>
          <cell r="T252">
            <v>31</v>
          </cell>
          <cell r="V252">
            <v>788365</v>
          </cell>
          <cell r="W252">
            <v>12166.09187808219</v>
          </cell>
          <cell r="X252">
            <v>14.91</v>
          </cell>
          <cell r="Y252" t="str">
            <v>MED SYSTEMS</v>
          </cell>
          <cell r="Z252">
            <v>9983.2927849315074</v>
          </cell>
          <cell r="AB252">
            <v>14.6</v>
          </cell>
          <cell r="AD252">
            <v>0.14599999999999999</v>
          </cell>
          <cell r="AE252">
            <v>1.95E-2</v>
          </cell>
          <cell r="AF252">
            <v>4.0000000000000001E-3</v>
          </cell>
          <cell r="AG252">
            <v>0.1225</v>
          </cell>
        </row>
        <row r="253">
          <cell r="A253" t="str">
            <v>W00244</v>
          </cell>
          <cell r="B253">
            <v>244</v>
          </cell>
          <cell r="C253" t="str">
            <v>REKHA MISHRA</v>
          </cell>
          <cell r="D253">
            <v>1</v>
          </cell>
          <cell r="E253">
            <v>36138</v>
          </cell>
          <cell r="F253">
            <v>372000</v>
          </cell>
          <cell r="G253">
            <v>159522</v>
          </cell>
          <cell r="L253">
            <v>0.19400000000000001</v>
          </cell>
          <cell r="O253">
            <v>36837</v>
          </cell>
          <cell r="P253">
            <v>36867</v>
          </cell>
          <cell r="Q253">
            <v>13700</v>
          </cell>
          <cell r="R253">
            <v>11156</v>
          </cell>
          <cell r="S253">
            <v>2544</v>
          </cell>
          <cell r="T253">
            <v>25</v>
          </cell>
          <cell r="V253">
            <v>148366</v>
          </cell>
          <cell r="W253">
            <v>1971.4386301369861</v>
          </cell>
          <cell r="X253">
            <v>14.91</v>
          </cell>
          <cell r="Y253" t="str">
            <v>MED SYSTEMS</v>
          </cell>
          <cell r="Z253">
            <v>1878.801338630137</v>
          </cell>
          <cell r="AB253">
            <v>14.6</v>
          </cell>
          <cell r="AD253">
            <v>0.14599999999999999</v>
          </cell>
          <cell r="AE253">
            <v>1.95E-2</v>
          </cell>
          <cell r="AF253">
            <v>4.0000000000000001E-3</v>
          </cell>
          <cell r="AG253">
            <v>0.1225</v>
          </cell>
        </row>
        <row r="254">
          <cell r="A254" t="str">
            <v>W00246</v>
          </cell>
          <cell r="B254">
            <v>245</v>
          </cell>
          <cell r="C254" t="str">
            <v>VIJAYA MEDICAL CENTRE</v>
          </cell>
          <cell r="D254">
            <v>3</v>
          </cell>
          <cell r="E254">
            <v>36150</v>
          </cell>
          <cell r="F254">
            <v>20900000</v>
          </cell>
          <cell r="G254">
            <v>20248962</v>
          </cell>
          <cell r="L254">
            <v>0.19139999999999999</v>
          </cell>
          <cell r="O254">
            <v>36848</v>
          </cell>
          <cell r="P254">
            <v>36878</v>
          </cell>
          <cell r="Q254">
            <v>550000</v>
          </cell>
          <cell r="R254">
            <v>231433</v>
          </cell>
          <cell r="S254">
            <v>318567</v>
          </cell>
          <cell r="T254">
            <v>14</v>
          </cell>
          <cell r="V254">
            <v>20017529</v>
          </cell>
          <cell r="W254">
            <v>146956.08413260273</v>
          </cell>
          <cell r="X254">
            <v>14.91</v>
          </cell>
          <cell r="Z254">
            <v>253487.72819424656</v>
          </cell>
          <cell r="AB254">
            <v>14.6</v>
          </cell>
          <cell r="AD254">
            <v>0.14599999999999999</v>
          </cell>
          <cell r="AE254">
            <v>1.95E-2</v>
          </cell>
          <cell r="AF254">
            <v>4.0000000000000001E-3</v>
          </cell>
          <cell r="AG254">
            <v>0.1225</v>
          </cell>
        </row>
        <row r="255">
          <cell r="A255" t="str">
            <v>W00247</v>
          </cell>
          <cell r="B255">
            <v>246</v>
          </cell>
          <cell r="C255" t="str">
            <v>SRI VENKATESWARA DIAGNOSTICS</v>
          </cell>
          <cell r="D255">
            <v>1</v>
          </cell>
          <cell r="E255">
            <v>36157</v>
          </cell>
          <cell r="F255">
            <v>5760000</v>
          </cell>
          <cell r="G255">
            <v>4505090</v>
          </cell>
          <cell r="L255">
            <v>0.18970000000000001</v>
          </cell>
          <cell r="O255">
            <v>36844</v>
          </cell>
          <cell r="P255">
            <v>36874</v>
          </cell>
          <cell r="Q255">
            <v>161700</v>
          </cell>
          <cell r="R255">
            <v>91460</v>
          </cell>
          <cell r="S255">
            <v>70240</v>
          </cell>
          <cell r="T255">
            <v>18</v>
          </cell>
          <cell r="V255">
            <v>4413630</v>
          </cell>
          <cell r="W255">
            <v>41289.810953424654</v>
          </cell>
          <cell r="X255">
            <v>14.91</v>
          </cell>
          <cell r="Z255">
            <v>55891.066364383565</v>
          </cell>
          <cell r="AB255">
            <v>14.6</v>
          </cell>
          <cell r="AD255">
            <v>0.14599999999999999</v>
          </cell>
          <cell r="AE255">
            <v>1.95E-2</v>
          </cell>
          <cell r="AF255">
            <v>4.0000000000000001E-3</v>
          </cell>
          <cell r="AG255">
            <v>0.1225</v>
          </cell>
        </row>
        <row r="256">
          <cell r="A256" t="str">
            <v>W00248</v>
          </cell>
          <cell r="B256">
            <v>247</v>
          </cell>
          <cell r="C256" t="str">
            <v>TELICHERY COOPERATIVE</v>
          </cell>
          <cell r="D256">
            <v>1</v>
          </cell>
          <cell r="E256">
            <v>36157</v>
          </cell>
          <cell r="F256">
            <v>1397584</v>
          </cell>
          <cell r="G256">
            <v>0</v>
          </cell>
          <cell r="L256">
            <v>0.214</v>
          </cell>
          <cell r="O256">
            <v>36324</v>
          </cell>
          <cell r="S256">
            <v>0</v>
          </cell>
          <cell r="T256">
            <v>568</v>
          </cell>
          <cell r="V256">
            <v>0</v>
          </cell>
          <cell r="W256">
            <v>0</v>
          </cell>
          <cell r="X256">
            <v>0</v>
          </cell>
          <cell r="Z256">
            <v>0</v>
          </cell>
          <cell r="AB256">
            <v>14.6</v>
          </cell>
          <cell r="AD256">
            <v>0.14599999999999999</v>
          </cell>
          <cell r="AE256">
            <v>1.95E-2</v>
          </cell>
          <cell r="AF256">
            <v>4.0000000000000001E-3</v>
          </cell>
          <cell r="AG256">
            <v>0.1225</v>
          </cell>
        </row>
        <row r="257">
          <cell r="A257" t="str">
            <v>W00253</v>
          </cell>
          <cell r="B257">
            <v>248</v>
          </cell>
          <cell r="C257" t="str">
            <v>AJIT K TYAGI</v>
          </cell>
          <cell r="D257">
            <v>1</v>
          </cell>
          <cell r="E257">
            <v>36159</v>
          </cell>
          <cell r="F257">
            <v>4410000</v>
          </cell>
          <cell r="G257">
            <v>3337881</v>
          </cell>
          <cell r="L257">
            <v>0.17030000000000001</v>
          </cell>
          <cell r="O257">
            <v>36845</v>
          </cell>
          <cell r="P257">
            <v>36875</v>
          </cell>
          <cell r="Q257">
            <v>112000</v>
          </cell>
          <cell r="R257">
            <v>65289</v>
          </cell>
          <cell r="S257">
            <v>46711</v>
          </cell>
          <cell r="T257">
            <v>17</v>
          </cell>
          <cell r="V257">
            <v>3272592</v>
          </cell>
          <cell r="W257">
            <v>25957.482463561646</v>
          </cell>
          <cell r="X257">
            <v>14.91</v>
          </cell>
          <cell r="Z257">
            <v>41441.773926575341</v>
          </cell>
          <cell r="AB257">
            <v>14.6</v>
          </cell>
          <cell r="AD257">
            <v>0.14599999999999999</v>
          </cell>
          <cell r="AE257">
            <v>1.95E-2</v>
          </cell>
          <cell r="AF257">
            <v>4.0000000000000001E-3</v>
          </cell>
          <cell r="AG257">
            <v>0.1225</v>
          </cell>
        </row>
        <row r="258">
          <cell r="A258" t="str">
            <v>W00251</v>
          </cell>
          <cell r="B258">
            <v>249</v>
          </cell>
          <cell r="C258" t="str">
            <v>ASSAM HOSPITAL CFM</v>
          </cell>
          <cell r="D258">
            <v>1</v>
          </cell>
          <cell r="E258">
            <v>36159</v>
          </cell>
          <cell r="F258">
            <v>1944800</v>
          </cell>
          <cell r="G258">
            <v>1700426</v>
          </cell>
          <cell r="L258">
            <v>0.1784</v>
          </cell>
          <cell r="O258">
            <v>36831</v>
          </cell>
          <cell r="P258">
            <v>36861</v>
          </cell>
          <cell r="Q258">
            <v>56687</v>
          </cell>
          <cell r="R258">
            <v>31752</v>
          </cell>
          <cell r="S258">
            <v>24935</v>
          </cell>
          <cell r="T258">
            <v>31</v>
          </cell>
          <cell r="V258">
            <v>1668674</v>
          </cell>
          <cell r="W258">
            <v>25283.382711232876</v>
          </cell>
          <cell r="X258">
            <v>14.91</v>
          </cell>
          <cell r="Z258">
            <v>21130.898891506848</v>
          </cell>
          <cell r="AB258">
            <v>14.6</v>
          </cell>
          <cell r="AD258">
            <v>0.14599999999999999</v>
          </cell>
          <cell r="AE258">
            <v>1.95E-2</v>
          </cell>
          <cell r="AF258">
            <v>4.0000000000000001E-3</v>
          </cell>
          <cell r="AG258">
            <v>0.1225</v>
          </cell>
        </row>
        <row r="259">
          <cell r="A259" t="str">
            <v>W00252</v>
          </cell>
          <cell r="B259">
            <v>250</v>
          </cell>
          <cell r="C259" t="str">
            <v>ASSAM HOSPITAL CT</v>
          </cell>
          <cell r="D259">
            <v>1</v>
          </cell>
          <cell r="E259">
            <v>36159</v>
          </cell>
          <cell r="F259">
            <v>6086400</v>
          </cell>
          <cell r="G259">
            <v>5321640</v>
          </cell>
          <cell r="L259">
            <v>0.1784</v>
          </cell>
          <cell r="O259">
            <v>36831</v>
          </cell>
          <cell r="P259">
            <v>36861</v>
          </cell>
          <cell r="Q259">
            <v>177408</v>
          </cell>
          <cell r="R259">
            <v>99371</v>
          </cell>
          <cell r="S259">
            <v>78037</v>
          </cell>
          <cell r="T259">
            <v>31</v>
          </cell>
          <cell r="V259">
            <v>5222269</v>
          </cell>
          <cell r="W259">
            <v>79126.675281095886</v>
          </cell>
          <cell r="X259">
            <v>14.91</v>
          </cell>
          <cell r="Z259">
            <v>66131.09464356165</v>
          </cell>
          <cell r="AB259">
            <v>14.6</v>
          </cell>
          <cell r="AD259">
            <v>0.14599999999999999</v>
          </cell>
          <cell r="AE259">
            <v>1.95E-2</v>
          </cell>
          <cell r="AF259">
            <v>4.0000000000000001E-3</v>
          </cell>
          <cell r="AG259">
            <v>0.1225</v>
          </cell>
        </row>
        <row r="260">
          <cell r="A260" t="str">
            <v>W00250</v>
          </cell>
          <cell r="B260">
            <v>251</v>
          </cell>
          <cell r="C260" t="str">
            <v>ASSAM HOSPITAL XRAY</v>
          </cell>
          <cell r="D260">
            <v>1</v>
          </cell>
          <cell r="E260">
            <v>36159</v>
          </cell>
          <cell r="F260">
            <v>1888800</v>
          </cell>
          <cell r="G260">
            <v>1651468</v>
          </cell>
          <cell r="L260">
            <v>0.1784</v>
          </cell>
          <cell r="O260">
            <v>36831</v>
          </cell>
          <cell r="P260">
            <v>36861</v>
          </cell>
          <cell r="Q260">
            <v>55055</v>
          </cell>
          <cell r="R260">
            <v>30838</v>
          </cell>
          <cell r="S260">
            <v>24217</v>
          </cell>
          <cell r="T260">
            <v>31</v>
          </cell>
          <cell r="V260">
            <v>1620630</v>
          </cell>
          <cell r="W260">
            <v>24555.430553424656</v>
          </cell>
          <cell r="X260">
            <v>14.91</v>
          </cell>
          <cell r="Z260">
            <v>20522.503898630137</v>
          </cell>
          <cell r="AB260">
            <v>14.6</v>
          </cell>
          <cell r="AD260">
            <v>0.14599999999999999</v>
          </cell>
          <cell r="AE260">
            <v>1.95E-2</v>
          </cell>
          <cell r="AF260">
            <v>4.0000000000000001E-3</v>
          </cell>
          <cell r="AG260">
            <v>0.1225</v>
          </cell>
        </row>
        <row r="261">
          <cell r="A261" t="str">
            <v>W00249</v>
          </cell>
          <cell r="B261">
            <v>252</v>
          </cell>
          <cell r="C261" t="str">
            <v>COCHIN COOPERATIVE</v>
          </cell>
          <cell r="D261">
            <v>1</v>
          </cell>
          <cell r="E261">
            <v>36159</v>
          </cell>
          <cell r="F261">
            <v>5133330</v>
          </cell>
          <cell r="G261">
            <v>2960431</v>
          </cell>
          <cell r="L261">
            <v>0.20799999999999999</v>
          </cell>
          <cell r="O261">
            <v>36835</v>
          </cell>
          <cell r="P261">
            <v>36865</v>
          </cell>
          <cell r="Q261">
            <v>143111</v>
          </cell>
          <cell r="R261">
            <v>92500</v>
          </cell>
          <cell r="S261">
            <v>50611</v>
          </cell>
          <cell r="T261">
            <v>27</v>
          </cell>
          <cell r="V261">
            <v>2867931</v>
          </cell>
          <cell r="W261">
            <v>44126.8506739726</v>
          </cell>
          <cell r="X261">
            <v>14.91</v>
          </cell>
          <cell r="Z261">
            <v>36317.435274246578</v>
          </cell>
          <cell r="AB261">
            <v>14.6</v>
          </cell>
          <cell r="AD261">
            <v>0.14599999999999999</v>
          </cell>
          <cell r="AE261">
            <v>1.95E-2</v>
          </cell>
          <cell r="AF261">
            <v>4.0000000000000001E-3</v>
          </cell>
          <cell r="AG261">
            <v>0.1225</v>
          </cell>
        </row>
        <row r="262">
          <cell r="A262" t="str">
            <v>W00254</v>
          </cell>
          <cell r="B262">
            <v>253</v>
          </cell>
          <cell r="C262" t="str">
            <v>SPANDAN DIAGNOSTICS(foreclosed in july 99)</v>
          </cell>
          <cell r="D262">
            <v>1</v>
          </cell>
          <cell r="E262">
            <v>36159</v>
          </cell>
          <cell r="F262">
            <v>6253000</v>
          </cell>
          <cell r="G262">
            <v>0</v>
          </cell>
          <cell r="L262">
            <v>0.20019999999999999</v>
          </cell>
          <cell r="O262">
            <v>36326</v>
          </cell>
          <cell r="S262">
            <v>0</v>
          </cell>
          <cell r="T262">
            <v>566</v>
          </cell>
          <cell r="V262">
            <v>0</v>
          </cell>
          <cell r="W262">
            <v>0</v>
          </cell>
          <cell r="X262">
            <v>0</v>
          </cell>
          <cell r="Z262">
            <v>0</v>
          </cell>
          <cell r="AB262">
            <v>14.6</v>
          </cell>
          <cell r="AD262">
            <v>0.14599999999999999</v>
          </cell>
          <cell r="AE262">
            <v>1.95E-2</v>
          </cell>
          <cell r="AF262">
            <v>4.0000000000000001E-3</v>
          </cell>
          <cell r="AG262">
            <v>0.1225</v>
          </cell>
        </row>
        <row r="263">
          <cell r="A263" t="str">
            <v>W00258</v>
          </cell>
          <cell r="B263">
            <v>254</v>
          </cell>
          <cell r="C263" t="str">
            <v>AGNES M P RAYAL</v>
          </cell>
          <cell r="D263">
            <v>1</v>
          </cell>
          <cell r="E263">
            <v>36192</v>
          </cell>
          <cell r="F263">
            <v>937500</v>
          </cell>
          <cell r="G263">
            <v>691557.33</v>
          </cell>
          <cell r="L263">
            <v>0.20269999999999999</v>
          </cell>
          <cell r="O263">
            <v>36849</v>
          </cell>
          <cell r="P263">
            <v>36879</v>
          </cell>
          <cell r="Q263">
            <v>24800</v>
          </cell>
          <cell r="R263">
            <v>13279</v>
          </cell>
          <cell r="S263">
            <v>11521</v>
          </cell>
          <cell r="T263">
            <v>13</v>
          </cell>
          <cell r="V263">
            <v>678278.33</v>
          </cell>
          <cell r="W263">
            <v>4896.7978832410954</v>
          </cell>
          <cell r="X263">
            <v>14.91</v>
          </cell>
          <cell r="Z263">
            <v>8589.2336139534236</v>
          </cell>
          <cell r="AB263">
            <v>14.6</v>
          </cell>
          <cell r="AD263">
            <v>0.14599999999999999</v>
          </cell>
          <cell r="AE263">
            <v>1.95E-2</v>
          </cell>
          <cell r="AF263">
            <v>4.0000000000000001E-3</v>
          </cell>
          <cell r="AG263">
            <v>0.1225</v>
          </cell>
        </row>
        <row r="264">
          <cell r="A264" t="str">
            <v>W00262</v>
          </cell>
          <cell r="B264">
            <v>255</v>
          </cell>
          <cell r="C264" t="str">
            <v>ANIL PATIL</v>
          </cell>
          <cell r="D264">
            <v>1</v>
          </cell>
          <cell r="E264">
            <v>36192</v>
          </cell>
          <cell r="F264">
            <v>1000000</v>
          </cell>
          <cell r="G264">
            <v>97550</v>
          </cell>
          <cell r="L264">
            <v>0.18870000000000001</v>
          </cell>
          <cell r="O264">
            <v>36846</v>
          </cell>
          <cell r="P264">
            <v>36876</v>
          </cell>
          <cell r="Q264">
            <v>49925</v>
          </cell>
          <cell r="R264">
            <v>48412</v>
          </cell>
          <cell r="S264">
            <v>1513</v>
          </cell>
          <cell r="T264">
            <v>16</v>
          </cell>
          <cell r="V264">
            <v>49138</v>
          </cell>
          <cell r="W264">
            <v>406.4587660273973</v>
          </cell>
          <cell r="X264">
            <v>14.91</v>
          </cell>
          <cell r="Z264">
            <v>622.24862958904112</v>
          </cell>
          <cell r="AA264">
            <v>11986.712602739726</v>
          </cell>
          <cell r="AB264">
            <v>14.6</v>
          </cell>
          <cell r="AD264">
            <v>0.14599999999999999</v>
          </cell>
          <cell r="AE264">
            <v>1.95E-2</v>
          </cell>
          <cell r="AF264">
            <v>4.0000000000000001E-3</v>
          </cell>
          <cell r="AG264">
            <v>0.1225</v>
          </cell>
        </row>
        <row r="265">
          <cell r="A265" t="str">
            <v>W00259</v>
          </cell>
          <cell r="B265">
            <v>256</v>
          </cell>
          <cell r="C265" t="str">
            <v>HEMANT THAKKAR</v>
          </cell>
          <cell r="D265">
            <v>1</v>
          </cell>
          <cell r="E265">
            <v>36192</v>
          </cell>
          <cell r="F265">
            <v>939705</v>
          </cell>
          <cell r="G265">
            <v>407227.64</v>
          </cell>
          <cell r="L265">
            <v>0.1812</v>
          </cell>
          <cell r="O265">
            <v>36860</v>
          </cell>
          <cell r="P265">
            <v>36890</v>
          </cell>
          <cell r="Q265">
            <v>34723</v>
          </cell>
          <cell r="R265">
            <v>28657</v>
          </cell>
          <cell r="S265">
            <v>6066</v>
          </cell>
          <cell r="T265">
            <v>2</v>
          </cell>
          <cell r="V265">
            <v>378570.64</v>
          </cell>
          <cell r="W265">
            <v>375.87397242739729</v>
          </cell>
          <cell r="X265">
            <v>14.91</v>
          </cell>
          <cell r="Z265">
            <v>4793.9489182027392</v>
          </cell>
          <cell r="AA265">
            <v>339.84065013698626</v>
          </cell>
          <cell r="AB265">
            <v>14.6</v>
          </cell>
          <cell r="AD265">
            <v>0.14599999999999999</v>
          </cell>
          <cell r="AE265">
            <v>1.95E-2</v>
          </cell>
          <cell r="AF265">
            <v>4.0000000000000001E-3</v>
          </cell>
          <cell r="AG265">
            <v>0.1225</v>
          </cell>
        </row>
        <row r="266">
          <cell r="A266" t="str">
            <v>W00255</v>
          </cell>
          <cell r="B266">
            <v>257</v>
          </cell>
          <cell r="C266" t="str">
            <v>KAMALA SHANMUGHAN</v>
          </cell>
          <cell r="D266">
            <v>1</v>
          </cell>
          <cell r="E266">
            <v>36192</v>
          </cell>
          <cell r="F266">
            <v>800000</v>
          </cell>
          <cell r="G266">
            <v>363866.47</v>
          </cell>
          <cell r="L266">
            <v>0.20019999999999999</v>
          </cell>
          <cell r="O266">
            <v>36838</v>
          </cell>
          <cell r="P266">
            <v>36868</v>
          </cell>
          <cell r="Q266">
            <v>29350</v>
          </cell>
          <cell r="R266">
            <v>23363</v>
          </cell>
          <cell r="S266">
            <v>5987</v>
          </cell>
          <cell r="T266">
            <v>24</v>
          </cell>
          <cell r="V266">
            <v>340503.47</v>
          </cell>
          <cell r="W266">
            <v>4482.3317059068486</v>
          </cell>
          <cell r="X266">
            <v>14.91</v>
          </cell>
          <cell r="Z266">
            <v>4311.8933936630137</v>
          </cell>
          <cell r="AA266">
            <v>2718.7970893150687</v>
          </cell>
          <cell r="AB266">
            <v>14.6</v>
          </cell>
          <cell r="AD266">
            <v>0.14599999999999999</v>
          </cell>
          <cell r="AE266">
            <v>1.95E-2</v>
          </cell>
          <cell r="AF266">
            <v>4.0000000000000001E-3</v>
          </cell>
          <cell r="AG266">
            <v>0.1225</v>
          </cell>
        </row>
        <row r="267">
          <cell r="A267" t="str">
            <v>W00260</v>
          </cell>
          <cell r="B267">
            <v>258</v>
          </cell>
          <cell r="C267" t="str">
            <v>S N KUCHAL</v>
          </cell>
          <cell r="D267">
            <v>1</v>
          </cell>
          <cell r="E267">
            <v>36192</v>
          </cell>
          <cell r="F267">
            <v>1145000</v>
          </cell>
          <cell r="G267">
            <v>0</v>
          </cell>
          <cell r="L267">
            <v>0.18870000000000001</v>
          </cell>
          <cell r="O267">
            <v>36242</v>
          </cell>
          <cell r="S267">
            <v>0</v>
          </cell>
          <cell r="T267">
            <v>650</v>
          </cell>
          <cell r="V267">
            <v>0</v>
          </cell>
          <cell r="W267">
            <v>0</v>
          </cell>
          <cell r="X267">
            <v>14.91</v>
          </cell>
          <cell r="Z267">
            <v>0</v>
          </cell>
          <cell r="AB267">
            <v>14.6</v>
          </cell>
          <cell r="AD267">
            <v>0.14599999999999999</v>
          </cell>
          <cell r="AE267">
            <v>1.95E-2</v>
          </cell>
          <cell r="AF267">
            <v>4.0000000000000001E-3</v>
          </cell>
          <cell r="AG267">
            <v>0.1225</v>
          </cell>
        </row>
        <row r="268">
          <cell r="A268" t="str">
            <v>W00261</v>
          </cell>
          <cell r="B268">
            <v>259</v>
          </cell>
          <cell r="C268" t="str">
            <v>INFERTILITY INSTITUTE</v>
          </cell>
          <cell r="D268">
            <v>2</v>
          </cell>
          <cell r="E268">
            <v>36192</v>
          </cell>
          <cell r="F268">
            <v>1325978</v>
          </cell>
          <cell r="G268">
            <v>999492.9</v>
          </cell>
          <cell r="L268">
            <v>0.2107</v>
          </cell>
          <cell r="O268">
            <v>36831</v>
          </cell>
          <cell r="P268">
            <v>36861</v>
          </cell>
          <cell r="Q268">
            <v>36255</v>
          </cell>
          <cell r="R268">
            <v>18946</v>
          </cell>
          <cell r="S268">
            <v>17309</v>
          </cell>
          <cell r="T268">
            <v>31</v>
          </cell>
          <cell r="V268">
            <v>980546.9</v>
          </cell>
          <cell r="W268">
            <v>17546.953936246573</v>
          </cell>
          <cell r="X268">
            <v>14.91</v>
          </cell>
          <cell r="Z268">
            <v>12416.947469835615</v>
          </cell>
          <cell r="AB268">
            <v>14.6</v>
          </cell>
          <cell r="AD268">
            <v>0.14599999999999999</v>
          </cell>
          <cell r="AE268">
            <v>1.95E-2</v>
          </cell>
          <cell r="AF268">
            <v>4.0000000000000001E-3</v>
          </cell>
          <cell r="AG268">
            <v>0.1225</v>
          </cell>
        </row>
        <row r="269">
          <cell r="A269" t="str">
            <v>W00257</v>
          </cell>
          <cell r="B269">
            <v>260</v>
          </cell>
          <cell r="C269" t="str">
            <v>MUKUND LAL MEMORIAL FOUNDATION</v>
          </cell>
          <cell r="D269">
            <v>1</v>
          </cell>
          <cell r="E269">
            <v>36192</v>
          </cell>
          <cell r="F269">
            <v>1331200</v>
          </cell>
          <cell r="G269">
            <v>-1.1300000000046566</v>
          </cell>
          <cell r="L269">
            <v>0.20280000000000001</v>
          </cell>
          <cell r="O269">
            <v>36790</v>
          </cell>
          <cell r="S269">
            <v>0</v>
          </cell>
          <cell r="T269">
            <v>102</v>
          </cell>
          <cell r="V269">
            <v>-1.1300000000046566</v>
          </cell>
          <cell r="W269">
            <v>-6.4040350685195424E-2</v>
          </cell>
          <cell r="X269">
            <v>14.91</v>
          </cell>
          <cell r="Z269">
            <v>-1.4309515068552117E-2</v>
          </cell>
          <cell r="AB269">
            <v>14.6</v>
          </cell>
          <cell r="AD269">
            <v>0.14599999999999999</v>
          </cell>
          <cell r="AE269">
            <v>1.95E-2</v>
          </cell>
          <cell r="AF269">
            <v>4.0000000000000001E-3</v>
          </cell>
          <cell r="AG269">
            <v>0.1225</v>
          </cell>
        </row>
        <row r="270">
          <cell r="A270" t="str">
            <v>W00256</v>
          </cell>
          <cell r="B270">
            <v>261</v>
          </cell>
          <cell r="C270" t="str">
            <v>UNITED SCAN CENTRE</v>
          </cell>
          <cell r="D270">
            <v>1</v>
          </cell>
          <cell r="E270">
            <v>36192</v>
          </cell>
          <cell r="F270">
            <v>2120000</v>
          </cell>
          <cell r="G270">
            <v>1555688.53</v>
          </cell>
          <cell r="L270">
            <v>0.1928</v>
          </cell>
          <cell r="O270">
            <v>36851</v>
          </cell>
          <cell r="P270">
            <v>36881</v>
          </cell>
          <cell r="Q270">
            <v>55000</v>
          </cell>
          <cell r="R270">
            <v>30349</v>
          </cell>
          <cell r="S270">
            <v>24651</v>
          </cell>
          <cell r="T270">
            <v>11</v>
          </cell>
          <cell r="V270">
            <v>1525339.53</v>
          </cell>
          <cell r="W270">
            <v>8862.8495211616446</v>
          </cell>
          <cell r="X270">
            <v>14.91</v>
          </cell>
          <cell r="Z270">
            <v>19315.813264693155</v>
          </cell>
          <cell r="AB270">
            <v>14.6</v>
          </cell>
          <cell r="AD270">
            <v>0.14599999999999999</v>
          </cell>
          <cell r="AE270">
            <v>1.95E-2</v>
          </cell>
          <cell r="AF270">
            <v>4.0000000000000001E-3</v>
          </cell>
          <cell r="AG270">
            <v>0.1225</v>
          </cell>
        </row>
        <row r="271">
          <cell r="A271" t="str">
            <v>W00263</v>
          </cell>
          <cell r="B271">
            <v>262</v>
          </cell>
          <cell r="C271" t="str">
            <v>B C CHOUBEY</v>
          </cell>
          <cell r="D271">
            <v>1</v>
          </cell>
          <cell r="E271">
            <v>36207</v>
          </cell>
          <cell r="F271">
            <v>335000</v>
          </cell>
          <cell r="G271">
            <v>150234.57</v>
          </cell>
          <cell r="L271">
            <v>0.1767</v>
          </cell>
          <cell r="O271">
            <v>36859</v>
          </cell>
          <cell r="P271">
            <v>36889</v>
          </cell>
          <cell r="Q271">
            <v>11950</v>
          </cell>
          <cell r="R271">
            <v>9768</v>
          </cell>
          <cell r="S271">
            <v>2182</v>
          </cell>
          <cell r="T271">
            <v>3</v>
          </cell>
          <cell r="V271">
            <v>140466.57</v>
          </cell>
          <cell r="W271">
            <v>204.00364043013698</v>
          </cell>
          <cell r="X271">
            <v>14.91</v>
          </cell>
          <cell r="Z271">
            <v>1778.7685841013699</v>
          </cell>
          <cell r="AA271">
            <v>3332.5464986301372</v>
          </cell>
          <cell r="AB271">
            <v>14.6</v>
          </cell>
          <cell r="AD271">
            <v>0.14599999999999999</v>
          </cell>
          <cell r="AE271">
            <v>1.95E-2</v>
          </cell>
          <cell r="AF271">
            <v>4.0000000000000001E-3</v>
          </cell>
          <cell r="AG271">
            <v>0.1225</v>
          </cell>
        </row>
        <row r="272">
          <cell r="A272" t="str">
            <v>W00264</v>
          </cell>
          <cell r="B272">
            <v>263</v>
          </cell>
          <cell r="C272" t="str">
            <v>RAI MEMORIAL MEDICAL CENTRE</v>
          </cell>
          <cell r="D272">
            <v>1</v>
          </cell>
          <cell r="E272">
            <v>36207</v>
          </cell>
          <cell r="F272">
            <v>1125000</v>
          </cell>
          <cell r="G272">
            <v>817805.1</v>
          </cell>
          <cell r="L272">
            <v>0.18529999999999999</v>
          </cell>
          <cell r="O272">
            <v>36857</v>
          </cell>
          <cell r="P272">
            <v>36887</v>
          </cell>
          <cell r="Q272">
            <v>28600</v>
          </cell>
          <cell r="R272">
            <v>16148</v>
          </cell>
          <cell r="S272">
            <v>12452</v>
          </cell>
          <cell r="T272">
            <v>5</v>
          </cell>
          <cell r="V272">
            <v>801657.1</v>
          </cell>
          <cell r="W272">
            <v>2034.8912415068489</v>
          </cell>
          <cell r="X272">
            <v>14.91</v>
          </cell>
          <cell r="Z272">
            <v>10151.614470986302</v>
          </cell>
          <cell r="AA272">
            <v>289.90454794520548</v>
          </cell>
          <cell r="AB272">
            <v>14.6</v>
          </cell>
          <cell r="AD272">
            <v>0.14599999999999999</v>
          </cell>
          <cell r="AE272">
            <v>1.95E-2</v>
          </cell>
          <cell r="AF272">
            <v>4.0000000000000001E-3</v>
          </cell>
          <cell r="AG272">
            <v>0.1225</v>
          </cell>
        </row>
        <row r="273">
          <cell r="A273" t="str">
            <v>W00266</v>
          </cell>
          <cell r="B273">
            <v>264</v>
          </cell>
          <cell r="C273" t="str">
            <v>GURMAIL SINGH</v>
          </cell>
          <cell r="D273">
            <v>1</v>
          </cell>
          <cell r="E273">
            <v>36208</v>
          </cell>
          <cell r="F273">
            <v>423750</v>
          </cell>
          <cell r="G273">
            <v>192135</v>
          </cell>
          <cell r="L273">
            <v>0.20039999999999999</v>
          </cell>
          <cell r="O273">
            <v>36848</v>
          </cell>
          <cell r="P273">
            <v>36878</v>
          </cell>
          <cell r="Q273">
            <v>15500</v>
          </cell>
          <cell r="R273">
            <v>12335</v>
          </cell>
          <cell r="S273">
            <v>3165</v>
          </cell>
          <cell r="T273">
            <v>14</v>
          </cell>
          <cell r="V273">
            <v>179800</v>
          </cell>
          <cell r="W273">
            <v>1382.0462465753426</v>
          </cell>
          <cell r="X273">
            <v>14.91</v>
          </cell>
          <cell r="Z273">
            <v>2276.8591232876711</v>
          </cell>
          <cell r="AA273">
            <v>47090.381076712336</v>
          </cell>
          <cell r="AB273">
            <v>14.6</v>
          </cell>
          <cell r="AD273">
            <v>0.14599999999999999</v>
          </cell>
          <cell r="AE273">
            <v>1.95E-2</v>
          </cell>
          <cell r="AF273">
            <v>4.0000000000000001E-3</v>
          </cell>
          <cell r="AG273">
            <v>0.1225</v>
          </cell>
        </row>
        <row r="274">
          <cell r="A274" t="str">
            <v>W00265</v>
          </cell>
          <cell r="B274">
            <v>265</v>
          </cell>
          <cell r="C274" t="str">
            <v>LITTLE FLOWER RELIGIOUS &amp; CHARITABLE</v>
          </cell>
          <cell r="D274">
            <v>1</v>
          </cell>
          <cell r="E274">
            <v>36208</v>
          </cell>
          <cell r="F274">
            <v>449685</v>
          </cell>
          <cell r="G274">
            <v>277361</v>
          </cell>
          <cell r="L274">
            <v>0.24160000000000001</v>
          </cell>
          <cell r="O274">
            <v>36789</v>
          </cell>
          <cell r="P274">
            <v>36880</v>
          </cell>
          <cell r="Q274">
            <v>44720</v>
          </cell>
          <cell r="R274">
            <v>28010</v>
          </cell>
          <cell r="S274">
            <v>16710</v>
          </cell>
          <cell r="T274">
            <v>12</v>
          </cell>
          <cell r="V274">
            <v>249351</v>
          </cell>
          <cell r="W274">
            <v>1980.5984087671234</v>
          </cell>
          <cell r="X274">
            <v>14.91</v>
          </cell>
          <cell r="Z274">
            <v>3157.603444109589</v>
          </cell>
          <cell r="AB274">
            <v>14.6</v>
          </cell>
          <cell r="AD274">
            <v>0.14599999999999999</v>
          </cell>
          <cell r="AE274">
            <v>1.95E-2</v>
          </cell>
          <cell r="AF274">
            <v>4.0000000000000001E-3</v>
          </cell>
          <cell r="AG274">
            <v>0.1225</v>
          </cell>
        </row>
        <row r="275">
          <cell r="A275" t="str">
            <v>W00268</v>
          </cell>
          <cell r="B275">
            <v>266</v>
          </cell>
          <cell r="C275" t="str">
            <v>GANESH SCAN CENTRE</v>
          </cell>
          <cell r="D275">
            <v>1</v>
          </cell>
          <cell r="E275">
            <v>36231</v>
          </cell>
          <cell r="F275">
            <v>900000</v>
          </cell>
          <cell r="G275">
            <v>682317</v>
          </cell>
          <cell r="L275">
            <v>0.18279999999999999</v>
          </cell>
          <cell r="O275">
            <v>36832</v>
          </cell>
          <cell r="P275">
            <v>36862</v>
          </cell>
          <cell r="Q275">
            <v>22900</v>
          </cell>
          <cell r="R275">
            <v>12646</v>
          </cell>
          <cell r="S275">
            <v>10254</v>
          </cell>
          <cell r="T275">
            <v>30</v>
          </cell>
          <cell r="V275">
            <v>669671</v>
          </cell>
          <cell r="W275">
            <v>10061.577435616438</v>
          </cell>
          <cell r="X275">
            <v>14.91</v>
          </cell>
          <cell r="Z275">
            <v>8480.2365180821926</v>
          </cell>
          <cell r="AB275">
            <v>14.6</v>
          </cell>
          <cell r="AD275">
            <v>0.14599999999999999</v>
          </cell>
          <cell r="AE275">
            <v>1.95E-2</v>
          </cell>
          <cell r="AF275">
            <v>4.0000000000000001E-3</v>
          </cell>
          <cell r="AG275">
            <v>0.1225</v>
          </cell>
        </row>
        <row r="276">
          <cell r="A276" t="str">
            <v>W00270</v>
          </cell>
          <cell r="B276">
            <v>267</v>
          </cell>
          <cell r="C276" t="str">
            <v>M K SARAOGI</v>
          </cell>
          <cell r="D276">
            <v>1</v>
          </cell>
          <cell r="E276">
            <v>36253</v>
          </cell>
          <cell r="F276">
            <v>916250</v>
          </cell>
          <cell r="G276">
            <v>471587</v>
          </cell>
          <cell r="L276">
            <v>0.19950000000000001</v>
          </cell>
          <cell r="O276">
            <v>36850</v>
          </cell>
          <cell r="P276">
            <v>36880</v>
          </cell>
          <cell r="Q276">
            <v>33800</v>
          </cell>
          <cell r="R276">
            <v>26069</v>
          </cell>
          <cell r="S276">
            <v>7731</v>
          </cell>
          <cell r="T276">
            <v>12</v>
          </cell>
          <cell r="V276">
            <v>445518</v>
          </cell>
          <cell r="W276">
            <v>2922.1098410958903</v>
          </cell>
          <cell r="X276">
            <v>14.91</v>
          </cell>
          <cell r="Z276">
            <v>5641.7225967123286</v>
          </cell>
          <cell r="AA276">
            <v>7305.3500493150677</v>
          </cell>
          <cell r="AB276">
            <v>14.35</v>
          </cell>
          <cell r="AD276">
            <v>0.14349999999999999</v>
          </cell>
          <cell r="AE276">
            <v>1.95E-2</v>
          </cell>
          <cell r="AF276">
            <v>4.0000000000000001E-3</v>
          </cell>
          <cell r="AG276">
            <v>0.11999999999999998</v>
          </cell>
        </row>
        <row r="277">
          <cell r="A277" t="str">
            <v>W00269</v>
          </cell>
          <cell r="B277">
            <v>268</v>
          </cell>
          <cell r="C277" t="str">
            <v>SUNIL BHATIA</v>
          </cell>
          <cell r="D277">
            <v>1</v>
          </cell>
          <cell r="E277">
            <v>36253</v>
          </cell>
          <cell r="F277">
            <v>851000</v>
          </cell>
          <cell r="G277">
            <v>436763</v>
          </cell>
          <cell r="L277">
            <v>0.19450000000000001</v>
          </cell>
          <cell r="O277">
            <v>36851</v>
          </cell>
          <cell r="P277">
            <v>36881</v>
          </cell>
          <cell r="Q277">
            <v>31200</v>
          </cell>
          <cell r="R277">
            <v>24219</v>
          </cell>
          <cell r="S277">
            <v>6981</v>
          </cell>
          <cell r="T277">
            <v>11</v>
          </cell>
          <cell r="V277">
            <v>412544</v>
          </cell>
          <cell r="W277">
            <v>2418.1859945205479</v>
          </cell>
          <cell r="X277">
            <v>14.91</v>
          </cell>
          <cell r="Z277">
            <v>5224.1633490410959</v>
          </cell>
          <cell r="AB277">
            <v>14.35</v>
          </cell>
          <cell r="AD277">
            <v>0.14349999999999999</v>
          </cell>
          <cell r="AE277">
            <v>1.95E-2</v>
          </cell>
          <cell r="AF277">
            <v>4.0000000000000001E-3</v>
          </cell>
          <cell r="AG277">
            <v>0.11999999999999998</v>
          </cell>
        </row>
        <row r="278">
          <cell r="A278" t="str">
            <v>W10001</v>
          </cell>
          <cell r="B278">
            <v>269</v>
          </cell>
          <cell r="C278" t="str">
            <v>R N BAGGA ( Forcl in Oct-00 )</v>
          </cell>
          <cell r="D278">
            <v>1</v>
          </cell>
          <cell r="E278">
            <v>36283</v>
          </cell>
          <cell r="F278">
            <v>249000</v>
          </cell>
          <cell r="G278">
            <v>0</v>
          </cell>
          <cell r="L278">
            <v>0.17929999999999999</v>
          </cell>
          <cell r="O278">
            <v>36772</v>
          </cell>
          <cell r="S278">
            <v>0</v>
          </cell>
          <cell r="T278">
            <v>120</v>
          </cell>
          <cell r="V278">
            <v>0</v>
          </cell>
          <cell r="W278">
            <v>0</v>
          </cell>
          <cell r="X278">
            <v>14.91</v>
          </cell>
          <cell r="Z278">
            <v>0</v>
          </cell>
          <cell r="AA278">
            <v>11242.338147945205</v>
          </cell>
          <cell r="AB278">
            <v>14.35</v>
          </cell>
          <cell r="AD278">
            <v>0.14349999999999999</v>
          </cell>
          <cell r="AE278">
            <v>1.95E-2</v>
          </cell>
          <cell r="AF278">
            <v>4.0000000000000001E-3</v>
          </cell>
          <cell r="AG278">
            <v>0.11999999999999998</v>
          </cell>
        </row>
        <row r="279">
          <cell r="A279" t="str">
            <v>W10002</v>
          </cell>
          <cell r="B279">
            <v>270</v>
          </cell>
          <cell r="C279" t="str">
            <v>HARBANS K SINGH</v>
          </cell>
          <cell r="D279">
            <v>1</v>
          </cell>
          <cell r="E279">
            <v>36293</v>
          </cell>
          <cell r="F279">
            <v>392000</v>
          </cell>
          <cell r="G279">
            <v>213785</v>
          </cell>
          <cell r="L279">
            <v>0.21560000000000001</v>
          </cell>
          <cell r="O279">
            <v>36851</v>
          </cell>
          <cell r="P279">
            <v>36881</v>
          </cell>
          <cell r="Q279">
            <v>14700</v>
          </cell>
          <cell r="R279">
            <v>10912</v>
          </cell>
          <cell r="S279">
            <v>3788</v>
          </cell>
          <cell r="T279">
            <v>11</v>
          </cell>
          <cell r="V279">
            <v>202873</v>
          </cell>
          <cell r="W279">
            <v>1318.1742652054795</v>
          </cell>
          <cell r="X279">
            <v>14.91</v>
          </cell>
          <cell r="Z279">
            <v>2569.0391597260273</v>
          </cell>
          <cell r="AA279">
            <v>13767.51879890411</v>
          </cell>
          <cell r="AB279">
            <v>14.35</v>
          </cell>
          <cell r="AD279">
            <v>0.14349999999999999</v>
          </cell>
          <cell r="AE279">
            <v>1.95E-2</v>
          </cell>
          <cell r="AF279">
            <v>4.0000000000000001E-3</v>
          </cell>
          <cell r="AG279">
            <v>0.11999999999999998</v>
          </cell>
        </row>
        <row r="280">
          <cell r="A280" t="str">
            <v>W10003</v>
          </cell>
          <cell r="B280">
            <v>271</v>
          </cell>
          <cell r="C280" t="str">
            <v>R K GUPTA</v>
          </cell>
          <cell r="D280">
            <v>1</v>
          </cell>
          <cell r="E280">
            <v>36293</v>
          </cell>
          <cell r="F280">
            <v>425000</v>
          </cell>
          <cell r="G280">
            <v>226273</v>
          </cell>
          <cell r="L280">
            <v>0.1787</v>
          </cell>
          <cell r="O280">
            <v>36848</v>
          </cell>
          <cell r="P280">
            <v>36878</v>
          </cell>
          <cell r="Q280">
            <v>15160</v>
          </cell>
          <cell r="R280">
            <v>11837</v>
          </cell>
          <cell r="S280">
            <v>3323</v>
          </cell>
          <cell r="T280">
            <v>14</v>
          </cell>
          <cell r="V280">
            <v>214436</v>
          </cell>
          <cell r="W280">
            <v>1469.797218630137</v>
          </cell>
          <cell r="X280">
            <v>14.91</v>
          </cell>
          <cell r="Z280">
            <v>2715.4647550684931</v>
          </cell>
          <cell r="AA280">
            <v>8150.8703342465742</v>
          </cell>
          <cell r="AB280">
            <v>14.35</v>
          </cell>
          <cell r="AD280">
            <v>0.14349999999999999</v>
          </cell>
          <cell r="AE280">
            <v>1.95E-2</v>
          </cell>
          <cell r="AF280">
            <v>4.0000000000000001E-3</v>
          </cell>
          <cell r="AG280">
            <v>0.11999999999999998</v>
          </cell>
        </row>
        <row r="281">
          <cell r="A281" t="str">
            <v>W10005</v>
          </cell>
          <cell r="B281">
            <v>272</v>
          </cell>
          <cell r="C281" t="str">
            <v>KISHORE DIAGNOSTICS</v>
          </cell>
          <cell r="D281">
            <v>2</v>
          </cell>
          <cell r="E281">
            <v>36300</v>
          </cell>
          <cell r="F281">
            <v>360000</v>
          </cell>
          <cell r="G281">
            <v>197216</v>
          </cell>
          <cell r="L281">
            <v>0.17730000000000001</v>
          </cell>
          <cell r="O281">
            <v>36841</v>
          </cell>
          <cell r="P281">
            <v>36871</v>
          </cell>
          <cell r="Q281">
            <v>13200</v>
          </cell>
          <cell r="R281">
            <v>10327</v>
          </cell>
          <cell r="S281">
            <v>2873</v>
          </cell>
          <cell r="T281">
            <v>21</v>
          </cell>
          <cell r="V281">
            <v>186889</v>
          </cell>
          <cell r="W281">
            <v>1906.4214073972605</v>
          </cell>
          <cell r="X281">
            <v>14.91</v>
          </cell>
          <cell r="Z281">
            <v>2366.6291695890413</v>
          </cell>
          <cell r="AB281">
            <v>14.35</v>
          </cell>
          <cell r="AD281">
            <v>0.14349999999999999</v>
          </cell>
          <cell r="AE281">
            <v>1.95E-2</v>
          </cell>
          <cell r="AF281">
            <v>4.0000000000000001E-3</v>
          </cell>
          <cell r="AG281">
            <v>0.11999999999999998</v>
          </cell>
        </row>
        <row r="282">
          <cell r="A282" t="str">
            <v>W10006</v>
          </cell>
          <cell r="B282">
            <v>273</v>
          </cell>
          <cell r="C282" t="str">
            <v>SARAL ADVANCED DIAGNOSTICS</v>
          </cell>
          <cell r="D282">
            <v>1</v>
          </cell>
          <cell r="E282">
            <v>36300</v>
          </cell>
          <cell r="F282">
            <v>23000000</v>
          </cell>
          <cell r="G282">
            <v>20111539</v>
          </cell>
          <cell r="L282">
            <v>0.15959999999999999</v>
          </cell>
          <cell r="O282">
            <v>36844</v>
          </cell>
          <cell r="P282">
            <v>36874</v>
          </cell>
          <cell r="Q282">
            <v>587200</v>
          </cell>
          <cell r="R282">
            <v>323353</v>
          </cell>
          <cell r="S282">
            <v>263847</v>
          </cell>
          <cell r="T282">
            <v>18</v>
          </cell>
          <cell r="V282">
            <v>19788186</v>
          </cell>
          <cell r="W282">
            <v>155746.57737205477</v>
          </cell>
          <cell r="X282">
            <v>14.91</v>
          </cell>
          <cell r="Z282">
            <v>250583.49180986302</v>
          </cell>
          <cell r="AB282">
            <v>14.35</v>
          </cell>
          <cell r="AD282">
            <v>0.14349999999999999</v>
          </cell>
          <cell r="AE282">
            <v>1.95E-2</v>
          </cell>
          <cell r="AF282">
            <v>4.0000000000000001E-3</v>
          </cell>
          <cell r="AG282">
            <v>0.11999999999999998</v>
          </cell>
        </row>
        <row r="283">
          <cell r="A283" t="str">
            <v>W10007</v>
          </cell>
          <cell r="B283">
            <v>274</v>
          </cell>
          <cell r="C283" t="str">
            <v>SHEEL NURSING HOME(foreclosed in july 99)</v>
          </cell>
          <cell r="D283">
            <v>1</v>
          </cell>
          <cell r="E283">
            <v>36300</v>
          </cell>
          <cell r="F283">
            <v>8962500</v>
          </cell>
          <cell r="G283">
            <v>0</v>
          </cell>
          <cell r="L283">
            <v>0.19059999999999999</v>
          </cell>
          <cell r="O283">
            <v>36327</v>
          </cell>
          <cell r="S283">
            <v>0</v>
          </cell>
          <cell r="T283">
            <v>565</v>
          </cell>
          <cell r="V283">
            <v>0</v>
          </cell>
          <cell r="W283">
            <v>0</v>
          </cell>
          <cell r="X283">
            <v>0</v>
          </cell>
          <cell r="Z283">
            <v>0</v>
          </cell>
          <cell r="AB283">
            <v>14.35</v>
          </cell>
          <cell r="AD283">
            <v>0.14349999999999999</v>
          </cell>
          <cell r="AE283">
            <v>1.95E-2</v>
          </cell>
          <cell r="AF283">
            <v>4.0000000000000001E-3</v>
          </cell>
          <cell r="AG283">
            <v>0.11999999999999998</v>
          </cell>
        </row>
        <row r="284">
          <cell r="A284" t="str">
            <v>W10004</v>
          </cell>
          <cell r="B284">
            <v>275</v>
          </cell>
          <cell r="C284" t="str">
            <v>ULTRASONX</v>
          </cell>
          <cell r="D284">
            <v>2</v>
          </cell>
          <cell r="E284">
            <v>36300</v>
          </cell>
          <cell r="F284">
            <v>1580000</v>
          </cell>
          <cell r="G284">
            <v>1237725</v>
          </cell>
          <cell r="L284">
            <v>0.18290000000000001</v>
          </cell>
          <cell r="O284">
            <v>36835</v>
          </cell>
          <cell r="P284">
            <v>36865</v>
          </cell>
          <cell r="Q284">
            <v>40110</v>
          </cell>
          <cell r="R284">
            <v>21499</v>
          </cell>
          <cell r="S284">
            <v>18611</v>
          </cell>
          <cell r="T284">
            <v>27</v>
          </cell>
          <cell r="V284">
            <v>1216226</v>
          </cell>
          <cell r="W284">
            <v>16455.037961095892</v>
          </cell>
          <cell r="X284">
            <v>14.91</v>
          </cell>
          <cell r="Z284">
            <v>15401.419711232877</v>
          </cell>
          <cell r="AB284">
            <v>14.35</v>
          </cell>
          <cell r="AD284">
            <v>0.14349999999999999</v>
          </cell>
          <cell r="AE284">
            <v>1.95E-2</v>
          </cell>
          <cell r="AF284">
            <v>4.0000000000000001E-3</v>
          </cell>
          <cell r="AG284">
            <v>0.11999999999999998</v>
          </cell>
        </row>
        <row r="285">
          <cell r="A285" t="str">
            <v>W10008</v>
          </cell>
          <cell r="B285">
            <v>276</v>
          </cell>
          <cell r="C285" t="str">
            <v>CHRISTRAJ HOSPITAL (JUNE 99)</v>
          </cell>
          <cell r="D285">
            <v>1</v>
          </cell>
          <cell r="E285">
            <v>36305</v>
          </cell>
          <cell r="F285">
            <v>341539</v>
          </cell>
          <cell r="G285">
            <v>168501</v>
          </cell>
          <cell r="L285">
            <v>0.17630000000000001</v>
          </cell>
          <cell r="O285">
            <v>36845</v>
          </cell>
          <cell r="P285">
            <v>36875</v>
          </cell>
          <cell r="Q285">
            <v>13400</v>
          </cell>
          <cell r="R285">
            <v>10959</v>
          </cell>
          <cell r="S285">
            <v>2441</v>
          </cell>
          <cell r="T285">
            <v>17</v>
          </cell>
          <cell r="V285">
            <v>157542</v>
          </cell>
          <cell r="W285">
            <v>1293.6140498630139</v>
          </cell>
          <cell r="X285">
            <v>14.66</v>
          </cell>
          <cell r="Z285">
            <v>1961.548967671233</v>
          </cell>
          <cell r="AB285">
            <v>14.35</v>
          </cell>
          <cell r="AD285">
            <v>0.14349999999999999</v>
          </cell>
          <cell r="AE285">
            <v>1.95E-2</v>
          </cell>
          <cell r="AF285">
            <v>4.0000000000000001E-3</v>
          </cell>
          <cell r="AG285">
            <v>0.11999999999999998</v>
          </cell>
        </row>
        <row r="286">
          <cell r="A286" t="str">
            <v>W10009</v>
          </cell>
          <cell r="B286">
            <v>277</v>
          </cell>
          <cell r="C286" t="str">
            <v>THANKAM PANOSE (JUNE 99)</v>
          </cell>
          <cell r="D286">
            <v>1</v>
          </cell>
          <cell r="E286">
            <v>36305</v>
          </cell>
          <cell r="F286">
            <v>316743</v>
          </cell>
          <cell r="G286">
            <v>153676</v>
          </cell>
          <cell r="L286">
            <v>0.20080000000000001</v>
          </cell>
          <cell r="O286">
            <v>36859</v>
          </cell>
          <cell r="P286">
            <v>36889</v>
          </cell>
          <cell r="Q286">
            <v>12400</v>
          </cell>
          <cell r="R286">
            <v>9863</v>
          </cell>
          <cell r="S286">
            <v>2537</v>
          </cell>
          <cell r="T286">
            <v>3</v>
          </cell>
          <cell r="V286">
            <v>143813</v>
          </cell>
          <cell r="W286">
            <v>237.35055123287671</v>
          </cell>
          <cell r="X286">
            <v>14.66</v>
          </cell>
          <cell r="Z286">
            <v>1790.6097528767125</v>
          </cell>
          <cell r="AB286">
            <v>14.35</v>
          </cell>
          <cell r="AD286">
            <v>0.14349999999999999</v>
          </cell>
          <cell r="AE286">
            <v>1.95E-2</v>
          </cell>
          <cell r="AF286">
            <v>4.0000000000000001E-3</v>
          </cell>
          <cell r="AG286">
            <v>0.11999999999999998</v>
          </cell>
        </row>
        <row r="287">
          <cell r="A287" t="str">
            <v>W10011</v>
          </cell>
          <cell r="B287">
            <v>278</v>
          </cell>
          <cell r="C287" t="str">
            <v>SHUBHAM DIAGNOSTICS CENTRE P LTD</v>
          </cell>
          <cell r="D287">
            <v>1</v>
          </cell>
          <cell r="E287">
            <v>36314</v>
          </cell>
          <cell r="F287">
            <v>1551250</v>
          </cell>
          <cell r="G287">
            <v>1208844</v>
          </cell>
          <cell r="L287">
            <v>0.18659999999999999</v>
          </cell>
          <cell r="O287">
            <v>36835</v>
          </cell>
          <cell r="P287">
            <v>36865</v>
          </cell>
          <cell r="Q287">
            <v>39400</v>
          </cell>
          <cell r="R287">
            <v>20861</v>
          </cell>
          <cell r="S287">
            <v>18539</v>
          </cell>
          <cell r="T287">
            <v>27</v>
          </cell>
          <cell r="V287">
            <v>1187983</v>
          </cell>
          <cell r="W287">
            <v>16398.071097534244</v>
          </cell>
          <cell r="X287">
            <v>14.66</v>
          </cell>
          <cell r="Z287">
            <v>14791.527511780823</v>
          </cell>
          <cell r="AB287">
            <v>14.35</v>
          </cell>
          <cell r="AD287">
            <v>0.14349999999999999</v>
          </cell>
          <cell r="AE287">
            <v>1.95E-2</v>
          </cell>
          <cell r="AF287">
            <v>4.0000000000000001E-3</v>
          </cell>
          <cell r="AG287">
            <v>0.11999999999999998</v>
          </cell>
        </row>
        <row r="288">
          <cell r="A288" t="str">
            <v>W10010</v>
          </cell>
          <cell r="B288">
            <v>279</v>
          </cell>
          <cell r="C288" t="str">
            <v>SRINIVASA ULTRA SOUND SCANNING CENTRE</v>
          </cell>
          <cell r="D288">
            <v>1</v>
          </cell>
          <cell r="E288">
            <v>36314</v>
          </cell>
          <cell r="F288">
            <v>885150</v>
          </cell>
          <cell r="G288">
            <v>0</v>
          </cell>
          <cell r="L288">
            <v>0.19209999999999999</v>
          </cell>
          <cell r="O288">
            <v>36743</v>
          </cell>
          <cell r="S288">
            <v>0</v>
          </cell>
          <cell r="T288">
            <v>149</v>
          </cell>
          <cell r="V288">
            <v>0</v>
          </cell>
          <cell r="W288">
            <v>0</v>
          </cell>
          <cell r="X288">
            <v>14.66</v>
          </cell>
          <cell r="Z288">
            <v>0</v>
          </cell>
          <cell r="AB288">
            <v>14.35</v>
          </cell>
          <cell r="AD288">
            <v>0.14349999999999999</v>
          </cell>
          <cell r="AE288">
            <v>1.95E-2</v>
          </cell>
          <cell r="AF288">
            <v>4.0000000000000001E-3</v>
          </cell>
          <cell r="AG288">
            <v>0.11999999999999998</v>
          </cell>
        </row>
        <row r="289">
          <cell r="A289" t="str">
            <v>W10012</v>
          </cell>
          <cell r="B289">
            <v>280</v>
          </cell>
          <cell r="C289" t="str">
            <v>Y K DIAGNOSTICS</v>
          </cell>
          <cell r="D289">
            <v>1</v>
          </cell>
          <cell r="E289">
            <v>36314</v>
          </cell>
          <cell r="F289">
            <v>5888100</v>
          </cell>
          <cell r="G289">
            <v>5155730</v>
          </cell>
          <cell r="L289">
            <v>0.18640000000000001</v>
          </cell>
          <cell r="O289">
            <v>36856</v>
          </cell>
          <cell r="P289">
            <v>36886</v>
          </cell>
          <cell r="Q289">
            <v>168000</v>
          </cell>
          <cell r="R289">
            <v>88998</v>
          </cell>
          <cell r="S289">
            <v>79002</v>
          </cell>
          <cell r="T289">
            <v>6</v>
          </cell>
          <cell r="V289">
            <v>5066732</v>
          </cell>
          <cell r="W289">
            <v>15525.022106301369</v>
          </cell>
          <cell r="X289">
            <v>14.66</v>
          </cell>
          <cell r="Z289">
            <v>63085.671910136989</v>
          </cell>
          <cell r="AB289">
            <v>14.35</v>
          </cell>
          <cell r="AD289">
            <v>0.14349999999999999</v>
          </cell>
          <cell r="AE289">
            <v>1.95E-2</v>
          </cell>
          <cell r="AF289">
            <v>4.0000000000000001E-3</v>
          </cell>
          <cell r="AG289">
            <v>0.11999999999999998</v>
          </cell>
        </row>
        <row r="290">
          <cell r="A290" t="str">
            <v>W10013</v>
          </cell>
          <cell r="B290">
            <v>281</v>
          </cell>
          <cell r="C290" t="str">
            <v>BBS Mediscanners Pvt Ltd</v>
          </cell>
          <cell r="D290">
            <v>1</v>
          </cell>
          <cell r="E290">
            <v>36326</v>
          </cell>
          <cell r="F290">
            <v>1267500</v>
          </cell>
          <cell r="G290">
            <v>990615</v>
          </cell>
          <cell r="L290">
            <v>0.2102</v>
          </cell>
          <cell r="O290">
            <v>36835</v>
          </cell>
          <cell r="S290">
            <v>0</v>
          </cell>
          <cell r="T290">
            <v>57</v>
          </cell>
          <cell r="V290">
            <v>990615</v>
          </cell>
          <cell r="W290">
            <v>32517.683728767119</v>
          </cell>
          <cell r="X290">
            <v>14.66</v>
          </cell>
          <cell r="Z290">
            <v>12334.106654794521</v>
          </cell>
          <cell r="AB290">
            <v>14.35</v>
          </cell>
          <cell r="AD290">
            <v>0.14349999999999999</v>
          </cell>
          <cell r="AE290">
            <v>1.95E-2</v>
          </cell>
          <cell r="AF290">
            <v>4.0000000000000001E-3</v>
          </cell>
          <cell r="AG290">
            <v>0.11999999999999998</v>
          </cell>
        </row>
        <row r="291">
          <cell r="A291" t="str">
            <v>W10015</v>
          </cell>
          <cell r="B291">
            <v>282</v>
          </cell>
          <cell r="C291" t="str">
            <v>Duljeet Yadav</v>
          </cell>
          <cell r="D291">
            <v>1</v>
          </cell>
          <cell r="E291">
            <v>36326</v>
          </cell>
          <cell r="F291">
            <v>348000</v>
          </cell>
          <cell r="G291">
            <v>206867</v>
          </cell>
          <cell r="L291">
            <v>0.19719999999999999</v>
          </cell>
          <cell r="O291">
            <v>36834</v>
          </cell>
          <cell r="P291">
            <v>36864</v>
          </cell>
          <cell r="Q291">
            <v>12760</v>
          </cell>
          <cell r="R291">
            <v>9407</v>
          </cell>
          <cell r="S291">
            <v>3353</v>
          </cell>
          <cell r="T291">
            <v>28</v>
          </cell>
          <cell r="V291">
            <v>197460</v>
          </cell>
          <cell r="W291">
            <v>2987.1099616438355</v>
          </cell>
          <cell r="X291">
            <v>14.66</v>
          </cell>
          <cell r="Z291">
            <v>2458.5663452054796</v>
          </cell>
          <cell r="AA291">
            <v>27008.36597589041</v>
          </cell>
          <cell r="AB291">
            <v>14.35</v>
          </cell>
          <cell r="AD291">
            <v>0.14349999999999999</v>
          </cell>
          <cell r="AE291">
            <v>1.95E-2</v>
          </cell>
          <cell r="AF291">
            <v>4.0000000000000001E-3</v>
          </cell>
          <cell r="AG291">
            <v>0.11999999999999998</v>
          </cell>
        </row>
        <row r="292">
          <cell r="A292" t="str">
            <v>W10016</v>
          </cell>
          <cell r="B292">
            <v>283</v>
          </cell>
          <cell r="C292" t="str">
            <v>Mrs Neena Kwatra</v>
          </cell>
          <cell r="D292">
            <v>1</v>
          </cell>
          <cell r="E292">
            <v>36326</v>
          </cell>
          <cell r="F292">
            <v>360000</v>
          </cell>
          <cell r="G292">
            <v>212979</v>
          </cell>
          <cell r="L292">
            <v>0.1857</v>
          </cell>
          <cell r="O292">
            <v>36837</v>
          </cell>
          <cell r="P292">
            <v>36867</v>
          </cell>
          <cell r="Q292">
            <v>13020</v>
          </cell>
          <cell r="R292">
            <v>9769</v>
          </cell>
          <cell r="S292">
            <v>3251</v>
          </cell>
          <cell r="T292">
            <v>25</v>
          </cell>
          <cell r="V292">
            <v>203210</v>
          </cell>
          <cell r="W292">
            <v>2584.6641780821919</v>
          </cell>
          <cell r="X292">
            <v>14.66</v>
          </cell>
          <cell r="Z292">
            <v>2530.1593589041095</v>
          </cell>
          <cell r="AB292">
            <v>14.35</v>
          </cell>
          <cell r="AD292">
            <v>0.14349999999999999</v>
          </cell>
          <cell r="AE292">
            <v>1.95E-2</v>
          </cell>
          <cell r="AF292">
            <v>4.0000000000000001E-3</v>
          </cell>
          <cell r="AG292">
            <v>0.11999999999999998</v>
          </cell>
        </row>
        <row r="293">
          <cell r="A293" t="str">
            <v>W10017</v>
          </cell>
          <cell r="B293">
            <v>284</v>
          </cell>
          <cell r="C293" t="str">
            <v>V B Rajavel</v>
          </cell>
          <cell r="D293">
            <v>1</v>
          </cell>
          <cell r="E293">
            <v>36326</v>
          </cell>
          <cell r="F293">
            <v>412500</v>
          </cell>
          <cell r="G293">
            <v>328087</v>
          </cell>
          <cell r="L293">
            <v>0.18440000000000001</v>
          </cell>
          <cell r="O293">
            <v>36834</v>
          </cell>
          <cell r="P293">
            <v>36864</v>
          </cell>
          <cell r="Q293">
            <v>10480</v>
          </cell>
          <cell r="R293">
            <v>5507</v>
          </cell>
          <cell r="S293">
            <v>4973</v>
          </cell>
          <cell r="T293">
            <v>28</v>
          </cell>
          <cell r="V293">
            <v>322580</v>
          </cell>
          <cell r="W293">
            <v>4563.1371397260282</v>
          </cell>
          <cell r="X293">
            <v>14.66</v>
          </cell>
          <cell r="Z293">
            <v>4016.4303232876709</v>
          </cell>
          <cell r="AB293">
            <v>14.35</v>
          </cell>
          <cell r="AD293">
            <v>0.14349999999999999</v>
          </cell>
          <cell r="AE293">
            <v>1.95E-2</v>
          </cell>
          <cell r="AF293">
            <v>4.0000000000000001E-3</v>
          </cell>
          <cell r="AG293">
            <v>0.11999999999999998</v>
          </cell>
        </row>
        <row r="294">
          <cell r="A294" t="str">
            <v>W10014</v>
          </cell>
          <cell r="B294">
            <v>285</v>
          </cell>
          <cell r="C294" t="str">
            <v>Kartiayani Nursing Home</v>
          </cell>
          <cell r="D294">
            <v>1</v>
          </cell>
          <cell r="E294">
            <v>36326</v>
          </cell>
          <cell r="F294">
            <v>1314908</v>
          </cell>
          <cell r="G294">
            <v>744007</v>
          </cell>
          <cell r="L294">
            <v>0.19220000000000001</v>
          </cell>
          <cell r="O294">
            <v>36847</v>
          </cell>
          <cell r="P294">
            <v>36877</v>
          </cell>
          <cell r="Q294">
            <v>50325</v>
          </cell>
          <cell r="R294">
            <v>38573</v>
          </cell>
          <cell r="S294">
            <v>11752</v>
          </cell>
          <cell r="T294">
            <v>15</v>
          </cell>
          <cell r="V294">
            <v>705434</v>
          </cell>
          <cell r="W294">
            <v>5571.9622520547946</v>
          </cell>
          <cell r="X294">
            <v>14.66</v>
          </cell>
          <cell r="Z294">
            <v>8783.3297435616441</v>
          </cell>
          <cell r="AB294">
            <v>14.35</v>
          </cell>
          <cell r="AD294">
            <v>0.14349999999999999</v>
          </cell>
          <cell r="AE294">
            <v>1.95E-2</v>
          </cell>
          <cell r="AF294">
            <v>4.0000000000000001E-3</v>
          </cell>
          <cell r="AG294">
            <v>0.11999999999999998</v>
          </cell>
        </row>
        <row r="295">
          <cell r="A295" t="str">
            <v>W10020</v>
          </cell>
          <cell r="B295">
            <v>286</v>
          </cell>
          <cell r="C295" t="str">
            <v>N.S.THAKUR</v>
          </cell>
          <cell r="D295">
            <v>1</v>
          </cell>
          <cell r="E295">
            <v>36336</v>
          </cell>
          <cell r="F295">
            <v>333952</v>
          </cell>
          <cell r="G295">
            <v>191228</v>
          </cell>
          <cell r="L295">
            <v>0.22189999999999999</v>
          </cell>
          <cell r="O295">
            <v>36843</v>
          </cell>
          <cell r="P295">
            <v>36873</v>
          </cell>
          <cell r="Q295">
            <v>13207</v>
          </cell>
          <cell r="R295">
            <v>9720</v>
          </cell>
          <cell r="S295">
            <v>3487</v>
          </cell>
          <cell r="T295">
            <v>19</v>
          </cell>
          <cell r="V295">
            <v>181508</v>
          </cell>
          <cell r="W295">
            <v>2096.5914487671234</v>
          </cell>
          <cell r="X295">
            <v>14.66</v>
          </cell>
          <cell r="Z295">
            <v>2259.9486487671234</v>
          </cell>
          <cell r="AB295">
            <v>14.35</v>
          </cell>
          <cell r="AD295">
            <v>0.14349999999999999</v>
          </cell>
          <cell r="AE295">
            <v>1.95E-2</v>
          </cell>
          <cell r="AF295">
            <v>4.0000000000000001E-3</v>
          </cell>
          <cell r="AG295">
            <v>0.11999999999999998</v>
          </cell>
        </row>
        <row r="296">
          <cell r="A296" t="str">
            <v>W10019</v>
          </cell>
          <cell r="B296">
            <v>287</v>
          </cell>
          <cell r="C296" t="str">
            <v>SRI GANGACHARAN HOSPITAL</v>
          </cell>
          <cell r="D296">
            <v>1</v>
          </cell>
          <cell r="E296">
            <v>36336</v>
          </cell>
          <cell r="F296">
            <v>1781811</v>
          </cell>
          <cell r="G296">
            <v>1416627</v>
          </cell>
          <cell r="L296">
            <v>0.1938</v>
          </cell>
          <cell r="O296">
            <v>36842</v>
          </cell>
          <cell r="P296">
            <v>36872</v>
          </cell>
          <cell r="Q296">
            <v>46700</v>
          </cell>
          <cell r="R296">
            <v>24134</v>
          </cell>
          <cell r="S296">
            <v>22566</v>
          </cell>
          <cell r="T296">
            <v>20</v>
          </cell>
          <cell r="V296">
            <v>1392493</v>
          </cell>
          <cell r="W296">
            <v>14787.131145205478</v>
          </cell>
          <cell r="X296">
            <v>14.66</v>
          </cell>
          <cell r="Z296">
            <v>17337.873117260271</v>
          </cell>
          <cell r="AB296">
            <v>14.35</v>
          </cell>
          <cell r="AD296">
            <v>0.14349999999999999</v>
          </cell>
          <cell r="AE296">
            <v>1.95E-2</v>
          </cell>
          <cell r="AF296">
            <v>4.0000000000000001E-3</v>
          </cell>
          <cell r="AG296">
            <v>0.11999999999999998</v>
          </cell>
        </row>
        <row r="297">
          <cell r="A297" t="str">
            <v>W10018</v>
          </cell>
          <cell r="B297">
            <v>288</v>
          </cell>
          <cell r="C297" t="str">
            <v>VERDICT DIAGNOSTICS-II</v>
          </cell>
          <cell r="D297">
            <v>1</v>
          </cell>
          <cell r="E297">
            <v>36336</v>
          </cell>
          <cell r="F297">
            <v>5609000</v>
          </cell>
          <cell r="G297">
            <v>4186618</v>
          </cell>
          <cell r="L297">
            <v>0.1832</v>
          </cell>
          <cell r="O297">
            <v>36783</v>
          </cell>
          <cell r="P297">
            <v>36874</v>
          </cell>
          <cell r="Q297">
            <v>469754</v>
          </cell>
          <cell r="R297">
            <v>278508</v>
          </cell>
          <cell r="S297">
            <v>191246</v>
          </cell>
          <cell r="T297">
            <v>18</v>
          </cell>
          <cell r="V297">
            <v>3908110</v>
          </cell>
          <cell r="W297">
            <v>35307.90009863014</v>
          </cell>
          <cell r="X297">
            <v>14.66</v>
          </cell>
          <cell r="Z297">
            <v>48659.71700273973</v>
          </cell>
          <cell r="AB297">
            <v>14.35</v>
          </cell>
          <cell r="AD297">
            <v>0.14349999999999999</v>
          </cell>
          <cell r="AE297">
            <v>1.95E-2</v>
          </cell>
          <cell r="AF297">
            <v>4.0000000000000001E-3</v>
          </cell>
          <cell r="AG297">
            <v>0.11999999999999998</v>
          </cell>
        </row>
        <row r="298">
          <cell r="A298" t="str">
            <v>W10030</v>
          </cell>
          <cell r="B298">
            <v>289</v>
          </cell>
          <cell r="C298" t="str">
            <v>KALPANA ALEXANDER</v>
          </cell>
          <cell r="D298">
            <v>1</v>
          </cell>
          <cell r="E298">
            <v>36346</v>
          </cell>
          <cell r="F298">
            <v>1180000</v>
          </cell>
          <cell r="G298">
            <v>760927</v>
          </cell>
          <cell r="L298">
            <v>0.1764</v>
          </cell>
          <cell r="O298">
            <v>36835</v>
          </cell>
          <cell r="P298">
            <v>36865</v>
          </cell>
          <cell r="Q298">
            <v>42365</v>
          </cell>
          <cell r="R298">
            <v>31332</v>
          </cell>
          <cell r="S298">
            <v>11033</v>
          </cell>
          <cell r="T298">
            <v>27</v>
          </cell>
          <cell r="V298">
            <v>729595</v>
          </cell>
          <cell r="W298">
            <v>9520.3152493150683</v>
          </cell>
          <cell r="X298">
            <v>14.66</v>
          </cell>
          <cell r="Z298">
            <v>9084.1573616438345</v>
          </cell>
          <cell r="AB298">
            <v>14.35</v>
          </cell>
          <cell r="AD298">
            <v>0.14349999999999999</v>
          </cell>
          <cell r="AE298">
            <v>1.95E-2</v>
          </cell>
          <cell r="AF298">
            <v>4.0000000000000001E-3</v>
          </cell>
          <cell r="AG298">
            <v>0.11999999999999998</v>
          </cell>
        </row>
        <row r="299">
          <cell r="A299" t="str">
            <v>W10021</v>
          </cell>
          <cell r="B299">
            <v>290</v>
          </cell>
          <cell r="C299" t="str">
            <v>LAKSHMI SCAN  &amp; COLOR DOPPLER</v>
          </cell>
          <cell r="D299">
            <v>1</v>
          </cell>
          <cell r="E299">
            <v>36346</v>
          </cell>
          <cell r="F299">
            <v>1312500</v>
          </cell>
          <cell r="G299">
            <v>947007</v>
          </cell>
          <cell r="L299">
            <v>0.18310000000000001</v>
          </cell>
          <cell r="O299">
            <v>36850</v>
          </cell>
          <cell r="P299">
            <v>36880</v>
          </cell>
          <cell r="Q299">
            <v>38555</v>
          </cell>
          <cell r="R299">
            <v>24307</v>
          </cell>
          <cell r="S299">
            <v>14248</v>
          </cell>
          <cell r="T299">
            <v>12</v>
          </cell>
          <cell r="V299">
            <v>922700</v>
          </cell>
          <cell r="W299">
            <v>5554.4012054794521</v>
          </cell>
          <cell r="X299">
            <v>14.66</v>
          </cell>
          <cell r="Z299">
            <v>11488.49978082192</v>
          </cell>
          <cell r="AB299">
            <v>14.35</v>
          </cell>
          <cell r="AD299">
            <v>0.14349999999999999</v>
          </cell>
          <cell r="AE299">
            <v>1.95E-2</v>
          </cell>
          <cell r="AF299">
            <v>4.0000000000000001E-3</v>
          </cell>
          <cell r="AG299">
            <v>0.11999999999999998</v>
          </cell>
        </row>
        <row r="300">
          <cell r="A300" t="str">
            <v>W10028</v>
          </cell>
          <cell r="B300">
            <v>291</v>
          </cell>
          <cell r="C300" t="str">
            <v>R.K.PRAKASH</v>
          </cell>
          <cell r="D300">
            <v>1</v>
          </cell>
          <cell r="E300">
            <v>36346</v>
          </cell>
          <cell r="F300">
            <v>200000</v>
          </cell>
          <cell r="G300">
            <v>123245</v>
          </cell>
          <cell r="L300">
            <v>0.19</v>
          </cell>
          <cell r="O300">
            <v>36844</v>
          </cell>
          <cell r="P300">
            <v>36874</v>
          </cell>
          <cell r="Q300">
            <v>7235</v>
          </cell>
          <cell r="R300">
            <v>5311</v>
          </cell>
          <cell r="S300">
            <v>1924</v>
          </cell>
          <cell r="T300">
            <v>18</v>
          </cell>
          <cell r="V300">
            <v>117934</v>
          </cell>
          <cell r="W300">
            <v>1105.0254246575341</v>
          </cell>
          <cell r="X300">
            <v>14.66</v>
          </cell>
          <cell r="Z300">
            <v>1468.3913873972604</v>
          </cell>
          <cell r="AB300">
            <v>14.35</v>
          </cell>
          <cell r="AD300">
            <v>0.14349999999999999</v>
          </cell>
          <cell r="AE300">
            <v>1.95E-2</v>
          </cell>
          <cell r="AF300">
            <v>4.0000000000000001E-3</v>
          </cell>
          <cell r="AG300">
            <v>0.11999999999999998</v>
          </cell>
        </row>
        <row r="301">
          <cell r="A301" t="str">
            <v>W10027</v>
          </cell>
          <cell r="B301">
            <v>292</v>
          </cell>
          <cell r="C301" t="str">
            <v>V PADMAJA</v>
          </cell>
          <cell r="D301">
            <v>1</v>
          </cell>
          <cell r="E301">
            <v>36346</v>
          </cell>
          <cell r="F301">
            <v>376008</v>
          </cell>
          <cell r="G301">
            <v>227531</v>
          </cell>
          <cell r="L301">
            <v>0.20150000000000001</v>
          </cell>
          <cell r="O301">
            <v>36842</v>
          </cell>
          <cell r="P301">
            <v>36872</v>
          </cell>
          <cell r="Q301">
            <v>14082</v>
          </cell>
          <cell r="R301">
            <v>10313</v>
          </cell>
          <cell r="S301">
            <v>3769</v>
          </cell>
          <cell r="T301">
            <v>20</v>
          </cell>
          <cell r="V301">
            <v>217218</v>
          </cell>
          <cell r="W301">
            <v>2398.3247671232875</v>
          </cell>
          <cell r="X301">
            <v>14.66</v>
          </cell>
          <cell r="Z301">
            <v>2704.5723912328767</v>
          </cell>
          <cell r="AB301">
            <v>14.35</v>
          </cell>
          <cell r="AD301">
            <v>0.14349999999999999</v>
          </cell>
          <cell r="AE301">
            <v>1.95E-2</v>
          </cell>
          <cell r="AF301">
            <v>4.0000000000000001E-3</v>
          </cell>
          <cell r="AG301">
            <v>0.11999999999999998</v>
          </cell>
        </row>
        <row r="302">
          <cell r="A302" t="str">
            <v>W10029</v>
          </cell>
          <cell r="B302">
            <v>293</v>
          </cell>
          <cell r="C302" t="str">
            <v>VIVEK SONDHI</v>
          </cell>
          <cell r="D302">
            <v>1</v>
          </cell>
          <cell r="E302">
            <v>36346</v>
          </cell>
          <cell r="F302">
            <v>1088250</v>
          </cell>
          <cell r="G302">
            <v>803690</v>
          </cell>
          <cell r="L302">
            <v>0.18459999999999999</v>
          </cell>
          <cell r="O302">
            <v>36854</v>
          </cell>
          <cell r="P302">
            <v>36884</v>
          </cell>
          <cell r="Q302">
            <v>31980</v>
          </cell>
          <cell r="R302">
            <v>19787</v>
          </cell>
          <cell r="S302">
            <v>12193</v>
          </cell>
          <cell r="T302">
            <v>8</v>
          </cell>
          <cell r="V302">
            <v>783903</v>
          </cell>
          <cell r="W302">
            <v>3171.6930147945204</v>
          </cell>
          <cell r="X302">
            <v>14.66</v>
          </cell>
          <cell r="Z302">
            <v>9760.3440378082196</v>
          </cell>
          <cell r="AB302">
            <v>14.35</v>
          </cell>
          <cell r="AD302">
            <v>0.14349999999999999</v>
          </cell>
          <cell r="AE302">
            <v>1.95E-2</v>
          </cell>
          <cell r="AF302">
            <v>4.0000000000000001E-3</v>
          </cell>
          <cell r="AG302">
            <v>0.11999999999999998</v>
          </cell>
        </row>
        <row r="303">
          <cell r="A303" t="str">
            <v>W10024</v>
          </cell>
          <cell r="B303">
            <v>294</v>
          </cell>
          <cell r="C303" t="str">
            <v>AJAY WAHI</v>
          </cell>
          <cell r="D303">
            <v>1</v>
          </cell>
          <cell r="E303">
            <v>36367</v>
          </cell>
          <cell r="F303">
            <v>1481250</v>
          </cell>
          <cell r="G303">
            <v>1203408</v>
          </cell>
          <cell r="L303">
            <v>0.18079999999999999</v>
          </cell>
          <cell r="O303">
            <v>36850</v>
          </cell>
          <cell r="P303">
            <v>36880</v>
          </cell>
          <cell r="Q303">
            <v>37600</v>
          </cell>
          <cell r="R303">
            <v>19714</v>
          </cell>
          <cell r="S303">
            <v>17886</v>
          </cell>
          <cell r="T303">
            <v>12</v>
          </cell>
          <cell r="V303">
            <v>1183694</v>
          </cell>
          <cell r="W303">
            <v>7036.0068558904095</v>
          </cell>
          <cell r="X303">
            <v>14.66</v>
          </cell>
          <cell r="Z303">
            <v>14738.125349041095</v>
          </cell>
          <cell r="AB303">
            <v>14.35</v>
          </cell>
          <cell r="AD303">
            <v>0.14349999999999999</v>
          </cell>
          <cell r="AE303">
            <v>1.95E-2</v>
          </cell>
          <cell r="AF303">
            <v>4.0000000000000001E-3</v>
          </cell>
          <cell r="AG303">
            <v>0.11999999999999998</v>
          </cell>
        </row>
        <row r="304">
          <cell r="A304" t="str">
            <v>W10025</v>
          </cell>
          <cell r="B304">
            <v>295</v>
          </cell>
          <cell r="C304" t="str">
            <v>G SURENDRAN</v>
          </cell>
          <cell r="D304">
            <v>1</v>
          </cell>
          <cell r="E304">
            <v>36367</v>
          </cell>
          <cell r="F304">
            <v>548344</v>
          </cell>
          <cell r="G304">
            <v>334467</v>
          </cell>
          <cell r="L304">
            <v>0.19120000000000001</v>
          </cell>
          <cell r="O304">
            <v>36852</v>
          </cell>
          <cell r="P304">
            <v>36882</v>
          </cell>
          <cell r="Q304">
            <v>20535</v>
          </cell>
          <cell r="R304">
            <v>15278</v>
          </cell>
          <cell r="S304">
            <v>5257</v>
          </cell>
          <cell r="T304">
            <v>10</v>
          </cell>
          <cell r="V304">
            <v>319189</v>
          </cell>
          <cell r="W304">
            <v>1672.0256657534248</v>
          </cell>
          <cell r="X304">
            <v>14.66</v>
          </cell>
          <cell r="Z304">
            <v>3974.2091216438353</v>
          </cell>
          <cell r="AB304">
            <v>14.35</v>
          </cell>
          <cell r="AD304">
            <v>0.14349999999999999</v>
          </cell>
          <cell r="AE304">
            <v>1.95E-2</v>
          </cell>
          <cell r="AF304">
            <v>4.0000000000000001E-3</v>
          </cell>
          <cell r="AG304">
            <v>0.11999999999999998</v>
          </cell>
        </row>
        <row r="305">
          <cell r="A305" t="str">
            <v>W10026</v>
          </cell>
          <cell r="B305">
            <v>296</v>
          </cell>
          <cell r="C305" t="str">
            <v>GOPAL MAHESHWARI</v>
          </cell>
          <cell r="D305">
            <v>1</v>
          </cell>
          <cell r="E305">
            <v>36367</v>
          </cell>
          <cell r="F305">
            <v>1552500</v>
          </cell>
          <cell r="G305">
            <v>1130065</v>
          </cell>
          <cell r="L305">
            <v>0.18509999999999999</v>
          </cell>
          <cell r="O305">
            <v>36835</v>
          </cell>
          <cell r="P305">
            <v>36865</v>
          </cell>
          <cell r="Q305">
            <v>42953</v>
          </cell>
          <cell r="R305">
            <v>25758</v>
          </cell>
          <cell r="S305">
            <v>17195</v>
          </cell>
          <cell r="T305">
            <v>27</v>
          </cell>
          <cell r="V305">
            <v>1104307</v>
          </cell>
          <cell r="W305">
            <v>15120.534503835615</v>
          </cell>
          <cell r="X305">
            <v>14.66</v>
          </cell>
          <cell r="Z305">
            <v>13749.681074520548</v>
          </cell>
          <cell r="AA305">
            <v>10317.324051506848</v>
          </cell>
          <cell r="AB305">
            <v>14.35</v>
          </cell>
          <cell r="AD305">
            <v>0.14349999999999999</v>
          </cell>
          <cell r="AE305">
            <v>1.95E-2</v>
          </cell>
          <cell r="AF305">
            <v>4.0000000000000001E-3</v>
          </cell>
          <cell r="AG305">
            <v>0.11999999999999998</v>
          </cell>
        </row>
        <row r="306">
          <cell r="A306" t="str">
            <v>W10022</v>
          </cell>
          <cell r="B306">
            <v>297</v>
          </cell>
          <cell r="C306" t="str">
            <v>NIKIT P MEHTA</v>
          </cell>
          <cell r="D306">
            <v>1</v>
          </cell>
          <cell r="E306">
            <v>36367</v>
          </cell>
          <cell r="F306">
            <v>1100000</v>
          </cell>
          <cell r="G306">
            <v>-1</v>
          </cell>
          <cell r="L306">
            <v>0.13750000000000001</v>
          </cell>
          <cell r="O306">
            <v>36770</v>
          </cell>
          <cell r="S306">
            <v>0</v>
          </cell>
          <cell r="T306">
            <v>122</v>
          </cell>
          <cell r="V306">
            <v>-1</v>
          </cell>
          <cell r="W306">
            <v>-4.5958904109589048E-2</v>
          </cell>
          <cell r="X306">
            <v>14.66</v>
          </cell>
          <cell r="Z306">
            <v>-1.2450958904109589E-2</v>
          </cell>
          <cell r="AA306">
            <v>88108.839726027407</v>
          </cell>
          <cell r="AB306">
            <v>14.35</v>
          </cell>
          <cell r="AD306">
            <v>0.14349999999999999</v>
          </cell>
          <cell r="AE306">
            <v>1.95E-2</v>
          </cell>
          <cell r="AF306">
            <v>4.0000000000000001E-3</v>
          </cell>
          <cell r="AG306">
            <v>0.11999999999999998</v>
          </cell>
        </row>
        <row r="307">
          <cell r="A307" t="str">
            <v>W10023</v>
          </cell>
          <cell r="B307">
            <v>298</v>
          </cell>
          <cell r="C307" t="str">
            <v>PETER B ALOYSIOUS NAVAMANI</v>
          </cell>
          <cell r="D307">
            <v>1</v>
          </cell>
          <cell r="E307">
            <v>36367</v>
          </cell>
          <cell r="F307">
            <v>284250</v>
          </cell>
          <cell r="G307">
            <v>176455</v>
          </cell>
          <cell r="L307">
            <v>0.19719999999999999</v>
          </cell>
          <cell r="O307">
            <v>36836</v>
          </cell>
          <cell r="P307">
            <v>36866</v>
          </cell>
          <cell r="Q307">
            <v>10420</v>
          </cell>
          <cell r="R307">
            <v>7560</v>
          </cell>
          <cell r="S307">
            <v>2860</v>
          </cell>
          <cell r="T307">
            <v>26</v>
          </cell>
          <cell r="V307">
            <v>168895</v>
          </cell>
          <cell r="W307">
            <v>2372.488887671233</v>
          </cell>
          <cell r="X307">
            <v>14.66</v>
          </cell>
          <cell r="Z307">
            <v>2102.9047041095891</v>
          </cell>
          <cell r="AA307">
            <v>10225.0748630137</v>
          </cell>
          <cell r="AB307">
            <v>14.35</v>
          </cell>
          <cell r="AD307">
            <v>0.14349999999999999</v>
          </cell>
          <cell r="AE307">
            <v>1.95E-2</v>
          </cell>
          <cell r="AF307">
            <v>4.0000000000000001E-3</v>
          </cell>
          <cell r="AG307">
            <v>0.11999999999999998</v>
          </cell>
        </row>
        <row r="308">
          <cell r="A308" t="str">
            <v>W10032</v>
          </cell>
          <cell r="B308">
            <v>299</v>
          </cell>
          <cell r="C308" t="str">
            <v>CHRISTIAN MISSION HOSPITAL</v>
          </cell>
          <cell r="D308">
            <v>1</v>
          </cell>
          <cell r="E308">
            <v>36396</v>
          </cell>
          <cell r="F308">
            <v>337500</v>
          </cell>
          <cell r="G308">
            <v>207647.01</v>
          </cell>
          <cell r="L308">
            <v>0.191</v>
          </cell>
          <cell r="O308">
            <v>36854</v>
          </cell>
          <cell r="P308">
            <v>36884</v>
          </cell>
          <cell r="Q308">
            <v>12200</v>
          </cell>
          <cell r="R308">
            <v>8940</v>
          </cell>
          <cell r="S308">
            <v>3260</v>
          </cell>
          <cell r="T308">
            <v>8</v>
          </cell>
          <cell r="V308">
            <v>198707.01</v>
          </cell>
          <cell r="W308">
            <v>831.84742816438359</v>
          </cell>
          <cell r="X308">
            <v>14.66</v>
          </cell>
          <cell r="Z308">
            <v>2474.0928154684934</v>
          </cell>
          <cell r="AB308">
            <v>14.35</v>
          </cell>
          <cell r="AD308">
            <v>0.14349999999999999</v>
          </cell>
          <cell r="AE308">
            <v>1.95E-2</v>
          </cell>
          <cell r="AF308">
            <v>4.0000000000000001E-3</v>
          </cell>
          <cell r="AG308">
            <v>0.11999999999999998</v>
          </cell>
        </row>
        <row r="309">
          <cell r="A309" t="str">
            <v>W10033</v>
          </cell>
          <cell r="B309">
            <v>300</v>
          </cell>
          <cell r="C309" t="str">
            <v>CLARITY MRI CENTRE PVT LTD(foreclosed in dec 99)</v>
          </cell>
          <cell r="D309">
            <v>1</v>
          </cell>
          <cell r="E309">
            <v>36396</v>
          </cell>
          <cell r="F309">
            <v>19312500</v>
          </cell>
          <cell r="G309">
            <v>0</v>
          </cell>
          <cell r="L309">
            <v>0.1741</v>
          </cell>
          <cell r="O309">
            <v>36396</v>
          </cell>
          <cell r="S309">
            <v>0</v>
          </cell>
          <cell r="T309">
            <v>496</v>
          </cell>
          <cell r="V309">
            <v>0</v>
          </cell>
          <cell r="W309">
            <v>0</v>
          </cell>
          <cell r="X309">
            <v>14.66</v>
          </cell>
          <cell r="Z309">
            <v>0</v>
          </cell>
          <cell r="AB309">
            <v>14.35</v>
          </cell>
          <cell r="AD309">
            <v>0.14349999999999999</v>
          </cell>
          <cell r="AE309">
            <v>1.95E-2</v>
          </cell>
          <cell r="AF309">
            <v>4.0000000000000001E-3</v>
          </cell>
          <cell r="AG309">
            <v>0.11999999999999998</v>
          </cell>
        </row>
        <row r="310">
          <cell r="A310" t="str">
            <v>W10031</v>
          </cell>
          <cell r="B310">
            <v>301</v>
          </cell>
          <cell r="C310" t="str">
            <v>SURENDRANATH REDDY</v>
          </cell>
          <cell r="D310">
            <v>1</v>
          </cell>
          <cell r="E310">
            <v>36396</v>
          </cell>
          <cell r="F310">
            <v>4950000</v>
          </cell>
          <cell r="G310">
            <v>3716016.33</v>
          </cell>
          <cell r="L310">
            <v>0.1724</v>
          </cell>
          <cell r="O310">
            <v>36847</v>
          </cell>
          <cell r="P310">
            <v>36877</v>
          </cell>
          <cell r="Q310">
            <v>184100</v>
          </cell>
          <cell r="R310">
            <v>131451</v>
          </cell>
          <cell r="S310">
            <v>52649</v>
          </cell>
          <cell r="T310">
            <v>15</v>
          </cell>
          <cell r="V310">
            <v>3584565.33</v>
          </cell>
          <cell r="W310">
            <v>25396.399844876709</v>
          </cell>
          <cell r="X310">
            <v>14.66</v>
          </cell>
          <cell r="Z310">
            <v>44631.275612926023</v>
          </cell>
          <cell r="AB310">
            <v>14.35</v>
          </cell>
          <cell r="AD310">
            <v>0.14349999999999999</v>
          </cell>
          <cell r="AE310">
            <v>1.95E-2</v>
          </cell>
          <cell r="AF310">
            <v>4.0000000000000001E-3</v>
          </cell>
          <cell r="AG310">
            <v>0.11999999999999998</v>
          </cell>
        </row>
        <row r="311">
          <cell r="A311" t="str">
            <v>W10035</v>
          </cell>
          <cell r="B311">
            <v>302</v>
          </cell>
          <cell r="C311" t="str">
            <v>HH RAD DADIJI SMT BADAN KUNWAR MEDICAL TRUST</v>
          </cell>
          <cell r="D311">
            <v>1</v>
          </cell>
          <cell r="E311">
            <v>36412</v>
          </cell>
          <cell r="F311">
            <v>3937500</v>
          </cell>
          <cell r="G311">
            <v>3818561.72</v>
          </cell>
          <cell r="L311">
            <v>0.20469999999999999</v>
          </cell>
          <cell r="O311">
            <v>36840</v>
          </cell>
          <cell r="P311">
            <v>36870</v>
          </cell>
          <cell r="Q311">
            <v>126000</v>
          </cell>
          <cell r="R311">
            <v>61758</v>
          </cell>
          <cell r="S311">
            <v>64242</v>
          </cell>
          <cell r="T311">
            <v>22</v>
          </cell>
          <cell r="V311">
            <v>3756803.72</v>
          </cell>
          <cell r="W311">
            <v>46351.753075747947</v>
          </cell>
          <cell r="X311">
            <v>14.66</v>
          </cell>
          <cell r="Z311">
            <v>46775.808728526034</v>
          </cell>
          <cell r="AB311">
            <v>14.35</v>
          </cell>
          <cell r="AD311">
            <v>0.14349999999999999</v>
          </cell>
          <cell r="AE311">
            <v>1.95E-2</v>
          </cell>
          <cell r="AF311">
            <v>4.0000000000000001E-3</v>
          </cell>
          <cell r="AG311">
            <v>0.11999999999999998</v>
          </cell>
        </row>
        <row r="312">
          <cell r="A312" t="str">
            <v>W10034</v>
          </cell>
          <cell r="B312">
            <v>303</v>
          </cell>
          <cell r="C312" t="str">
            <v>MOIT HOSPITAL</v>
          </cell>
          <cell r="D312">
            <v>1</v>
          </cell>
          <cell r="E312">
            <v>36412</v>
          </cell>
          <cell r="F312">
            <v>5587500</v>
          </cell>
          <cell r="G312">
            <v>4932969.1100000003</v>
          </cell>
          <cell r="L312">
            <v>0.18179999999999999</v>
          </cell>
          <cell r="O312">
            <v>36860</v>
          </cell>
          <cell r="P312">
            <v>36890</v>
          </cell>
          <cell r="Q312">
            <v>148450</v>
          </cell>
          <cell r="R312">
            <v>74722</v>
          </cell>
          <cell r="S312">
            <v>73728</v>
          </cell>
          <cell r="T312">
            <v>2</v>
          </cell>
          <cell r="V312">
            <v>4858247.1100000003</v>
          </cell>
          <cell r="W312">
            <v>4839.6127375232873</v>
          </cell>
          <cell r="X312">
            <v>14.66</v>
          </cell>
          <cell r="Z312">
            <v>60489.835112619185</v>
          </cell>
          <cell r="AB312">
            <v>14.35</v>
          </cell>
          <cell r="AD312">
            <v>0.14349999999999999</v>
          </cell>
          <cell r="AE312">
            <v>1.95E-2</v>
          </cell>
          <cell r="AF312">
            <v>4.0000000000000001E-3</v>
          </cell>
          <cell r="AG312">
            <v>0.11999999999999998</v>
          </cell>
        </row>
        <row r="313">
          <cell r="A313" t="str">
            <v>W10037</v>
          </cell>
          <cell r="B313">
            <v>304</v>
          </cell>
          <cell r="C313" t="str">
            <v>S RAMAKRISHNAN</v>
          </cell>
          <cell r="D313">
            <v>1</v>
          </cell>
          <cell r="E313">
            <v>36424</v>
          </cell>
          <cell r="F313">
            <v>1012500</v>
          </cell>
          <cell r="G313">
            <v>847954.02</v>
          </cell>
          <cell r="L313">
            <v>0.18149999999999999</v>
          </cell>
          <cell r="O313">
            <v>36844</v>
          </cell>
          <cell r="P313">
            <v>36874</v>
          </cell>
          <cell r="Q313">
            <v>25710</v>
          </cell>
          <cell r="R313">
            <v>13062</v>
          </cell>
          <cell r="S313">
            <v>12648</v>
          </cell>
          <cell r="T313">
            <v>18</v>
          </cell>
          <cell r="V313">
            <v>834892.02</v>
          </cell>
          <cell r="W313">
            <v>7472.8554228493158</v>
          </cell>
          <cell r="X313">
            <v>14.66</v>
          </cell>
          <cell r="Z313">
            <v>10395.206230389042</v>
          </cell>
          <cell r="AB313">
            <v>14.35</v>
          </cell>
          <cell r="AD313">
            <v>0.14349999999999999</v>
          </cell>
          <cell r="AE313">
            <v>1.95E-2</v>
          </cell>
          <cell r="AF313">
            <v>4.0000000000000001E-3</v>
          </cell>
          <cell r="AG313">
            <v>0.11999999999999998</v>
          </cell>
        </row>
        <row r="314">
          <cell r="A314" t="str">
            <v>W10036</v>
          </cell>
          <cell r="B314">
            <v>305</v>
          </cell>
          <cell r="C314" t="str">
            <v>VIDHYA SCAN &amp; ECHO CENTRE</v>
          </cell>
          <cell r="D314">
            <v>1</v>
          </cell>
          <cell r="E314">
            <v>36424</v>
          </cell>
          <cell r="F314">
            <v>1200000</v>
          </cell>
          <cell r="G314">
            <v>999731.73</v>
          </cell>
          <cell r="L314">
            <v>0.18459999999999999</v>
          </cell>
          <cell r="O314">
            <v>36831</v>
          </cell>
          <cell r="P314">
            <v>36861</v>
          </cell>
          <cell r="Q314">
            <v>30475</v>
          </cell>
          <cell r="R314">
            <v>15305</v>
          </cell>
          <cell r="S314">
            <v>15170</v>
          </cell>
          <cell r="T314">
            <v>31</v>
          </cell>
          <cell r="V314">
            <v>984426.73</v>
          </cell>
          <cell r="W314">
            <v>15434.192890679449</v>
          </cell>
          <cell r="X314">
            <v>14.66</v>
          </cell>
          <cell r="Z314">
            <v>12257.056759336987</v>
          </cell>
          <cell r="AB314">
            <v>14.35</v>
          </cell>
          <cell r="AD314">
            <v>0.14349999999999999</v>
          </cell>
          <cell r="AE314">
            <v>1.95E-2</v>
          </cell>
          <cell r="AF314">
            <v>4.0000000000000001E-3</v>
          </cell>
          <cell r="AG314">
            <v>0.11999999999999998</v>
          </cell>
        </row>
        <row r="315">
          <cell r="A315" t="str">
            <v>W10042</v>
          </cell>
          <cell r="B315">
            <v>306</v>
          </cell>
          <cell r="C315" t="str">
            <v>ASHOK D VORA</v>
          </cell>
          <cell r="D315">
            <v>1</v>
          </cell>
          <cell r="E315">
            <v>36427</v>
          </cell>
          <cell r="F315">
            <v>1125000</v>
          </cell>
          <cell r="G315">
            <v>936947.59</v>
          </cell>
          <cell r="L315">
            <v>0.16589999999999999</v>
          </cell>
          <cell r="O315">
            <v>36849</v>
          </cell>
          <cell r="P315">
            <v>36879</v>
          </cell>
          <cell r="Q315">
            <v>27658</v>
          </cell>
          <cell r="R315">
            <v>14879</v>
          </cell>
          <cell r="S315">
            <v>12779</v>
          </cell>
          <cell r="T315">
            <v>13</v>
          </cell>
          <cell r="V315">
            <v>922068.59</v>
          </cell>
          <cell r="W315">
            <v>5448.2885700082179</v>
          </cell>
          <cell r="X315">
            <v>14.66</v>
          </cell>
          <cell r="Z315">
            <v>11480.638120860274</v>
          </cell>
          <cell r="AB315">
            <v>14.35</v>
          </cell>
          <cell r="AD315">
            <v>0.14349999999999999</v>
          </cell>
          <cell r="AE315">
            <v>1.95E-2</v>
          </cell>
          <cell r="AF315">
            <v>4.0000000000000001E-3</v>
          </cell>
          <cell r="AG315">
            <v>0.11999999999999998</v>
          </cell>
        </row>
        <row r="316">
          <cell r="A316" t="str">
            <v>W10041</v>
          </cell>
          <cell r="B316">
            <v>307</v>
          </cell>
          <cell r="C316" t="str">
            <v>COMPUTED RADIO DIAGNOSTICS</v>
          </cell>
          <cell r="D316">
            <v>2</v>
          </cell>
          <cell r="E316">
            <v>36427</v>
          </cell>
          <cell r="F316">
            <v>3800000</v>
          </cell>
          <cell r="G316">
            <v>3037363</v>
          </cell>
          <cell r="L316">
            <v>0.19070000000000001</v>
          </cell>
          <cell r="O316">
            <v>36790</v>
          </cell>
          <cell r="P316">
            <v>36881</v>
          </cell>
          <cell r="Q316">
            <v>334400</v>
          </cell>
          <cell r="R316">
            <v>189994</v>
          </cell>
          <cell r="S316">
            <v>144406</v>
          </cell>
          <cell r="T316">
            <v>11</v>
          </cell>
          <cell r="V316">
            <v>2847369</v>
          </cell>
          <cell r="W316">
            <v>16364.18068849315</v>
          </cell>
          <cell r="X316">
            <v>14.66</v>
          </cell>
          <cell r="Z316">
            <v>35452.474403835622</v>
          </cell>
          <cell r="AB316">
            <v>14.35</v>
          </cell>
          <cell r="AD316">
            <v>0.14349999999999999</v>
          </cell>
          <cell r="AE316">
            <v>1.95E-2</v>
          </cell>
          <cell r="AF316">
            <v>4.0000000000000001E-3</v>
          </cell>
          <cell r="AG316">
            <v>0.11999999999999998</v>
          </cell>
        </row>
        <row r="317">
          <cell r="A317" t="str">
            <v>W10038</v>
          </cell>
          <cell r="B317">
            <v>308</v>
          </cell>
          <cell r="C317" t="str">
            <v>C G LAKSHMI DEVI</v>
          </cell>
          <cell r="D317">
            <v>1</v>
          </cell>
          <cell r="E317">
            <v>36427</v>
          </cell>
          <cell r="F317">
            <v>292500</v>
          </cell>
          <cell r="G317">
            <v>196106.89</v>
          </cell>
          <cell r="L317">
            <v>0.185</v>
          </cell>
          <cell r="O317">
            <v>36840</v>
          </cell>
          <cell r="P317">
            <v>36870</v>
          </cell>
          <cell r="Q317">
            <v>10575</v>
          </cell>
          <cell r="R317">
            <v>7594</v>
          </cell>
          <cell r="S317">
            <v>2981</v>
          </cell>
          <cell r="T317">
            <v>22</v>
          </cell>
          <cell r="V317">
            <v>188512.89</v>
          </cell>
          <cell r="W317">
            <v>2102.0478419178085</v>
          </cell>
          <cell r="X317">
            <v>14.66</v>
          </cell>
          <cell r="Z317">
            <v>2347.1662462849322</v>
          </cell>
          <cell r="AA317">
            <v>14429.236823013698</v>
          </cell>
          <cell r="AB317">
            <v>14.35</v>
          </cell>
          <cell r="AD317">
            <v>0.14349999999999999</v>
          </cell>
          <cell r="AE317">
            <v>1.95E-2</v>
          </cell>
          <cell r="AF317">
            <v>4.0000000000000001E-3</v>
          </cell>
          <cell r="AG317">
            <v>0.11999999999999998</v>
          </cell>
        </row>
        <row r="318">
          <cell r="A318" t="str">
            <v>W10039</v>
          </cell>
          <cell r="B318">
            <v>309</v>
          </cell>
          <cell r="C318" t="str">
            <v>RAGHUVANSHI DIAGNOSTICS CENTRE</v>
          </cell>
          <cell r="D318">
            <v>1</v>
          </cell>
          <cell r="E318">
            <v>36427</v>
          </cell>
          <cell r="F318">
            <v>2100000</v>
          </cell>
          <cell r="G318">
            <v>1722993.19</v>
          </cell>
          <cell r="L318">
            <v>0.1467</v>
          </cell>
          <cell r="O318">
            <v>36845</v>
          </cell>
          <cell r="P318">
            <v>36875</v>
          </cell>
          <cell r="Q318">
            <v>50000</v>
          </cell>
          <cell r="R318">
            <v>29222</v>
          </cell>
          <cell r="S318">
            <v>20778</v>
          </cell>
          <cell r="T318">
            <v>17</v>
          </cell>
          <cell r="V318">
            <v>1693771.19</v>
          </cell>
          <cell r="W318">
            <v>11572.865673263013</v>
          </cell>
          <cell r="X318">
            <v>14.66</v>
          </cell>
          <cell r="Z318">
            <v>21089.075479654795</v>
          </cell>
          <cell r="AA318">
            <v>2660.1064942465755</v>
          </cell>
          <cell r="AB318">
            <v>14.35</v>
          </cell>
          <cell r="AD318">
            <v>0.14349999999999999</v>
          </cell>
          <cell r="AE318">
            <v>1.95E-2</v>
          </cell>
          <cell r="AF318">
            <v>4.0000000000000001E-3</v>
          </cell>
          <cell r="AG318">
            <v>0.11999999999999998</v>
          </cell>
        </row>
        <row r="319">
          <cell r="A319" t="str">
            <v>W10043</v>
          </cell>
          <cell r="B319">
            <v>310</v>
          </cell>
          <cell r="C319" t="str">
            <v>IMTIAZ A SHAIKH</v>
          </cell>
          <cell r="D319">
            <v>1</v>
          </cell>
          <cell r="E319">
            <v>36427</v>
          </cell>
          <cell r="F319">
            <v>372096</v>
          </cell>
          <cell r="G319">
            <v>246159.95</v>
          </cell>
          <cell r="L319">
            <v>0.19650000000000001</v>
          </cell>
          <cell r="O319">
            <v>36839</v>
          </cell>
          <cell r="P319">
            <v>36808</v>
          </cell>
          <cell r="Q319">
            <v>13942</v>
          </cell>
          <cell r="R319">
            <v>9967</v>
          </cell>
          <cell r="S319">
            <v>3975</v>
          </cell>
          <cell r="T319">
            <v>84</v>
          </cell>
          <cell r="V319">
            <v>236192.95</v>
          </cell>
          <cell r="W319">
            <v>10681.098171780823</v>
          </cell>
          <cell r="X319">
            <v>14.66</v>
          </cell>
          <cell r="Z319">
            <v>2940.8287138904111</v>
          </cell>
          <cell r="AB319">
            <v>14.35</v>
          </cell>
          <cell r="AD319">
            <v>0.14349999999999999</v>
          </cell>
          <cell r="AE319">
            <v>1.95E-2</v>
          </cell>
          <cell r="AF319">
            <v>4.0000000000000001E-3</v>
          </cell>
          <cell r="AG319">
            <v>0.11999999999999998</v>
          </cell>
        </row>
        <row r="320">
          <cell r="A320" t="str">
            <v>W10047</v>
          </cell>
          <cell r="B320">
            <v>311</v>
          </cell>
          <cell r="C320" t="str">
            <v>NIKIT P MEHTA</v>
          </cell>
          <cell r="D320">
            <v>1</v>
          </cell>
          <cell r="E320">
            <v>36427</v>
          </cell>
          <cell r="F320">
            <v>2250000</v>
          </cell>
          <cell r="G320">
            <v>1784460</v>
          </cell>
          <cell r="L320">
            <v>0.17530000000000001</v>
          </cell>
          <cell r="O320">
            <v>36770</v>
          </cell>
          <cell r="P320">
            <v>36861</v>
          </cell>
          <cell r="Q320">
            <v>189000</v>
          </cell>
          <cell r="R320">
            <v>110996</v>
          </cell>
          <cell r="S320">
            <v>78004</v>
          </cell>
          <cell r="T320">
            <v>31</v>
          </cell>
          <cell r="V320">
            <v>1673464</v>
          </cell>
          <cell r="W320">
            <v>24915.357301917811</v>
          </cell>
          <cell r="X320">
            <v>14.66</v>
          </cell>
          <cell r="Z320">
            <v>20836.231491506853</v>
          </cell>
          <cell r="AB320">
            <v>14.35</v>
          </cell>
          <cell r="AD320">
            <v>0.14349999999999999</v>
          </cell>
          <cell r="AE320">
            <v>1.95E-2</v>
          </cell>
          <cell r="AF320">
            <v>4.0000000000000001E-3</v>
          </cell>
          <cell r="AG320">
            <v>0.11999999999999998</v>
          </cell>
        </row>
        <row r="321">
          <cell r="A321" t="str">
            <v>W10044</v>
          </cell>
          <cell r="B321">
            <v>312</v>
          </cell>
          <cell r="C321" t="str">
            <v>PALIWAL HOSPITAL</v>
          </cell>
          <cell r="D321">
            <v>2</v>
          </cell>
          <cell r="E321">
            <v>36427</v>
          </cell>
          <cell r="F321">
            <v>145702</v>
          </cell>
          <cell r="G321">
            <v>96746</v>
          </cell>
          <cell r="L321">
            <v>0.2072</v>
          </cell>
          <cell r="O321">
            <v>36837</v>
          </cell>
          <cell r="P321">
            <v>36867</v>
          </cell>
          <cell r="Q321">
            <v>5530</v>
          </cell>
          <cell r="R321">
            <v>3882</v>
          </cell>
          <cell r="S321">
            <v>1648</v>
          </cell>
          <cell r="T321">
            <v>25</v>
          </cell>
          <cell r="V321">
            <v>92864</v>
          </cell>
          <cell r="W321">
            <v>1317.9055342465754</v>
          </cell>
          <cell r="X321">
            <v>14.66</v>
          </cell>
          <cell r="Z321">
            <v>1156.2458476712329</v>
          </cell>
          <cell r="AB321">
            <v>14.35</v>
          </cell>
          <cell r="AD321">
            <v>0.14349999999999999</v>
          </cell>
          <cell r="AE321">
            <v>1.95E-2</v>
          </cell>
          <cell r="AF321">
            <v>4.0000000000000001E-3</v>
          </cell>
          <cell r="AG321">
            <v>0.11999999999999998</v>
          </cell>
        </row>
        <row r="322">
          <cell r="A322" t="str">
            <v>W10048</v>
          </cell>
          <cell r="B322">
            <v>313</v>
          </cell>
          <cell r="C322" t="str">
            <v>PARAKH DIAGNOSTIC CENTRE</v>
          </cell>
          <cell r="D322">
            <v>2</v>
          </cell>
          <cell r="E322">
            <v>36427</v>
          </cell>
          <cell r="F322">
            <v>326250</v>
          </cell>
          <cell r="G322">
            <v>219196.65</v>
          </cell>
          <cell r="L322">
            <v>0.183</v>
          </cell>
          <cell r="O322">
            <v>36846</v>
          </cell>
          <cell r="P322">
            <v>36876</v>
          </cell>
          <cell r="Q322">
            <v>11800</v>
          </cell>
          <cell r="R322">
            <v>8502</v>
          </cell>
          <cell r="S322">
            <v>3298</v>
          </cell>
          <cell r="T322">
            <v>16</v>
          </cell>
          <cell r="V322">
            <v>210694.65</v>
          </cell>
          <cell r="W322">
            <v>1690.1751649315067</v>
          </cell>
          <cell r="X322">
            <v>14.66</v>
          </cell>
          <cell r="Z322">
            <v>2623.3504284657533</v>
          </cell>
          <cell r="AB322">
            <v>14.35</v>
          </cell>
          <cell r="AD322">
            <v>0.14349999999999999</v>
          </cell>
          <cell r="AE322">
            <v>1.95E-2</v>
          </cell>
          <cell r="AF322">
            <v>4.0000000000000001E-3</v>
          </cell>
          <cell r="AG322">
            <v>0.11999999999999998</v>
          </cell>
        </row>
        <row r="323">
          <cell r="A323" t="str">
            <v>W10040</v>
          </cell>
          <cell r="B323">
            <v>314</v>
          </cell>
          <cell r="C323" t="str">
            <v>PRATIMA XRAY</v>
          </cell>
          <cell r="D323">
            <v>1</v>
          </cell>
          <cell r="E323">
            <v>36427</v>
          </cell>
          <cell r="F323">
            <v>319200</v>
          </cell>
          <cell r="G323">
            <v>214686.96</v>
          </cell>
          <cell r="L323">
            <v>0.19789999999999999</v>
          </cell>
          <cell r="O323">
            <v>36835</v>
          </cell>
          <cell r="P323">
            <v>36865</v>
          </cell>
          <cell r="Q323">
            <v>11711</v>
          </cell>
          <cell r="R323">
            <v>8219</v>
          </cell>
          <cell r="S323">
            <v>3492</v>
          </cell>
          <cell r="T323">
            <v>27</v>
          </cell>
          <cell r="V323">
            <v>206467.96</v>
          </cell>
          <cell r="W323">
            <v>3022.5212347068491</v>
          </cell>
          <cell r="X323">
            <v>14.66</v>
          </cell>
          <cell r="Z323">
            <v>2570.7240849753425</v>
          </cell>
          <cell r="AB323">
            <v>14.35</v>
          </cell>
          <cell r="AD323">
            <v>0.14349999999999999</v>
          </cell>
          <cell r="AE323">
            <v>1.95E-2</v>
          </cell>
          <cell r="AF323">
            <v>4.0000000000000001E-3</v>
          </cell>
          <cell r="AG323">
            <v>0.11999999999999998</v>
          </cell>
        </row>
        <row r="324">
          <cell r="A324" t="str">
            <v>W10045</v>
          </cell>
          <cell r="B324">
            <v>315</v>
          </cell>
          <cell r="C324" t="str">
            <v>SUBHASH JAIN</v>
          </cell>
          <cell r="D324">
            <v>1</v>
          </cell>
          <cell r="E324">
            <v>36427</v>
          </cell>
          <cell r="F324">
            <v>22000000</v>
          </cell>
          <cell r="G324">
            <v>19474828.91</v>
          </cell>
          <cell r="L324">
            <v>0.16389999999999999</v>
          </cell>
          <cell r="O324">
            <v>36860</v>
          </cell>
          <cell r="P324">
            <v>36890</v>
          </cell>
          <cell r="Q324">
            <v>555700</v>
          </cell>
          <cell r="R324">
            <v>293289</v>
          </cell>
          <cell r="S324">
            <v>262411</v>
          </cell>
          <cell r="T324">
            <v>2</v>
          </cell>
          <cell r="V324">
            <v>19181539.91</v>
          </cell>
          <cell r="W324">
            <v>17226.599404104109</v>
          </cell>
          <cell r="X324">
            <v>14.66</v>
          </cell>
          <cell r="Z324">
            <v>238828.56513694793</v>
          </cell>
          <cell r="AB324">
            <v>14.35</v>
          </cell>
          <cell r="AD324">
            <v>0.14349999999999999</v>
          </cell>
          <cell r="AE324">
            <v>1.95E-2</v>
          </cell>
          <cell r="AF324">
            <v>4.0000000000000001E-3</v>
          </cell>
          <cell r="AG324">
            <v>0.11999999999999998</v>
          </cell>
        </row>
        <row r="325">
          <cell r="A325" t="str">
            <v>W10046</v>
          </cell>
          <cell r="B325">
            <v>316</v>
          </cell>
          <cell r="C325" t="str">
            <v>VASAN MEDICAL HALL CFM</v>
          </cell>
          <cell r="D325">
            <v>1</v>
          </cell>
          <cell r="E325">
            <v>36427</v>
          </cell>
          <cell r="F325">
            <v>1125000</v>
          </cell>
          <cell r="G325">
            <v>935779.63</v>
          </cell>
          <cell r="L325">
            <v>0.1729</v>
          </cell>
          <cell r="O325">
            <v>36840</v>
          </cell>
          <cell r="P325">
            <v>36870</v>
          </cell>
          <cell r="Q325">
            <v>27960</v>
          </cell>
          <cell r="R325">
            <v>14658</v>
          </cell>
          <cell r="S325">
            <v>13302</v>
          </cell>
          <cell r="T325">
            <v>22</v>
          </cell>
          <cell r="V325">
            <v>921121.63</v>
          </cell>
          <cell r="W325">
            <v>9599.3491950520547</v>
          </cell>
          <cell r="X325">
            <v>14.66</v>
          </cell>
          <cell r="Z325">
            <v>11468.847560816437</v>
          </cell>
          <cell r="AB325">
            <v>14.35</v>
          </cell>
          <cell r="AD325">
            <v>0.14349999999999999</v>
          </cell>
          <cell r="AE325">
            <v>1.95E-2</v>
          </cell>
          <cell r="AF325">
            <v>4.0000000000000001E-3</v>
          </cell>
          <cell r="AG325">
            <v>0.11999999999999998</v>
          </cell>
        </row>
        <row r="326">
          <cell r="A326" t="str">
            <v>W10050</v>
          </cell>
          <cell r="B326">
            <v>317</v>
          </cell>
          <cell r="C326" t="str">
            <v>MUKUL MEHTA</v>
          </cell>
          <cell r="E326">
            <v>36440</v>
          </cell>
          <cell r="F326">
            <v>1905000</v>
          </cell>
          <cell r="G326">
            <v>1517126</v>
          </cell>
          <cell r="L326">
            <v>0.18290000000000001</v>
          </cell>
          <cell r="O326">
            <v>36794</v>
          </cell>
          <cell r="P326">
            <v>36885</v>
          </cell>
          <cell r="Q326">
            <v>163830</v>
          </cell>
          <cell r="R326">
            <v>94653</v>
          </cell>
          <cell r="S326">
            <v>69177</v>
          </cell>
          <cell r="T326">
            <v>7</v>
          </cell>
          <cell r="V326">
            <v>1422473</v>
          </cell>
          <cell r="W326">
            <v>4989.567621643836</v>
          </cell>
          <cell r="X326">
            <v>14.66</v>
          </cell>
          <cell r="Z326">
            <v>17711.15286520548</v>
          </cell>
          <cell r="AB326">
            <v>14.35</v>
          </cell>
          <cell r="AD326">
            <v>0.14349999999999999</v>
          </cell>
          <cell r="AE326">
            <v>1.95E-2</v>
          </cell>
          <cell r="AF326">
            <v>4.0000000000000001E-3</v>
          </cell>
          <cell r="AG326">
            <v>0.11999999999999998</v>
          </cell>
        </row>
        <row r="327">
          <cell r="A327" t="str">
            <v>W10049</v>
          </cell>
          <cell r="B327">
            <v>318</v>
          </cell>
          <cell r="C327" t="str">
            <v>VASAN MEDICAL HALL CFM</v>
          </cell>
          <cell r="D327">
            <v>2</v>
          </cell>
          <cell r="E327">
            <v>36440</v>
          </cell>
          <cell r="F327">
            <v>315000</v>
          </cell>
          <cell r="G327">
            <v>262225.38</v>
          </cell>
          <cell r="L327">
            <v>0.1726</v>
          </cell>
          <cell r="O327">
            <v>36855</v>
          </cell>
          <cell r="P327">
            <v>36885</v>
          </cell>
          <cell r="Q327">
            <v>7830</v>
          </cell>
          <cell r="R327">
            <v>4111</v>
          </cell>
          <cell r="S327">
            <v>3719</v>
          </cell>
          <cell r="T327">
            <v>7</v>
          </cell>
          <cell r="V327">
            <v>258114.38</v>
          </cell>
          <cell r="W327">
            <v>854.39395593424661</v>
          </cell>
          <cell r="X327">
            <v>14.66</v>
          </cell>
          <cell r="Z327">
            <v>3213.7715379397259</v>
          </cell>
          <cell r="AB327">
            <v>14.35</v>
          </cell>
          <cell r="AD327">
            <v>0.14349999999999999</v>
          </cell>
          <cell r="AE327">
            <v>1.95E-2</v>
          </cell>
          <cell r="AF327">
            <v>4.0000000000000001E-3</v>
          </cell>
          <cell r="AG327">
            <v>0.11999999999999998</v>
          </cell>
        </row>
        <row r="328">
          <cell r="A328" t="str">
            <v>W10052</v>
          </cell>
          <cell r="B328">
            <v>319</v>
          </cell>
          <cell r="C328" t="str">
            <v>S K BOSE</v>
          </cell>
          <cell r="D328">
            <v>1</v>
          </cell>
          <cell r="E328">
            <v>36454</v>
          </cell>
          <cell r="F328">
            <v>1312500</v>
          </cell>
          <cell r="G328">
            <v>913796.21</v>
          </cell>
          <cell r="L328">
            <v>0.1855</v>
          </cell>
          <cell r="O328">
            <v>36837</v>
          </cell>
          <cell r="P328">
            <v>36867</v>
          </cell>
          <cell r="Q328">
            <v>47500</v>
          </cell>
          <cell r="R328">
            <v>33565</v>
          </cell>
          <cell r="S328">
            <v>13935</v>
          </cell>
          <cell r="T328">
            <v>25</v>
          </cell>
          <cell r="V328">
            <v>880231.21</v>
          </cell>
          <cell r="W328">
            <v>11183.759551712326</v>
          </cell>
          <cell r="X328">
            <v>14.66</v>
          </cell>
          <cell r="Z328">
            <v>10959.722621824656</v>
          </cell>
          <cell r="AA328">
            <v>17586.446573424659</v>
          </cell>
          <cell r="AB328">
            <v>14.35</v>
          </cell>
          <cell r="AD328">
            <v>0.14349999999999999</v>
          </cell>
          <cell r="AE328">
            <v>1.95E-2</v>
          </cell>
          <cell r="AF328">
            <v>4.0000000000000001E-3</v>
          </cell>
          <cell r="AG328">
            <v>0.11999999999999998</v>
          </cell>
        </row>
        <row r="329">
          <cell r="A329" t="str">
            <v>W10051</v>
          </cell>
          <cell r="B329">
            <v>320</v>
          </cell>
          <cell r="C329" t="str">
            <v>SPANDAN DIAGNOSTICS &amp; RESEARCH CENTRE PVT LTD</v>
          </cell>
          <cell r="D329">
            <v>2</v>
          </cell>
          <cell r="E329">
            <v>36454</v>
          </cell>
          <cell r="F329">
            <v>1436500</v>
          </cell>
          <cell r="G329">
            <v>1247550.05</v>
          </cell>
          <cell r="L329">
            <v>0.2036</v>
          </cell>
          <cell r="O329">
            <v>36835</v>
          </cell>
          <cell r="P329">
            <v>36865</v>
          </cell>
          <cell r="Q329">
            <v>39850</v>
          </cell>
          <cell r="R329">
            <v>18977</v>
          </cell>
          <cell r="S329">
            <v>20873</v>
          </cell>
          <cell r="T329">
            <v>27</v>
          </cell>
          <cell r="V329">
            <v>1228573.05</v>
          </cell>
          <cell r="W329">
            <v>18503.319919068494</v>
          </cell>
          <cell r="X329">
            <v>15.66</v>
          </cell>
          <cell r="Z329">
            <v>16340.358160356165</v>
          </cell>
          <cell r="AB329">
            <v>14.35</v>
          </cell>
          <cell r="AD329">
            <v>0.14349999999999999</v>
          </cell>
          <cell r="AE329">
            <v>1.95E-2</v>
          </cell>
          <cell r="AF329">
            <v>4.0000000000000001E-3</v>
          </cell>
          <cell r="AG329">
            <v>0.11999999999999998</v>
          </cell>
        </row>
        <row r="330">
          <cell r="A330" t="str">
            <v>W10055</v>
          </cell>
          <cell r="B330">
            <v>321</v>
          </cell>
          <cell r="C330" t="str">
            <v>S  Mohd Akram</v>
          </cell>
          <cell r="D330">
            <v>1</v>
          </cell>
          <cell r="E330">
            <v>36465</v>
          </cell>
          <cell r="F330">
            <v>328000</v>
          </cell>
          <cell r="G330">
            <v>228244.27</v>
          </cell>
          <cell r="L330">
            <v>0.2</v>
          </cell>
          <cell r="O330">
            <v>36836</v>
          </cell>
          <cell r="P330">
            <v>36866</v>
          </cell>
          <cell r="Q330">
            <v>12024</v>
          </cell>
          <cell r="R330">
            <v>8272</v>
          </cell>
          <cell r="S330">
            <v>3752</v>
          </cell>
          <cell r="T330">
            <v>26</v>
          </cell>
          <cell r="V330">
            <v>219972.27</v>
          </cell>
          <cell r="W330">
            <v>3133.8515178082193</v>
          </cell>
          <cell r="X330">
            <v>14.66</v>
          </cell>
          <cell r="Z330">
            <v>2738.8656938136983</v>
          </cell>
          <cell r="AA330">
            <v>20947.946245205479</v>
          </cell>
          <cell r="AB330">
            <v>14.35</v>
          </cell>
          <cell r="AD330">
            <v>0.14349999999999999</v>
          </cell>
          <cell r="AE330">
            <v>1.95E-2</v>
          </cell>
          <cell r="AF330">
            <v>4.0000000000000001E-3</v>
          </cell>
          <cell r="AG330">
            <v>0.11999999999999998</v>
          </cell>
        </row>
        <row r="331">
          <cell r="A331" t="str">
            <v>W10054</v>
          </cell>
          <cell r="B331">
            <v>322</v>
          </cell>
          <cell r="C331" t="str">
            <v>K.C.Jain</v>
          </cell>
          <cell r="D331">
            <v>1</v>
          </cell>
          <cell r="E331">
            <v>36465</v>
          </cell>
          <cell r="F331">
            <v>300000</v>
          </cell>
          <cell r="G331">
            <v>209323.95</v>
          </cell>
          <cell r="L331">
            <v>0.1825</v>
          </cell>
          <cell r="O331">
            <v>36855</v>
          </cell>
          <cell r="P331">
            <v>36885</v>
          </cell>
          <cell r="Q331">
            <v>10850</v>
          </cell>
          <cell r="R331">
            <v>7711</v>
          </cell>
          <cell r="S331">
            <v>3139</v>
          </cell>
          <cell r="T331">
            <v>7</v>
          </cell>
          <cell r="V331">
            <v>201612.95</v>
          </cell>
          <cell r="W331">
            <v>705.64532500000007</v>
          </cell>
          <cell r="X331">
            <v>14.66</v>
          </cell>
          <cell r="Z331">
            <v>2510.2745549863016</v>
          </cell>
          <cell r="AB331">
            <v>14.35</v>
          </cell>
          <cell r="AD331">
            <v>0.14349999999999999</v>
          </cell>
          <cell r="AE331">
            <v>1.95E-2</v>
          </cell>
          <cell r="AF331">
            <v>4.0000000000000001E-3</v>
          </cell>
          <cell r="AG331">
            <v>0.11999999999999998</v>
          </cell>
        </row>
        <row r="332">
          <cell r="A332" t="str">
            <v>W10053</v>
          </cell>
          <cell r="B332">
            <v>323</v>
          </cell>
          <cell r="C332" t="str">
            <v>Mangal Anand Health care ( Forecl. On 01/02/00 )</v>
          </cell>
          <cell r="D332">
            <v>2</v>
          </cell>
          <cell r="E332">
            <v>36465</v>
          </cell>
          <cell r="F332">
            <v>6970000</v>
          </cell>
          <cell r="G332">
            <v>0</v>
          </cell>
          <cell r="L332">
            <v>0.18770000000000001</v>
          </cell>
          <cell r="O332">
            <v>36526</v>
          </cell>
          <cell r="S332">
            <v>0</v>
          </cell>
          <cell r="T332">
            <v>366</v>
          </cell>
          <cell r="V332">
            <v>0</v>
          </cell>
          <cell r="W332">
            <v>0</v>
          </cell>
          <cell r="X332">
            <v>14.66</v>
          </cell>
          <cell r="Z332">
            <v>0</v>
          </cell>
          <cell r="AB332">
            <v>14.35</v>
          </cell>
          <cell r="AD332">
            <v>0.14349999999999999</v>
          </cell>
          <cell r="AE332">
            <v>1.95E-2</v>
          </cell>
          <cell r="AF332">
            <v>4.0000000000000001E-3</v>
          </cell>
          <cell r="AG332">
            <v>0.11999999999999998</v>
          </cell>
        </row>
        <row r="333">
          <cell r="A333" t="str">
            <v>W10059</v>
          </cell>
          <cell r="B333">
            <v>324</v>
          </cell>
          <cell r="C333" t="str">
            <v>Begusarai Diagnsotics P limited</v>
          </cell>
          <cell r="D333">
            <v>1</v>
          </cell>
          <cell r="E333">
            <v>36467</v>
          </cell>
          <cell r="F333">
            <v>5000000</v>
          </cell>
          <cell r="G333">
            <v>4328540.47</v>
          </cell>
          <cell r="L333">
            <v>0.1845</v>
          </cell>
          <cell r="O333">
            <v>36844</v>
          </cell>
          <cell r="P333">
            <v>36874</v>
          </cell>
          <cell r="Q333">
            <v>130000</v>
          </cell>
          <cell r="R333">
            <v>64343</v>
          </cell>
          <cell r="S333">
            <v>65657</v>
          </cell>
          <cell r="T333">
            <v>18</v>
          </cell>
          <cell r="V333">
            <v>4264197.47</v>
          </cell>
          <cell r="W333">
            <v>38798.355610602732</v>
          </cell>
          <cell r="X333">
            <v>14.66</v>
          </cell>
          <cell r="Z333">
            <v>53093.347457978081</v>
          </cell>
          <cell r="AB333">
            <v>14.35</v>
          </cell>
          <cell r="AD333">
            <v>0.14349999999999999</v>
          </cell>
          <cell r="AE333">
            <v>1.95E-2</v>
          </cell>
          <cell r="AF333">
            <v>4.0000000000000001E-3</v>
          </cell>
          <cell r="AG333">
            <v>0.11999999999999998</v>
          </cell>
        </row>
        <row r="334">
          <cell r="A334" t="str">
            <v>W10057</v>
          </cell>
          <cell r="B334">
            <v>325</v>
          </cell>
          <cell r="C334" t="str">
            <v>Mangal Anand Health care ( Forecl. On 01/02/00 )</v>
          </cell>
          <cell r="D334">
            <v>2</v>
          </cell>
          <cell r="E334">
            <v>36467</v>
          </cell>
          <cell r="F334">
            <v>1445000</v>
          </cell>
          <cell r="G334">
            <v>0</v>
          </cell>
          <cell r="L334">
            <v>0.1845</v>
          </cell>
          <cell r="O334">
            <v>36813</v>
          </cell>
          <cell r="S334">
            <v>0</v>
          </cell>
          <cell r="T334">
            <v>79</v>
          </cell>
          <cell r="V334">
            <v>0</v>
          </cell>
          <cell r="W334">
            <v>0</v>
          </cell>
          <cell r="X334">
            <v>14.66</v>
          </cell>
          <cell r="Z334">
            <v>0</v>
          </cell>
          <cell r="AB334">
            <v>14.35</v>
          </cell>
          <cell r="AD334">
            <v>0.14349999999999999</v>
          </cell>
          <cell r="AE334">
            <v>1.95E-2</v>
          </cell>
          <cell r="AF334">
            <v>4.0000000000000001E-3</v>
          </cell>
          <cell r="AG334">
            <v>0.11999999999999998</v>
          </cell>
        </row>
        <row r="335">
          <cell r="A335" t="str">
            <v>W10058</v>
          </cell>
          <cell r="B335">
            <v>326</v>
          </cell>
          <cell r="C335" t="str">
            <v>Nagpur nuclear medicine</v>
          </cell>
          <cell r="D335">
            <v>1</v>
          </cell>
          <cell r="E335">
            <v>36467</v>
          </cell>
          <cell r="F335">
            <v>6412500</v>
          </cell>
          <cell r="G335">
            <v>5961026</v>
          </cell>
          <cell r="L335">
            <v>0.2</v>
          </cell>
          <cell r="O335">
            <v>36811</v>
          </cell>
          <cell r="S335">
            <v>0</v>
          </cell>
          <cell r="T335">
            <v>81</v>
          </cell>
          <cell r="V335">
            <v>5961026</v>
          </cell>
          <cell r="W335">
            <v>264571.56493150687</v>
          </cell>
          <cell r="X335">
            <v>14.66</v>
          </cell>
          <cell r="Z335">
            <v>74220.489752328765</v>
          </cell>
          <cell r="AB335">
            <v>14.35</v>
          </cell>
          <cell r="AD335">
            <v>0.14349999999999999</v>
          </cell>
          <cell r="AE335">
            <v>1.95E-2</v>
          </cell>
          <cell r="AF335">
            <v>4.0000000000000001E-3</v>
          </cell>
          <cell r="AG335">
            <v>0.11999999999999998</v>
          </cell>
        </row>
        <row r="336">
          <cell r="A336" t="str">
            <v>W10063</v>
          </cell>
          <cell r="B336">
            <v>327</v>
          </cell>
          <cell r="C336" t="str">
            <v>AMRI-2</v>
          </cell>
          <cell r="D336">
            <v>2</v>
          </cell>
          <cell r="E336">
            <v>36483</v>
          </cell>
          <cell r="F336">
            <v>920000</v>
          </cell>
          <cell r="G336">
            <v>638759.19999999995</v>
          </cell>
          <cell r="L336">
            <v>0.18740000000000001</v>
          </cell>
          <cell r="O336">
            <v>36859</v>
          </cell>
          <cell r="P336">
            <v>36889</v>
          </cell>
          <cell r="Q336">
            <v>33260</v>
          </cell>
          <cell r="R336">
            <v>23420</v>
          </cell>
          <cell r="S336">
            <v>9840</v>
          </cell>
          <cell r="T336">
            <v>3</v>
          </cell>
          <cell r="V336">
            <v>615339.19999999995</v>
          </cell>
          <cell r="W336">
            <v>947.79095408219166</v>
          </cell>
          <cell r="X336">
            <v>14.66</v>
          </cell>
          <cell r="AB336">
            <v>14.35</v>
          </cell>
          <cell r="AD336">
            <v>0.14349999999999999</v>
          </cell>
          <cell r="AE336">
            <v>1.95E-2</v>
          </cell>
          <cell r="AF336">
            <v>4.0000000000000001E-3</v>
          </cell>
          <cell r="AG336">
            <v>0.11999999999999998</v>
          </cell>
        </row>
        <row r="337">
          <cell r="A337" t="str">
            <v>W10061</v>
          </cell>
          <cell r="B337">
            <v>328</v>
          </cell>
          <cell r="C337" t="str">
            <v>SETHU SCAN SERVICES</v>
          </cell>
          <cell r="D337">
            <v>1</v>
          </cell>
          <cell r="E337">
            <v>36483</v>
          </cell>
          <cell r="F337">
            <v>1200000</v>
          </cell>
          <cell r="G337">
            <v>1036521</v>
          </cell>
          <cell r="L337">
            <v>0.18060000000000001</v>
          </cell>
          <cell r="O337">
            <v>36846</v>
          </cell>
          <cell r="P337">
            <v>36876</v>
          </cell>
          <cell r="Q337">
            <v>30475</v>
          </cell>
          <cell r="R337">
            <v>15086</v>
          </cell>
          <cell r="S337">
            <v>15389</v>
          </cell>
          <cell r="T337">
            <v>16</v>
          </cell>
          <cell r="V337">
            <v>1021435</v>
          </cell>
          <cell r="W337">
            <v>8086.4070575342475</v>
          </cell>
          <cell r="X337">
            <v>14.66</v>
          </cell>
          <cell r="AB337">
            <v>14.35</v>
          </cell>
          <cell r="AD337">
            <v>0.14349999999999999</v>
          </cell>
          <cell r="AE337">
            <v>1.95E-2</v>
          </cell>
          <cell r="AF337">
            <v>4.0000000000000001E-3</v>
          </cell>
          <cell r="AG337">
            <v>0.11999999999999998</v>
          </cell>
        </row>
        <row r="338">
          <cell r="A338" t="str">
            <v>W10062</v>
          </cell>
          <cell r="B338">
            <v>329</v>
          </cell>
          <cell r="C338" t="str">
            <v>SUBHASH JAIN</v>
          </cell>
          <cell r="D338">
            <v>1</v>
          </cell>
          <cell r="E338">
            <v>36483</v>
          </cell>
          <cell r="F338">
            <v>1875000</v>
          </cell>
          <cell r="G338">
            <v>1583106.83</v>
          </cell>
          <cell r="L338">
            <v>0.18279999999999999</v>
          </cell>
          <cell r="O338">
            <v>36858</v>
          </cell>
          <cell r="P338">
            <v>36888</v>
          </cell>
          <cell r="Q338">
            <v>47400</v>
          </cell>
          <cell r="R338">
            <v>23616</v>
          </cell>
          <cell r="S338">
            <v>23784</v>
          </cell>
          <cell r="T338">
            <v>4</v>
          </cell>
          <cell r="V338">
            <v>1559490.83</v>
          </cell>
          <cell r="W338">
            <v>3124.1087531397256</v>
          </cell>
          <cell r="X338">
            <v>14.66</v>
          </cell>
          <cell r="AB338">
            <v>14.35</v>
          </cell>
          <cell r="AD338">
            <v>0.14349999999999999</v>
          </cell>
          <cell r="AE338">
            <v>1.95E-2</v>
          </cell>
          <cell r="AF338">
            <v>4.0000000000000001E-3</v>
          </cell>
          <cell r="AG338">
            <v>0.11999999999999998</v>
          </cell>
        </row>
        <row r="339">
          <cell r="A339" t="str">
            <v>W10060</v>
          </cell>
          <cell r="B339">
            <v>330</v>
          </cell>
          <cell r="C339" t="str">
            <v>VISHAKHA HOSPITAL &amp; DIAGNOSTIC</v>
          </cell>
          <cell r="D339">
            <v>1</v>
          </cell>
          <cell r="E339">
            <v>36483</v>
          </cell>
          <cell r="F339">
            <v>8560000</v>
          </cell>
          <cell r="G339">
            <v>6582114.2999999998</v>
          </cell>
          <cell r="L339">
            <v>0.1862</v>
          </cell>
          <cell r="O339">
            <v>36860</v>
          </cell>
          <cell r="P339">
            <v>36890</v>
          </cell>
          <cell r="Q339">
            <v>309465</v>
          </cell>
          <cell r="R339">
            <v>208730</v>
          </cell>
          <cell r="S339">
            <v>100735</v>
          </cell>
          <cell r="T339">
            <v>2</v>
          </cell>
          <cell r="V339">
            <v>6373384.2999999998</v>
          </cell>
          <cell r="W339">
            <v>6502.5981186849322</v>
          </cell>
          <cell r="X339">
            <v>14.66</v>
          </cell>
          <cell r="AB339">
            <v>14.35</v>
          </cell>
          <cell r="AD339">
            <v>0.14349999999999999</v>
          </cell>
          <cell r="AE339">
            <v>1.95E-2</v>
          </cell>
          <cell r="AF339">
            <v>4.0000000000000001E-3</v>
          </cell>
          <cell r="AG339">
            <v>0.11999999999999998</v>
          </cell>
        </row>
        <row r="340">
          <cell r="A340" t="str">
            <v>W10064</v>
          </cell>
          <cell r="B340">
            <v>331</v>
          </cell>
          <cell r="C340" t="str">
            <v>DEBASIS  PADHI</v>
          </cell>
          <cell r="D340">
            <v>1</v>
          </cell>
          <cell r="E340">
            <v>36488</v>
          </cell>
          <cell r="F340">
            <v>471368</v>
          </cell>
          <cell r="G340">
            <v>332009.84000000003</v>
          </cell>
          <cell r="L340">
            <v>0.19409999999999999</v>
          </cell>
          <cell r="O340">
            <v>36846</v>
          </cell>
          <cell r="P340">
            <v>36876</v>
          </cell>
          <cell r="Q340">
            <v>18050</v>
          </cell>
          <cell r="R340">
            <v>12753</v>
          </cell>
          <cell r="S340">
            <v>5297</v>
          </cell>
          <cell r="T340">
            <v>16</v>
          </cell>
          <cell r="V340">
            <v>319256.84000000003</v>
          </cell>
          <cell r="W340">
            <v>2716.3946364493154</v>
          </cell>
          <cell r="X340">
            <v>14.66</v>
          </cell>
          <cell r="AB340">
            <v>14.35</v>
          </cell>
          <cell r="AD340">
            <v>0.14349999999999999</v>
          </cell>
          <cell r="AE340">
            <v>1.95E-2</v>
          </cell>
          <cell r="AF340">
            <v>4.0000000000000001E-3</v>
          </cell>
          <cell r="AG340">
            <v>0.11999999999999998</v>
          </cell>
        </row>
        <row r="341">
          <cell r="A341" t="str">
            <v>W10065</v>
          </cell>
          <cell r="B341">
            <v>332</v>
          </cell>
          <cell r="C341" t="str">
            <v>ASHOK G. JOSHI</v>
          </cell>
          <cell r="D341">
            <v>1</v>
          </cell>
          <cell r="E341">
            <v>36490</v>
          </cell>
          <cell r="F341">
            <v>270400</v>
          </cell>
          <cell r="G341">
            <v>195216.51</v>
          </cell>
          <cell r="L341">
            <v>0.1988</v>
          </cell>
          <cell r="O341">
            <v>36835</v>
          </cell>
          <cell r="P341">
            <v>36865</v>
          </cell>
          <cell r="Q341">
            <v>9921</v>
          </cell>
          <cell r="R341">
            <v>6731</v>
          </cell>
          <cell r="S341">
            <v>3190</v>
          </cell>
          <cell r="T341">
            <v>27</v>
          </cell>
          <cell r="V341">
            <v>188485.51</v>
          </cell>
          <cell r="W341">
            <v>2771.8214341808221</v>
          </cell>
          <cell r="X341">
            <v>14.66</v>
          </cell>
          <cell r="AB341">
            <v>14.35</v>
          </cell>
          <cell r="AD341">
            <v>0.14349999999999999</v>
          </cell>
          <cell r="AE341">
            <v>1.95E-2</v>
          </cell>
          <cell r="AF341">
            <v>4.0000000000000001E-3</v>
          </cell>
          <cell r="AG341">
            <v>0.11999999999999998</v>
          </cell>
        </row>
        <row r="342">
          <cell r="A342" t="str">
            <v>W10068</v>
          </cell>
          <cell r="B342">
            <v>333</v>
          </cell>
          <cell r="C342" t="str">
            <v>A K TYAGI</v>
          </cell>
          <cell r="D342">
            <v>2</v>
          </cell>
          <cell r="E342">
            <v>36503</v>
          </cell>
          <cell r="F342">
            <v>1000000</v>
          </cell>
          <cell r="G342">
            <v>878120.85</v>
          </cell>
          <cell r="L342">
            <v>0.1923</v>
          </cell>
          <cell r="O342">
            <v>36833</v>
          </cell>
          <cell r="P342">
            <v>36863</v>
          </cell>
          <cell r="Q342">
            <v>26000</v>
          </cell>
          <cell r="R342">
            <v>12118</v>
          </cell>
          <cell r="S342">
            <v>13882</v>
          </cell>
          <cell r="T342">
            <v>29</v>
          </cell>
          <cell r="V342">
            <v>866002.85</v>
          </cell>
          <cell r="W342">
            <v>13231.337242726027</v>
          </cell>
          <cell r="X342">
            <v>14.66</v>
          </cell>
          <cell r="AB342">
            <v>14.35</v>
          </cell>
          <cell r="AD342">
            <v>0.14349999999999999</v>
          </cell>
          <cell r="AE342">
            <v>1.95E-2</v>
          </cell>
          <cell r="AF342">
            <v>4.0000000000000001E-3</v>
          </cell>
          <cell r="AG342">
            <v>0.11999999999999998</v>
          </cell>
        </row>
        <row r="343">
          <cell r="A343" t="str">
            <v>W10066</v>
          </cell>
          <cell r="B343">
            <v>334</v>
          </cell>
          <cell r="C343" t="str">
            <v>HOSMAT HOSPITAL</v>
          </cell>
          <cell r="D343">
            <v>1</v>
          </cell>
          <cell r="E343">
            <v>36503</v>
          </cell>
          <cell r="F343">
            <v>304230</v>
          </cell>
          <cell r="G343">
            <v>259570.79</v>
          </cell>
          <cell r="L343">
            <v>0.20150000000000001</v>
          </cell>
          <cell r="O343">
            <v>36845</v>
          </cell>
          <cell r="P343">
            <v>36875</v>
          </cell>
          <cell r="Q343">
            <v>8143</v>
          </cell>
          <cell r="R343">
            <v>3843</v>
          </cell>
          <cell r="S343">
            <v>4300</v>
          </cell>
          <cell r="T343">
            <v>17</v>
          </cell>
          <cell r="V343">
            <v>255727.79</v>
          </cell>
          <cell r="W343">
            <v>2399.9877935479458</v>
          </cell>
          <cell r="X343">
            <v>14.66</v>
          </cell>
          <cell r="AB343">
            <v>14.35</v>
          </cell>
          <cell r="AD343">
            <v>0.14349999999999999</v>
          </cell>
          <cell r="AE343">
            <v>1.95E-2</v>
          </cell>
          <cell r="AF343">
            <v>4.0000000000000001E-3</v>
          </cell>
          <cell r="AG343">
            <v>0.11999999999999998</v>
          </cell>
        </row>
        <row r="344">
          <cell r="A344" t="str">
            <v>W10070</v>
          </cell>
          <cell r="B344">
            <v>335</v>
          </cell>
          <cell r="C344" t="str">
            <v>NORTH BENGAL NEURO RESEARCH</v>
          </cell>
          <cell r="D344">
            <v>1</v>
          </cell>
          <cell r="E344">
            <v>36503</v>
          </cell>
          <cell r="F344">
            <v>6102000</v>
          </cell>
          <cell r="G344">
            <v>5636625.8099999996</v>
          </cell>
          <cell r="L344">
            <v>0.16650000000000001</v>
          </cell>
          <cell r="O344">
            <v>36832</v>
          </cell>
          <cell r="P344">
            <v>36862</v>
          </cell>
          <cell r="Q344">
            <v>159264</v>
          </cell>
          <cell r="R344">
            <v>82132</v>
          </cell>
          <cell r="S344">
            <v>77132</v>
          </cell>
          <cell r="T344">
            <v>30</v>
          </cell>
          <cell r="V344">
            <v>5554493.8099999996</v>
          </cell>
          <cell r="W344">
            <v>76012.867345068487</v>
          </cell>
          <cell r="X344">
            <v>14.66</v>
          </cell>
          <cell r="AB344">
            <v>14.35</v>
          </cell>
          <cell r="AD344">
            <v>0.14349999999999999</v>
          </cell>
          <cell r="AE344">
            <v>1.95E-2</v>
          </cell>
          <cell r="AF344">
            <v>4.0000000000000001E-3</v>
          </cell>
          <cell r="AG344">
            <v>0.11999999999999998</v>
          </cell>
        </row>
        <row r="345">
          <cell r="A345" t="str">
            <v>W10074</v>
          </cell>
          <cell r="B345">
            <v>336</v>
          </cell>
          <cell r="C345" t="str">
            <v>SANJUKTA PATNAIK</v>
          </cell>
          <cell r="D345">
            <v>1</v>
          </cell>
          <cell r="E345">
            <v>36508</v>
          </cell>
          <cell r="F345">
            <v>360344</v>
          </cell>
          <cell r="G345">
            <v>256912.22</v>
          </cell>
          <cell r="L345">
            <v>0.19719999999999999</v>
          </cell>
          <cell r="O345">
            <v>36857</v>
          </cell>
          <cell r="P345">
            <v>36887</v>
          </cell>
          <cell r="Q345">
            <v>13500</v>
          </cell>
          <cell r="R345">
            <v>9335</v>
          </cell>
          <cell r="S345">
            <v>4165</v>
          </cell>
          <cell r="T345">
            <v>5</v>
          </cell>
          <cell r="V345">
            <v>247577.22</v>
          </cell>
          <cell r="W345">
            <v>668.79764087671219</v>
          </cell>
          <cell r="X345">
            <v>14.66</v>
          </cell>
          <cell r="AB345">
            <v>14.35</v>
          </cell>
          <cell r="AD345">
            <v>0.14349999999999999</v>
          </cell>
          <cell r="AE345">
            <v>1.95E-2</v>
          </cell>
          <cell r="AF345">
            <v>4.0000000000000001E-3</v>
          </cell>
          <cell r="AG345">
            <v>0.11999999999999998</v>
          </cell>
        </row>
        <row r="346">
          <cell r="A346" t="str">
            <v>W10071</v>
          </cell>
          <cell r="B346">
            <v>337</v>
          </cell>
          <cell r="C346" t="str">
            <v>JAI MAHAKALI ULTRASOUND X RAY &amp; PATHOLOGY CENTRE</v>
          </cell>
          <cell r="D346">
            <v>1</v>
          </cell>
          <cell r="E346">
            <v>36508</v>
          </cell>
          <cell r="F346">
            <v>1180000</v>
          </cell>
          <cell r="G346">
            <v>1013932.98</v>
          </cell>
          <cell r="L346">
            <v>0.1842</v>
          </cell>
          <cell r="O346">
            <v>36858</v>
          </cell>
          <cell r="P346">
            <v>36888</v>
          </cell>
          <cell r="Q346">
            <v>30000</v>
          </cell>
          <cell r="R346">
            <v>14649</v>
          </cell>
          <cell r="S346">
            <v>15351</v>
          </cell>
          <cell r="T346">
            <v>4</v>
          </cell>
          <cell r="V346">
            <v>999283.98</v>
          </cell>
          <cell r="W346">
            <v>2017.1847574356161</v>
          </cell>
          <cell r="X346">
            <v>14.66</v>
          </cell>
          <cell r="AB346">
            <v>14.35</v>
          </cell>
          <cell r="AD346">
            <v>0.14349999999999999</v>
          </cell>
          <cell r="AE346">
            <v>1.95E-2</v>
          </cell>
          <cell r="AF346">
            <v>4.0000000000000001E-3</v>
          </cell>
          <cell r="AG346">
            <v>0.11999999999999998</v>
          </cell>
        </row>
        <row r="347">
          <cell r="A347" t="str">
            <v>W10067</v>
          </cell>
          <cell r="B347">
            <v>338</v>
          </cell>
          <cell r="C347" t="str">
            <v>MOHAN LAL SINDHI</v>
          </cell>
          <cell r="D347">
            <v>1</v>
          </cell>
          <cell r="E347">
            <v>36508</v>
          </cell>
          <cell r="F347">
            <v>440370</v>
          </cell>
          <cell r="G347">
            <v>324467.13</v>
          </cell>
          <cell r="L347">
            <v>0.17399999999999999</v>
          </cell>
          <cell r="O347">
            <v>36834</v>
          </cell>
          <cell r="P347">
            <v>36864</v>
          </cell>
          <cell r="Q347">
            <v>16100</v>
          </cell>
          <cell r="R347">
            <v>11460</v>
          </cell>
          <cell r="S347">
            <v>4640</v>
          </cell>
          <cell r="T347">
            <v>28</v>
          </cell>
          <cell r="V347">
            <v>313007.13</v>
          </cell>
          <cell r="W347">
            <v>4178.0020201643829</v>
          </cell>
          <cell r="X347">
            <v>14.66</v>
          </cell>
          <cell r="AB347">
            <v>14.35</v>
          </cell>
          <cell r="AD347">
            <v>0.14349999999999999</v>
          </cell>
          <cell r="AE347">
            <v>1.95E-2</v>
          </cell>
          <cell r="AF347">
            <v>4.0000000000000001E-3</v>
          </cell>
          <cell r="AG347">
            <v>0.11999999999999998</v>
          </cell>
        </row>
        <row r="348">
          <cell r="A348" t="str">
            <v>W10075</v>
          </cell>
          <cell r="B348">
            <v>339</v>
          </cell>
          <cell r="C348" t="str">
            <v>AMRI-3</v>
          </cell>
          <cell r="D348">
            <v>2</v>
          </cell>
          <cell r="E348">
            <v>36509</v>
          </cell>
          <cell r="F348">
            <v>1208800</v>
          </cell>
          <cell r="G348">
            <v>902064.57</v>
          </cell>
          <cell r="L348">
            <v>0.184</v>
          </cell>
          <cell r="O348">
            <v>36833</v>
          </cell>
          <cell r="P348">
            <v>36863</v>
          </cell>
          <cell r="Q348">
            <v>43700</v>
          </cell>
          <cell r="R348">
            <v>30055</v>
          </cell>
          <cell r="S348">
            <v>13645</v>
          </cell>
          <cell r="T348">
            <v>29</v>
          </cell>
          <cell r="V348">
            <v>872009.57</v>
          </cell>
          <cell r="W348">
            <v>12748.063193205478</v>
          </cell>
          <cell r="X348">
            <v>14.66</v>
          </cell>
          <cell r="AB348">
            <v>14.35</v>
          </cell>
          <cell r="AD348">
            <v>0.14349999999999999</v>
          </cell>
          <cell r="AE348">
            <v>1.95E-2</v>
          </cell>
          <cell r="AF348">
            <v>4.0000000000000001E-3</v>
          </cell>
          <cell r="AG348">
            <v>0.11999999999999998</v>
          </cell>
        </row>
        <row r="349">
          <cell r="A349" t="str">
            <v>W10076</v>
          </cell>
          <cell r="B349">
            <v>340</v>
          </cell>
          <cell r="C349" t="str">
            <v>Skylab Assam Pvt Limited</v>
          </cell>
          <cell r="D349">
            <v>1</v>
          </cell>
          <cell r="E349">
            <v>36514</v>
          </cell>
          <cell r="F349">
            <v>1774400</v>
          </cell>
          <cell r="G349">
            <v>1443526.67</v>
          </cell>
          <cell r="L349">
            <v>0.19339999999999999</v>
          </cell>
          <cell r="O349">
            <v>36837</v>
          </cell>
          <cell r="P349">
            <v>36867</v>
          </cell>
          <cell r="Q349">
            <v>52517</v>
          </cell>
          <cell r="R349">
            <v>29603</v>
          </cell>
          <cell r="S349">
            <v>22914</v>
          </cell>
          <cell r="T349">
            <v>25</v>
          </cell>
          <cell r="V349">
            <v>1413923.67</v>
          </cell>
          <cell r="W349">
            <v>18729.646423150683</v>
          </cell>
          <cell r="X349">
            <v>14.66</v>
          </cell>
          <cell r="AB349">
            <v>14.35</v>
          </cell>
          <cell r="AD349">
            <v>0.14349999999999999</v>
          </cell>
          <cell r="AE349">
            <v>1.95E-2</v>
          </cell>
          <cell r="AF349">
            <v>4.0000000000000001E-3</v>
          </cell>
          <cell r="AG349">
            <v>0.11999999999999998</v>
          </cell>
        </row>
        <row r="350">
          <cell r="A350" t="str">
            <v>W10078</v>
          </cell>
          <cell r="B350">
            <v>341</v>
          </cell>
          <cell r="C350" t="str">
            <v>DIAGNOSIS</v>
          </cell>
          <cell r="D350">
            <v>1</v>
          </cell>
          <cell r="E350">
            <v>36516</v>
          </cell>
          <cell r="F350">
            <v>800000</v>
          </cell>
          <cell r="G350">
            <v>600542.36</v>
          </cell>
          <cell r="L350">
            <v>0.192</v>
          </cell>
          <cell r="O350">
            <v>36846</v>
          </cell>
          <cell r="P350">
            <v>36876</v>
          </cell>
          <cell r="Q350">
            <v>29325</v>
          </cell>
          <cell r="R350">
            <v>19848</v>
          </cell>
          <cell r="S350">
            <v>9477</v>
          </cell>
          <cell r="T350">
            <v>16</v>
          </cell>
          <cell r="V350">
            <v>580694.36</v>
          </cell>
          <cell r="W350">
            <v>4887.3782847123293</v>
          </cell>
          <cell r="X350">
            <v>14.66</v>
          </cell>
          <cell r="AB350">
            <v>14.35</v>
          </cell>
          <cell r="AD350">
            <v>0.14349999999999999</v>
          </cell>
          <cell r="AE350">
            <v>1.95E-2</v>
          </cell>
          <cell r="AF350">
            <v>4.0000000000000001E-3</v>
          </cell>
          <cell r="AG350">
            <v>0.11999999999999998</v>
          </cell>
        </row>
        <row r="351">
          <cell r="A351" t="str">
            <v>W10077</v>
          </cell>
          <cell r="B351">
            <v>342</v>
          </cell>
          <cell r="C351" t="str">
            <v>M THILAGABAMA</v>
          </cell>
          <cell r="D351">
            <v>1</v>
          </cell>
          <cell r="E351">
            <v>36516</v>
          </cell>
          <cell r="F351">
            <v>356250</v>
          </cell>
          <cell r="G351">
            <v>265757.68</v>
          </cell>
          <cell r="L351">
            <v>0.1845</v>
          </cell>
          <cell r="O351">
            <v>36839</v>
          </cell>
          <cell r="P351">
            <v>36869</v>
          </cell>
          <cell r="Q351">
            <v>12880</v>
          </cell>
          <cell r="R351">
            <v>8851</v>
          </cell>
          <cell r="S351">
            <v>4029</v>
          </cell>
          <cell r="T351">
            <v>23</v>
          </cell>
          <cell r="V351">
            <v>256906.68</v>
          </cell>
          <cell r="W351">
            <v>2986.8041002191781</v>
          </cell>
          <cell r="X351">
            <v>14.66</v>
          </cell>
          <cell r="AB351">
            <v>14.35</v>
          </cell>
          <cell r="AD351">
            <v>0.14349999999999999</v>
          </cell>
          <cell r="AE351">
            <v>1.95E-2</v>
          </cell>
          <cell r="AF351">
            <v>4.0000000000000001E-3</v>
          </cell>
          <cell r="AG351">
            <v>0.11999999999999998</v>
          </cell>
        </row>
        <row r="352">
          <cell r="A352" t="str">
            <v>W10069</v>
          </cell>
          <cell r="B352">
            <v>343</v>
          </cell>
          <cell r="C352" t="str">
            <v>S.P.SINGH</v>
          </cell>
          <cell r="D352">
            <v>1</v>
          </cell>
          <cell r="E352">
            <v>36517</v>
          </cell>
          <cell r="F352">
            <v>1187543</v>
          </cell>
          <cell r="G352">
            <v>1029395.84</v>
          </cell>
          <cell r="L352">
            <v>0.185</v>
          </cell>
          <cell r="O352">
            <v>36832</v>
          </cell>
          <cell r="P352">
            <v>36862</v>
          </cell>
          <cell r="Q352">
            <v>30500</v>
          </cell>
          <cell r="R352">
            <v>14849</v>
          </cell>
          <cell r="S352">
            <v>15651</v>
          </cell>
          <cell r="T352">
            <v>30</v>
          </cell>
          <cell r="V352">
            <v>1014546.84</v>
          </cell>
          <cell r="W352">
            <v>15426.671128767122</v>
          </cell>
          <cell r="X352">
            <v>14.66</v>
          </cell>
          <cell r="AB352">
            <v>14.35</v>
          </cell>
          <cell r="AD352">
            <v>0.14349999999999999</v>
          </cell>
          <cell r="AE352">
            <v>1.95E-2</v>
          </cell>
          <cell r="AF352">
            <v>4.0000000000000001E-3</v>
          </cell>
          <cell r="AG352">
            <v>0.11999999999999998</v>
          </cell>
        </row>
        <row r="354">
          <cell r="C354" t="str">
            <v>TOTAL</v>
          </cell>
          <cell r="F354">
            <v>1260506942</v>
          </cell>
          <cell r="G354">
            <v>396347545.38999993</v>
          </cell>
          <cell r="M354">
            <v>0</v>
          </cell>
          <cell r="N354">
            <v>136529</v>
          </cell>
          <cell r="Q354">
            <v>21818467</v>
          </cell>
          <cell r="R354">
            <v>14394295</v>
          </cell>
          <cell r="S354">
            <v>7424172</v>
          </cell>
          <cell r="U354">
            <v>0</v>
          </cell>
          <cell r="V354">
            <v>381816721.38999993</v>
          </cell>
          <cell r="W354">
            <v>5365777.3009917978</v>
          </cell>
          <cell r="Y354">
            <v>0</v>
          </cell>
          <cell r="Z354">
            <v>2632628.4634786039</v>
          </cell>
        </row>
        <row r="356">
          <cell r="A356" t="str">
            <v>AGREEMENT</v>
          </cell>
          <cell r="B356" t="str">
            <v>S. NO.</v>
          </cell>
          <cell r="C356" t="str">
            <v>CUSTOMER NAME</v>
          </cell>
          <cell r="D356" t="str">
            <v>TR. NO</v>
          </cell>
          <cell r="G356" t="str">
            <v>O/S PRIN.</v>
          </cell>
          <cell r="H356" t="str">
            <v xml:space="preserve"> INT.</v>
          </cell>
          <cell r="I356" t="str">
            <v>NEW INT</v>
          </cell>
          <cell r="J356" t="str">
            <v>OLD INT</v>
          </cell>
          <cell r="L356" t="str">
            <v>NEW INT</v>
          </cell>
          <cell r="M356" t="str">
            <v>Addition</v>
          </cell>
          <cell r="N356" t="str">
            <v>Deletions</v>
          </cell>
          <cell r="O356" t="str">
            <v>LAST DUE</v>
          </cell>
          <cell r="P356" t="str">
            <v>DUE DATE</v>
          </cell>
          <cell r="Q356" t="str">
            <v>INST DUE</v>
          </cell>
          <cell r="R356" t="str">
            <v>PRINCIPAL</v>
          </cell>
          <cell r="S356" t="str">
            <v>INTEREST</v>
          </cell>
          <cell r="T356" t="str">
            <v>No of days</v>
          </cell>
          <cell r="U356" t="str">
            <v>No of days</v>
          </cell>
          <cell r="V356" t="str">
            <v>O/S PRIN.</v>
          </cell>
          <cell r="W356" t="str">
            <v>ACCRUAL</v>
          </cell>
        </row>
        <row r="357">
          <cell r="A357" t="str">
            <v>NO.</v>
          </cell>
          <cell r="E357" t="str">
            <v>Fund Date</v>
          </cell>
          <cell r="F357" t="str">
            <v>Principal</v>
          </cell>
          <cell r="G357" t="str">
            <v>TILL 30/11/00</v>
          </cell>
          <cell r="H357" t="str">
            <v>RATE</v>
          </cell>
          <cell r="I357" t="str">
            <v>RATE</v>
          </cell>
          <cell r="J357" t="str">
            <v>RATE</v>
          </cell>
          <cell r="K357" t="str">
            <v>ADJUSTMENT</v>
          </cell>
          <cell r="L357" t="str">
            <v>RATE</v>
          </cell>
          <cell r="M357" t="str">
            <v>in Dec00</v>
          </cell>
          <cell r="N357" t="str">
            <v>in Dec00</v>
          </cell>
          <cell r="O357" t="str">
            <v>DATE</v>
          </cell>
          <cell r="P357" t="str">
            <v>in Dec00</v>
          </cell>
          <cell r="T357" t="str">
            <v>TILL 31/12/00</v>
          </cell>
          <cell r="U357" t="str">
            <v>till 30/9/99</v>
          </cell>
          <cell r="V357" t="str">
            <v>TILL 31/12/00</v>
          </cell>
          <cell r="W357" t="str">
            <v>AMOUNT</v>
          </cell>
          <cell r="Y357" t="str">
            <v>COLLATERAL</v>
          </cell>
          <cell r="Z357" t="str">
            <v>INTEREST COST</v>
          </cell>
        </row>
        <row r="358">
          <cell r="O358" t="str">
            <v>(bef 1/12/00)</v>
          </cell>
        </row>
        <row r="361">
          <cell r="A361" t="str">
            <v>W10080</v>
          </cell>
          <cell r="B361">
            <v>344</v>
          </cell>
          <cell r="C361" t="str">
            <v>SRI CHENNAI SCANS &amp; RESEARCH CENTRE (P) LTD.</v>
          </cell>
          <cell r="D361">
            <v>1</v>
          </cell>
          <cell r="E361">
            <v>36558</v>
          </cell>
          <cell r="F361">
            <v>1350000</v>
          </cell>
          <cell r="G361">
            <v>1190565.3400000001</v>
          </cell>
          <cell r="L361">
            <v>0.18459999999999999</v>
          </cell>
          <cell r="O361">
            <v>36854</v>
          </cell>
          <cell r="P361">
            <v>36884</v>
          </cell>
          <cell r="Q361">
            <v>34300</v>
          </cell>
          <cell r="R361">
            <v>16232</v>
          </cell>
          <cell r="S361">
            <v>18068</v>
          </cell>
          <cell r="T361">
            <v>8</v>
          </cell>
          <cell r="V361">
            <v>1174333.3400000001</v>
          </cell>
          <cell r="W361">
            <v>4751.3848671561645</v>
          </cell>
          <cell r="X361">
            <v>14.66</v>
          </cell>
          <cell r="AB361">
            <v>14.35</v>
          </cell>
          <cell r="AD361">
            <v>0.14349999999999999</v>
          </cell>
          <cell r="AE361">
            <v>1.95E-2</v>
          </cell>
          <cell r="AF361">
            <v>4.0000000000000001E-3</v>
          </cell>
          <cell r="AG361">
            <v>0.11999999999999998</v>
          </cell>
        </row>
        <row r="362">
          <cell r="A362" t="str">
            <v>W10079</v>
          </cell>
          <cell r="B362">
            <v>345</v>
          </cell>
          <cell r="C362" t="str">
            <v>SUBHRA JAIN</v>
          </cell>
          <cell r="D362">
            <v>1</v>
          </cell>
          <cell r="E362">
            <v>36558</v>
          </cell>
          <cell r="F362">
            <v>1080000</v>
          </cell>
          <cell r="G362">
            <v>951601.23</v>
          </cell>
          <cell r="L362">
            <v>0.16220000000000001</v>
          </cell>
          <cell r="O362">
            <v>36849</v>
          </cell>
          <cell r="P362">
            <v>36879</v>
          </cell>
          <cell r="Q362">
            <v>26300</v>
          </cell>
          <cell r="R362">
            <v>13615</v>
          </cell>
          <cell r="S362">
            <v>12685</v>
          </cell>
          <cell r="T362">
            <v>13</v>
          </cell>
          <cell r="V362">
            <v>937986.23</v>
          </cell>
          <cell r="W362">
            <v>5418.7336015835617</v>
          </cell>
          <cell r="X362">
            <v>14.66</v>
          </cell>
          <cell r="AB362">
            <v>14.35</v>
          </cell>
          <cell r="AD362">
            <v>0.14349999999999999</v>
          </cell>
          <cell r="AE362">
            <v>1.95E-2</v>
          </cell>
          <cell r="AF362">
            <v>4.0000000000000001E-3</v>
          </cell>
          <cell r="AG362">
            <v>0.11999999999999998</v>
          </cell>
        </row>
        <row r="363">
          <cell r="A363" t="str">
            <v>W10081</v>
          </cell>
          <cell r="B363">
            <v>346</v>
          </cell>
          <cell r="C363" t="str">
            <v>SUSHEELA JOHNY</v>
          </cell>
          <cell r="D363">
            <v>1</v>
          </cell>
          <cell r="E363">
            <v>36558</v>
          </cell>
          <cell r="F363">
            <v>820000</v>
          </cell>
          <cell r="G363">
            <v>620020.92000000004</v>
          </cell>
          <cell r="L363">
            <v>0.18479999999999999</v>
          </cell>
          <cell r="O363">
            <v>36834</v>
          </cell>
          <cell r="P363">
            <v>36864</v>
          </cell>
          <cell r="Q363">
            <v>30060</v>
          </cell>
          <cell r="R363">
            <v>20642</v>
          </cell>
          <cell r="S363">
            <v>9418</v>
          </cell>
          <cell r="T363">
            <v>28</v>
          </cell>
          <cell r="V363">
            <v>599378.92000000004</v>
          </cell>
          <cell r="W363">
            <v>8497.0583113643843</v>
          </cell>
          <cell r="X363">
            <v>14.66</v>
          </cell>
          <cell r="AB363">
            <v>14.35</v>
          </cell>
          <cell r="AD363">
            <v>0.14349999999999999</v>
          </cell>
          <cell r="AE363">
            <v>1.95E-2</v>
          </cell>
          <cell r="AF363">
            <v>4.0000000000000001E-3</v>
          </cell>
          <cell r="AG363">
            <v>0.11999999999999998</v>
          </cell>
        </row>
        <row r="364">
          <cell r="A364" t="str">
            <v>W10082</v>
          </cell>
          <cell r="B364">
            <v>347</v>
          </cell>
          <cell r="C364" t="str">
            <v>X-RAY CENTRE GUWAHATI (P) LTD.</v>
          </cell>
          <cell r="D364">
            <v>1</v>
          </cell>
          <cell r="E364">
            <v>36558</v>
          </cell>
          <cell r="F364">
            <v>757500</v>
          </cell>
          <cell r="G364">
            <v>671203.25</v>
          </cell>
          <cell r="L364">
            <v>0.18179999999999999</v>
          </cell>
          <cell r="O364">
            <v>36854</v>
          </cell>
          <cell r="P364">
            <v>36884</v>
          </cell>
          <cell r="Q364">
            <v>19237</v>
          </cell>
          <cell r="R364">
            <v>9207</v>
          </cell>
          <cell r="S364">
            <v>10030</v>
          </cell>
          <cell r="T364">
            <v>8</v>
          </cell>
          <cell r="V364">
            <v>661996.25</v>
          </cell>
          <cell r="W364">
            <v>2637.8283452054793</v>
          </cell>
          <cell r="X364">
            <v>14.66</v>
          </cell>
          <cell r="AB364">
            <v>14.35</v>
          </cell>
          <cell r="AD364">
            <v>0.14349999999999999</v>
          </cell>
          <cell r="AE364">
            <v>1.95E-2</v>
          </cell>
          <cell r="AF364">
            <v>4.0000000000000001E-3</v>
          </cell>
          <cell r="AG364">
            <v>0.11999999999999998</v>
          </cell>
        </row>
        <row r="365">
          <cell r="A365" t="str">
            <v>W10083</v>
          </cell>
          <cell r="B365">
            <v>348</v>
          </cell>
          <cell r="C365" t="str">
            <v>T. Jayaraman</v>
          </cell>
          <cell r="D365">
            <v>1</v>
          </cell>
          <cell r="E365">
            <v>36560</v>
          </cell>
          <cell r="F365">
            <v>1650000</v>
          </cell>
          <cell r="G365">
            <v>1561059.01</v>
          </cell>
          <cell r="L365">
            <v>0.1666</v>
          </cell>
          <cell r="O365">
            <v>36848</v>
          </cell>
          <cell r="P365">
            <v>36878</v>
          </cell>
          <cell r="Q365">
            <v>43500</v>
          </cell>
          <cell r="R365">
            <v>22125</v>
          </cell>
          <cell r="S365">
            <v>21375</v>
          </cell>
          <cell r="T365">
            <v>14</v>
          </cell>
          <cell r="V365">
            <v>1538934.01</v>
          </cell>
          <cell r="W365">
            <v>9833.9991367780822</v>
          </cell>
          <cell r="X365">
            <v>14.66</v>
          </cell>
          <cell r="AB365">
            <v>14.35</v>
          </cell>
          <cell r="AD365">
            <v>0.14349999999999999</v>
          </cell>
          <cell r="AE365">
            <v>1.95E-2</v>
          </cell>
          <cell r="AF365">
            <v>4.0000000000000001E-3</v>
          </cell>
          <cell r="AG365">
            <v>0.11999999999999998</v>
          </cell>
        </row>
        <row r="366">
          <cell r="A366" t="str">
            <v>W10084</v>
          </cell>
          <cell r="B366">
            <v>349</v>
          </cell>
          <cell r="C366" t="str">
            <v>Anju Gupta</v>
          </cell>
          <cell r="D366">
            <v>1</v>
          </cell>
          <cell r="E366">
            <v>36564</v>
          </cell>
          <cell r="F366">
            <v>300000</v>
          </cell>
          <cell r="G366">
            <v>229544.06</v>
          </cell>
          <cell r="L366">
            <v>0.17780000000000001</v>
          </cell>
          <cell r="O366">
            <v>36847</v>
          </cell>
          <cell r="P366">
            <v>36877</v>
          </cell>
          <cell r="Q366">
            <v>10700</v>
          </cell>
          <cell r="R366">
            <v>7345</v>
          </cell>
          <cell r="S366">
            <v>3355</v>
          </cell>
          <cell r="T366">
            <v>15</v>
          </cell>
          <cell r="V366">
            <v>222199.06</v>
          </cell>
          <cell r="W366">
            <v>1623.5750493698631</v>
          </cell>
          <cell r="X366">
            <v>14.66</v>
          </cell>
          <cell r="AB366">
            <v>14.35</v>
          </cell>
          <cell r="AD366">
            <v>0.14349999999999999</v>
          </cell>
          <cell r="AE366">
            <v>1.95E-2</v>
          </cell>
          <cell r="AF366">
            <v>4.0000000000000001E-3</v>
          </cell>
          <cell r="AG366">
            <v>0.11999999999999998</v>
          </cell>
        </row>
        <row r="367">
          <cell r="A367" t="str">
            <v>W10085</v>
          </cell>
          <cell r="B367">
            <v>350</v>
          </cell>
          <cell r="C367" t="str">
            <v>K.M. Jothiraj</v>
          </cell>
          <cell r="D367">
            <v>1</v>
          </cell>
          <cell r="E367">
            <v>36564</v>
          </cell>
          <cell r="F367">
            <v>292500</v>
          </cell>
          <cell r="G367">
            <v>182808.81</v>
          </cell>
          <cell r="L367">
            <v>0.18490000000000001</v>
          </cell>
          <cell r="O367">
            <v>36860</v>
          </cell>
          <cell r="P367">
            <v>36890</v>
          </cell>
          <cell r="Q367">
            <v>14600</v>
          </cell>
          <cell r="R367">
            <v>11822</v>
          </cell>
          <cell r="S367">
            <v>2778</v>
          </cell>
          <cell r="T367">
            <v>2</v>
          </cell>
          <cell r="V367">
            <v>170986.81</v>
          </cell>
          <cell r="W367">
            <v>173.23540366575344</v>
          </cell>
          <cell r="X367">
            <v>14.66</v>
          </cell>
          <cell r="AB367">
            <v>14.35</v>
          </cell>
          <cell r="AD367">
            <v>0.14349999999999999</v>
          </cell>
          <cell r="AE367">
            <v>1.95E-2</v>
          </cell>
          <cell r="AF367">
            <v>4.0000000000000001E-3</v>
          </cell>
          <cell r="AG367">
            <v>0.11999999999999998</v>
          </cell>
        </row>
        <row r="368">
          <cell r="A368" t="str">
            <v>W10086</v>
          </cell>
          <cell r="B368">
            <v>351</v>
          </cell>
          <cell r="C368" t="str">
            <v>Ramesh Sharma ( Foreclosed on 17-10-00)</v>
          </cell>
          <cell r="D368">
            <v>1</v>
          </cell>
          <cell r="E368">
            <v>36564</v>
          </cell>
          <cell r="F368">
            <v>550000</v>
          </cell>
          <cell r="G368">
            <v>421807.51</v>
          </cell>
          <cell r="L368">
            <v>0.18940000000000001</v>
          </cell>
          <cell r="N368">
            <v>421807</v>
          </cell>
          <cell r="O368">
            <v>36845</v>
          </cell>
          <cell r="S368">
            <v>0</v>
          </cell>
          <cell r="T368">
            <v>47</v>
          </cell>
          <cell r="V368">
            <v>0.51000000000931323</v>
          </cell>
          <cell r="W368">
            <v>1.2438131507076452E-2</v>
          </cell>
          <cell r="X368">
            <v>14.66</v>
          </cell>
          <cell r="AB368">
            <v>14.35</v>
          </cell>
          <cell r="AD368">
            <v>0.14349999999999999</v>
          </cell>
          <cell r="AE368">
            <v>1.95E-2</v>
          </cell>
          <cell r="AF368">
            <v>4.0000000000000001E-3</v>
          </cell>
          <cell r="AG368">
            <v>0.11999999999999998</v>
          </cell>
        </row>
        <row r="369">
          <cell r="A369" t="str">
            <v>W10087</v>
          </cell>
          <cell r="B369">
            <v>352</v>
          </cell>
          <cell r="C369" t="str">
            <v>Jay Kishore</v>
          </cell>
          <cell r="D369">
            <v>1</v>
          </cell>
          <cell r="E369">
            <v>36565</v>
          </cell>
          <cell r="F369">
            <v>1068140</v>
          </cell>
          <cell r="G369">
            <v>935819.44</v>
          </cell>
          <cell r="L369">
            <v>0.16289999999999999</v>
          </cell>
          <cell r="O369">
            <v>36856</v>
          </cell>
          <cell r="P369">
            <v>36886</v>
          </cell>
          <cell r="Q369">
            <v>26270</v>
          </cell>
          <cell r="R369">
            <v>13738</v>
          </cell>
          <cell r="S369">
            <v>12532</v>
          </cell>
          <cell r="T369">
            <v>6</v>
          </cell>
          <cell r="V369">
            <v>922081.44</v>
          </cell>
          <cell r="W369">
            <v>2469.1572587835612</v>
          </cell>
          <cell r="X369">
            <v>14.66</v>
          </cell>
          <cell r="AB369">
            <v>14.35</v>
          </cell>
          <cell r="AD369">
            <v>0.14349999999999999</v>
          </cell>
          <cell r="AE369">
            <v>1.95E-2</v>
          </cell>
          <cell r="AF369">
            <v>4.0000000000000001E-3</v>
          </cell>
          <cell r="AG369">
            <v>0.11999999999999998</v>
          </cell>
        </row>
        <row r="370">
          <cell r="A370" t="str">
            <v>W10090</v>
          </cell>
          <cell r="B370">
            <v>353</v>
          </cell>
          <cell r="C370" t="str">
            <v>P. Murati Sankar</v>
          </cell>
          <cell r="D370">
            <v>1</v>
          </cell>
          <cell r="E370">
            <v>36568</v>
          </cell>
          <cell r="F370">
            <v>286818</v>
          </cell>
          <cell r="G370">
            <v>214494.4</v>
          </cell>
          <cell r="L370">
            <v>0.1646</v>
          </cell>
          <cell r="O370">
            <v>36858</v>
          </cell>
          <cell r="P370">
            <v>36888</v>
          </cell>
          <cell r="Q370">
            <v>10547</v>
          </cell>
          <cell r="R370">
            <v>7645</v>
          </cell>
          <cell r="S370">
            <v>2902</v>
          </cell>
          <cell r="T370">
            <v>4</v>
          </cell>
          <cell r="V370">
            <v>206849.4</v>
          </cell>
          <cell r="W370">
            <v>373.1223149589041</v>
          </cell>
          <cell r="X370">
            <v>14.66</v>
          </cell>
          <cell r="AB370">
            <v>14.35</v>
          </cell>
          <cell r="AD370">
            <v>0.14349999999999999</v>
          </cell>
          <cell r="AE370">
            <v>1.95E-2</v>
          </cell>
          <cell r="AF370">
            <v>4.0000000000000001E-3</v>
          </cell>
          <cell r="AG370">
            <v>0.11999999999999998</v>
          </cell>
        </row>
        <row r="371">
          <cell r="A371" t="str">
            <v>W10089</v>
          </cell>
          <cell r="B371">
            <v>354</v>
          </cell>
          <cell r="C371" t="str">
            <v>S. S. Todkari</v>
          </cell>
          <cell r="D371">
            <v>1</v>
          </cell>
          <cell r="E371">
            <v>36568</v>
          </cell>
          <cell r="F371">
            <v>960000</v>
          </cell>
          <cell r="G371">
            <v>809356</v>
          </cell>
          <cell r="L371">
            <v>0.1847</v>
          </cell>
          <cell r="O371">
            <v>36822</v>
          </cell>
          <cell r="S371">
            <v>0</v>
          </cell>
          <cell r="T371">
            <v>70</v>
          </cell>
          <cell r="V371">
            <v>809356</v>
          </cell>
          <cell r="W371">
            <v>28668.941709589039</v>
          </cell>
          <cell r="X371">
            <v>14.66</v>
          </cell>
          <cell r="AB371">
            <v>14.35</v>
          </cell>
          <cell r="AD371">
            <v>0.14349999999999999</v>
          </cell>
          <cell r="AE371">
            <v>1.95E-2</v>
          </cell>
          <cell r="AF371">
            <v>4.0000000000000001E-3</v>
          </cell>
          <cell r="AG371">
            <v>0.11999999999999998</v>
          </cell>
        </row>
        <row r="372">
          <cell r="A372" t="str">
            <v>W10088</v>
          </cell>
          <cell r="B372">
            <v>355</v>
          </cell>
          <cell r="C372" t="str">
            <v>Vishakha Hospital &amp; Diagnostic P. Ltd.</v>
          </cell>
          <cell r="D372">
            <v>2</v>
          </cell>
          <cell r="E372">
            <v>36568</v>
          </cell>
          <cell r="F372">
            <v>128000</v>
          </cell>
          <cell r="G372">
            <v>79425.119999999995</v>
          </cell>
          <cell r="L372">
            <v>0.19589999999999999</v>
          </cell>
          <cell r="O372">
            <v>36843</v>
          </cell>
          <cell r="P372">
            <v>36873</v>
          </cell>
          <cell r="Q372">
            <v>6390</v>
          </cell>
          <cell r="R372">
            <v>5111</v>
          </cell>
          <cell r="S372">
            <v>1279</v>
          </cell>
          <cell r="T372">
            <v>19</v>
          </cell>
          <cell r="V372">
            <v>74314.12</v>
          </cell>
          <cell r="W372">
            <v>757.82078370410954</v>
          </cell>
          <cell r="X372">
            <v>14.66</v>
          </cell>
          <cell r="AB372">
            <v>14.35</v>
          </cell>
          <cell r="AD372">
            <v>0.14349999999999999</v>
          </cell>
          <cell r="AE372">
            <v>1.95E-2</v>
          </cell>
          <cell r="AF372">
            <v>4.0000000000000001E-3</v>
          </cell>
          <cell r="AG372">
            <v>0.11999999999999998</v>
          </cell>
        </row>
        <row r="373">
          <cell r="A373" t="str">
            <v>W10091</v>
          </cell>
          <cell r="B373">
            <v>356</v>
          </cell>
          <cell r="C373" t="str">
            <v>Tuticorin CT Scan &amp; Research</v>
          </cell>
          <cell r="D373">
            <v>1</v>
          </cell>
          <cell r="E373">
            <v>36570</v>
          </cell>
          <cell r="F373">
            <v>10000000</v>
          </cell>
          <cell r="G373">
            <v>8820808</v>
          </cell>
          <cell r="L373">
            <v>0.17249999999999999</v>
          </cell>
          <cell r="O373">
            <v>36860</v>
          </cell>
          <cell r="P373">
            <v>36890</v>
          </cell>
          <cell r="Q373">
            <v>248550</v>
          </cell>
          <cell r="R373">
            <v>119332</v>
          </cell>
          <cell r="S373">
            <v>129218</v>
          </cell>
          <cell r="T373">
            <v>2</v>
          </cell>
          <cell r="V373">
            <v>8701476</v>
          </cell>
          <cell r="W373">
            <v>8224.6827945205478</v>
          </cell>
          <cell r="X373">
            <v>14.66</v>
          </cell>
          <cell r="AB373">
            <v>14.35</v>
          </cell>
          <cell r="AD373">
            <v>0.14349999999999999</v>
          </cell>
          <cell r="AE373">
            <v>1.95E-2</v>
          </cell>
          <cell r="AF373">
            <v>4.0000000000000001E-3</v>
          </cell>
          <cell r="AG373">
            <v>0.11999999999999998</v>
          </cell>
        </row>
        <row r="374">
          <cell r="A374" t="str">
            <v>W10092</v>
          </cell>
          <cell r="B374">
            <v>357</v>
          </cell>
          <cell r="C374" t="str">
            <v>Prakash Kanwar</v>
          </cell>
          <cell r="D374">
            <v>1</v>
          </cell>
          <cell r="E374">
            <v>36573</v>
          </cell>
          <cell r="F374">
            <v>300000</v>
          </cell>
          <cell r="G374">
            <v>229973.75</v>
          </cell>
          <cell r="L374">
            <v>0.17610000000000001</v>
          </cell>
          <cell r="O374">
            <v>36860</v>
          </cell>
          <cell r="P374">
            <v>36890</v>
          </cell>
          <cell r="Q374">
            <v>10700</v>
          </cell>
          <cell r="R374">
            <v>7371</v>
          </cell>
          <cell r="S374">
            <v>3329</v>
          </cell>
          <cell r="T374">
            <v>2</v>
          </cell>
          <cell r="V374">
            <v>222602.75</v>
          </cell>
          <cell r="W374">
            <v>214.79640698630138</v>
          </cell>
          <cell r="X374">
            <v>14.18</v>
          </cell>
          <cell r="AB374">
            <v>13.85</v>
          </cell>
          <cell r="AD374">
            <v>0.13849999999999998</v>
          </cell>
          <cell r="AE374">
            <v>1.95E-2</v>
          </cell>
          <cell r="AF374">
            <v>4.0000000000000001E-3</v>
          </cell>
          <cell r="AG374">
            <v>0.11499999999999998</v>
          </cell>
        </row>
        <row r="375">
          <cell r="A375" t="str">
            <v>W10093</v>
          </cell>
          <cell r="B375">
            <v>358</v>
          </cell>
          <cell r="C375" t="str">
            <v>Shija Clinic Pvt. Ltd. ( Forcl on Aug-00 )</v>
          </cell>
          <cell r="D375">
            <v>1</v>
          </cell>
          <cell r="E375">
            <v>36573</v>
          </cell>
          <cell r="F375">
            <v>1400000</v>
          </cell>
          <cell r="G375">
            <v>-0.9599999999627471</v>
          </cell>
          <cell r="L375">
            <v>0.1925</v>
          </cell>
          <cell r="O375">
            <v>36717</v>
          </cell>
          <cell r="S375">
            <v>0</v>
          </cell>
          <cell r="T375">
            <v>175</v>
          </cell>
          <cell r="V375">
            <v>-0.9599999999627471</v>
          </cell>
          <cell r="W375">
            <v>-8.8602739722589155E-2</v>
          </cell>
          <cell r="X375">
            <v>14.18</v>
          </cell>
          <cell r="AB375">
            <v>13.85</v>
          </cell>
          <cell r="AD375">
            <v>0.13849999999999998</v>
          </cell>
          <cell r="AE375">
            <v>1.95E-2</v>
          </cell>
          <cell r="AF375">
            <v>4.0000000000000001E-3</v>
          </cell>
          <cell r="AG375">
            <v>0.11499999999999998</v>
          </cell>
        </row>
        <row r="376">
          <cell r="A376" t="str">
            <v>W10094</v>
          </cell>
          <cell r="B376">
            <v>359</v>
          </cell>
          <cell r="C376" t="str">
            <v>Rashmi Garg</v>
          </cell>
          <cell r="D376">
            <v>1</v>
          </cell>
          <cell r="E376">
            <v>36579</v>
          </cell>
          <cell r="F376">
            <v>1000000</v>
          </cell>
          <cell r="G376">
            <v>890609</v>
          </cell>
          <cell r="L376">
            <v>0.16309999999999999</v>
          </cell>
          <cell r="O376">
            <v>36838</v>
          </cell>
          <cell r="P376">
            <v>36868</v>
          </cell>
          <cell r="Q376">
            <v>24320</v>
          </cell>
          <cell r="R376">
            <v>12378</v>
          </cell>
          <cell r="S376">
            <v>11942</v>
          </cell>
          <cell r="T376">
            <v>24</v>
          </cell>
          <cell r="V376">
            <v>878231</v>
          </cell>
          <cell r="W376">
            <v>9418.4860997260257</v>
          </cell>
          <cell r="X376">
            <v>14.18</v>
          </cell>
          <cell r="AB376">
            <v>13.85</v>
          </cell>
          <cell r="AD376">
            <v>0.13849999999999998</v>
          </cell>
          <cell r="AE376">
            <v>1.95E-2</v>
          </cell>
          <cell r="AF376">
            <v>4.0000000000000001E-3</v>
          </cell>
          <cell r="AG376">
            <v>0.11499999999999998</v>
          </cell>
        </row>
        <row r="377">
          <cell r="A377" t="str">
            <v>W10095</v>
          </cell>
          <cell r="B377">
            <v>360</v>
          </cell>
          <cell r="C377" t="str">
            <v>Bankura Scan Centre</v>
          </cell>
          <cell r="D377">
            <v>1</v>
          </cell>
          <cell r="E377">
            <v>36585</v>
          </cell>
          <cell r="F377">
            <v>6180000</v>
          </cell>
          <cell r="G377">
            <v>5942929.5</v>
          </cell>
          <cell r="L377">
            <v>0.19170000000000001</v>
          </cell>
          <cell r="O377">
            <v>36853</v>
          </cell>
          <cell r="P377">
            <v>36883</v>
          </cell>
          <cell r="Q377">
            <v>171200</v>
          </cell>
          <cell r="R377">
            <v>77584</v>
          </cell>
          <cell r="S377">
            <v>93616</v>
          </cell>
          <cell r="T377">
            <v>9</v>
          </cell>
          <cell r="V377">
            <v>5865345.5</v>
          </cell>
          <cell r="W377">
            <v>27724.604359315068</v>
          </cell>
          <cell r="X377">
            <v>14.18</v>
          </cell>
          <cell r="AB377">
            <v>13.85</v>
          </cell>
          <cell r="AD377">
            <v>0.13849999999999998</v>
          </cell>
          <cell r="AE377">
            <v>1.95E-2</v>
          </cell>
          <cell r="AF377">
            <v>4.0000000000000001E-3</v>
          </cell>
          <cell r="AG377">
            <v>0.11499999999999998</v>
          </cell>
        </row>
        <row r="378">
          <cell r="A378" t="str">
            <v>W10096</v>
          </cell>
          <cell r="B378">
            <v>361</v>
          </cell>
          <cell r="C378" t="str">
            <v>Gopal Surendran</v>
          </cell>
          <cell r="D378">
            <v>1</v>
          </cell>
          <cell r="E378">
            <v>36585</v>
          </cell>
          <cell r="F378">
            <v>1200000</v>
          </cell>
          <cell r="G378">
            <v>1073470</v>
          </cell>
          <cell r="L378">
            <v>0.16039999999999999</v>
          </cell>
          <cell r="O378">
            <v>36766</v>
          </cell>
          <cell r="S378">
            <v>0</v>
          </cell>
          <cell r="T378">
            <v>126</v>
          </cell>
          <cell r="V378">
            <v>1073470</v>
          </cell>
          <cell r="W378">
            <v>59439.063254794521</v>
          </cell>
          <cell r="X378">
            <v>14.18</v>
          </cell>
          <cell r="AB378">
            <v>13.85</v>
          </cell>
          <cell r="AD378">
            <v>0.13849999999999998</v>
          </cell>
          <cell r="AE378">
            <v>1.95E-2</v>
          </cell>
          <cell r="AF378">
            <v>4.0000000000000001E-3</v>
          </cell>
          <cell r="AG378">
            <v>0.11499999999999998</v>
          </cell>
        </row>
        <row r="379">
          <cell r="A379" t="str">
            <v>W10097</v>
          </cell>
          <cell r="B379">
            <v>362</v>
          </cell>
          <cell r="C379" t="str">
            <v>Prateeksha Tolambia</v>
          </cell>
          <cell r="D379">
            <v>1</v>
          </cell>
          <cell r="E379">
            <v>36585</v>
          </cell>
          <cell r="F379">
            <v>350000</v>
          </cell>
          <cell r="G379">
            <v>277172</v>
          </cell>
          <cell r="L379">
            <v>0.17430000000000001</v>
          </cell>
          <cell r="O379">
            <v>36848</v>
          </cell>
          <cell r="P379">
            <v>36878</v>
          </cell>
          <cell r="Q379">
            <v>12480</v>
          </cell>
          <cell r="R379">
            <v>8509</v>
          </cell>
          <cell r="S379">
            <v>3971</v>
          </cell>
          <cell r="T379">
            <v>14</v>
          </cell>
          <cell r="V379">
            <v>268663</v>
          </cell>
          <cell r="W379">
            <v>1796.1409660273973</v>
          </cell>
          <cell r="X379">
            <v>14.18</v>
          </cell>
          <cell r="AB379">
            <v>13.85</v>
          </cell>
          <cell r="AD379">
            <v>0.13849999999999998</v>
          </cell>
          <cell r="AE379">
            <v>1.95E-2</v>
          </cell>
          <cell r="AF379">
            <v>4.0000000000000001E-3</v>
          </cell>
          <cell r="AG379">
            <v>0.11499999999999998</v>
          </cell>
        </row>
        <row r="380">
          <cell r="A380" t="str">
            <v>W10098</v>
          </cell>
          <cell r="B380">
            <v>363</v>
          </cell>
          <cell r="C380" t="str">
            <v>K. Velluswamy</v>
          </cell>
          <cell r="D380">
            <v>1</v>
          </cell>
          <cell r="E380">
            <v>36588</v>
          </cell>
          <cell r="F380">
            <v>1270000</v>
          </cell>
          <cell r="G380">
            <v>1037552.96</v>
          </cell>
          <cell r="L380">
            <v>0.1603</v>
          </cell>
          <cell r="O380">
            <v>36831</v>
          </cell>
          <cell r="P380">
            <v>36861</v>
          </cell>
          <cell r="Q380">
            <v>44649</v>
          </cell>
          <cell r="R380">
            <v>30979</v>
          </cell>
          <cell r="S380">
            <v>13670</v>
          </cell>
          <cell r="T380">
            <v>31</v>
          </cell>
          <cell r="V380">
            <v>1006573.96</v>
          </cell>
          <cell r="W380">
            <v>13704.021861446574</v>
          </cell>
          <cell r="X380">
            <v>14.18</v>
          </cell>
          <cell r="AB380">
            <v>13.85</v>
          </cell>
          <cell r="AD380">
            <v>0.13849999999999998</v>
          </cell>
          <cell r="AE380">
            <v>1.95E-2</v>
          </cell>
          <cell r="AF380">
            <v>4.0000000000000001E-3</v>
          </cell>
          <cell r="AG380">
            <v>0.11499999999999998</v>
          </cell>
        </row>
        <row r="381">
          <cell r="A381" t="str">
            <v>W10099</v>
          </cell>
          <cell r="B381">
            <v>364</v>
          </cell>
          <cell r="C381" t="str">
            <v>Shilpa Phadkule</v>
          </cell>
          <cell r="D381">
            <v>1</v>
          </cell>
          <cell r="E381">
            <v>36607</v>
          </cell>
          <cell r="F381">
            <v>450000</v>
          </cell>
          <cell r="G381">
            <v>399977.8</v>
          </cell>
          <cell r="L381">
            <v>0.18659999999999999</v>
          </cell>
          <cell r="O381">
            <v>36852</v>
          </cell>
          <cell r="S381">
            <v>0</v>
          </cell>
          <cell r="T381">
            <v>40</v>
          </cell>
          <cell r="V381">
            <v>399977.8</v>
          </cell>
          <cell r="W381">
            <v>8179.2720526027388</v>
          </cell>
          <cell r="X381">
            <v>14.18</v>
          </cell>
          <cell r="AB381">
            <v>13.85</v>
          </cell>
          <cell r="AD381">
            <v>0.13849999999999998</v>
          </cell>
          <cell r="AE381">
            <v>1.95E-2</v>
          </cell>
          <cell r="AF381">
            <v>4.0000000000000001E-3</v>
          </cell>
          <cell r="AG381">
            <v>0.11499999999999998</v>
          </cell>
        </row>
        <row r="382">
          <cell r="A382" t="str">
            <v>W10102</v>
          </cell>
          <cell r="B382">
            <v>365</v>
          </cell>
          <cell r="C382" t="str">
            <v>A.K. Gupta</v>
          </cell>
          <cell r="D382">
            <v>1</v>
          </cell>
          <cell r="E382">
            <v>36608</v>
          </cell>
          <cell r="F382">
            <v>1785000</v>
          </cell>
          <cell r="G382">
            <v>1591867.62</v>
          </cell>
          <cell r="L382">
            <v>0.18629999999999999</v>
          </cell>
          <cell r="O382">
            <v>36859</v>
          </cell>
          <cell r="P382">
            <v>36889</v>
          </cell>
          <cell r="Q382">
            <v>45400</v>
          </cell>
          <cell r="R382">
            <v>21028</v>
          </cell>
          <cell r="S382">
            <v>24372</v>
          </cell>
          <cell r="T382">
            <v>3</v>
          </cell>
          <cell r="V382">
            <v>1570839.62</v>
          </cell>
          <cell r="W382">
            <v>2405.3212701863013</v>
          </cell>
          <cell r="X382">
            <v>14.18</v>
          </cell>
          <cell r="AB382">
            <v>13.85</v>
          </cell>
          <cell r="AD382">
            <v>0.13849999999999998</v>
          </cell>
          <cell r="AE382">
            <v>1.95E-2</v>
          </cell>
          <cell r="AF382">
            <v>4.0000000000000001E-3</v>
          </cell>
          <cell r="AG382">
            <v>0.11499999999999998</v>
          </cell>
        </row>
        <row r="383">
          <cell r="A383" t="str">
            <v>W10103</v>
          </cell>
          <cell r="B383">
            <v>366</v>
          </cell>
          <cell r="C383" t="str">
            <v>Naresh Suri</v>
          </cell>
          <cell r="D383">
            <v>1</v>
          </cell>
          <cell r="E383">
            <v>36608</v>
          </cell>
          <cell r="F383">
            <v>1025000</v>
          </cell>
          <cell r="G383">
            <v>927882.3</v>
          </cell>
          <cell r="L383">
            <v>0.16309999999999999</v>
          </cell>
          <cell r="O383">
            <v>36843</v>
          </cell>
          <cell r="P383">
            <v>36873</v>
          </cell>
          <cell r="Q383">
            <v>25000</v>
          </cell>
          <cell r="R383">
            <v>12558</v>
          </cell>
          <cell r="S383">
            <v>12442</v>
          </cell>
          <cell r="T383">
            <v>19</v>
          </cell>
          <cell r="V383">
            <v>915324.3</v>
          </cell>
          <cell r="W383">
            <v>7771.2286938904108</v>
          </cell>
          <cell r="X383">
            <v>14.18</v>
          </cell>
          <cell r="AB383">
            <v>13.85</v>
          </cell>
          <cell r="AD383">
            <v>0.13849999999999998</v>
          </cell>
          <cell r="AE383">
            <v>1.95E-2</v>
          </cell>
          <cell r="AF383">
            <v>4.0000000000000001E-3</v>
          </cell>
          <cell r="AG383">
            <v>0.11499999999999998</v>
          </cell>
        </row>
        <row r="384">
          <cell r="A384" t="str">
            <v>W10101</v>
          </cell>
          <cell r="B384">
            <v>367</v>
          </cell>
          <cell r="C384" t="str">
            <v>North Bangalore Diagnostic</v>
          </cell>
          <cell r="D384">
            <v>1</v>
          </cell>
          <cell r="E384">
            <v>36608</v>
          </cell>
          <cell r="F384">
            <v>1800000</v>
          </cell>
          <cell r="G384">
            <v>1627026.11</v>
          </cell>
          <cell r="L384">
            <v>0.16239999999999999</v>
          </cell>
          <cell r="O384">
            <v>36840</v>
          </cell>
          <cell r="P384">
            <v>36870</v>
          </cell>
          <cell r="Q384">
            <v>43775</v>
          </cell>
          <cell r="R384">
            <v>22056</v>
          </cell>
          <cell r="S384">
            <v>21719</v>
          </cell>
          <cell r="T384">
            <v>22</v>
          </cell>
          <cell r="V384">
            <v>1604970.11</v>
          </cell>
          <cell r="W384">
            <v>15710.23892878904</v>
          </cell>
          <cell r="X384">
            <v>14.18</v>
          </cell>
          <cell r="AB384">
            <v>13.85</v>
          </cell>
          <cell r="AD384">
            <v>0.13849999999999998</v>
          </cell>
          <cell r="AE384">
            <v>1.95E-2</v>
          </cell>
          <cell r="AF384">
            <v>4.0000000000000001E-3</v>
          </cell>
          <cell r="AG384">
            <v>0.11499999999999998</v>
          </cell>
        </row>
        <row r="385">
          <cell r="A385" t="str">
            <v>W10106</v>
          </cell>
          <cell r="B385">
            <v>368</v>
          </cell>
          <cell r="C385" t="str">
            <v>Atul Seth</v>
          </cell>
          <cell r="D385">
            <v>1</v>
          </cell>
          <cell r="E385">
            <v>36641</v>
          </cell>
          <cell r="F385">
            <v>1615000</v>
          </cell>
          <cell r="G385">
            <v>1492670.44</v>
          </cell>
          <cell r="L385">
            <v>0.18360000000000001</v>
          </cell>
          <cell r="O385">
            <v>36840</v>
          </cell>
          <cell r="P385">
            <v>36811</v>
          </cell>
          <cell r="Q385">
            <v>50858</v>
          </cell>
          <cell r="R385">
            <v>28335</v>
          </cell>
          <cell r="S385">
            <v>22523</v>
          </cell>
          <cell r="T385">
            <v>81</v>
          </cell>
          <cell r="V385">
            <v>1464335.44</v>
          </cell>
          <cell r="W385">
            <v>59663.043642476718</v>
          </cell>
          <cell r="X385">
            <v>14.18</v>
          </cell>
          <cell r="AB385">
            <v>13.85</v>
          </cell>
          <cell r="AD385">
            <v>0.13849999999999998</v>
          </cell>
          <cell r="AE385">
            <v>1.95E-2</v>
          </cell>
          <cell r="AF385">
            <v>4.0000000000000001E-3</v>
          </cell>
          <cell r="AG385">
            <v>0.11499999999999998</v>
          </cell>
        </row>
        <row r="386">
          <cell r="A386" t="str">
            <v>W10105</v>
          </cell>
          <cell r="B386">
            <v>369</v>
          </cell>
          <cell r="C386" t="str">
            <v>The Heart Centre</v>
          </cell>
          <cell r="D386" t="str">
            <v>`1</v>
          </cell>
          <cell r="E386">
            <v>36641</v>
          </cell>
          <cell r="F386">
            <v>1700000</v>
          </cell>
          <cell r="G386">
            <v>1530281.88</v>
          </cell>
          <cell r="L386">
            <v>0.17979999999999999</v>
          </cell>
          <cell r="O386">
            <v>36857</v>
          </cell>
          <cell r="P386">
            <v>36887</v>
          </cell>
          <cell r="Q386">
            <v>42565</v>
          </cell>
          <cell r="R386">
            <v>19954</v>
          </cell>
          <cell r="S386">
            <v>22611</v>
          </cell>
          <cell r="T386">
            <v>5</v>
          </cell>
          <cell r="V386">
            <v>1510327.88</v>
          </cell>
          <cell r="W386">
            <v>3719.9582578630134</v>
          </cell>
          <cell r="X386">
            <v>14.18</v>
          </cell>
          <cell r="AB386">
            <v>13.85</v>
          </cell>
          <cell r="AD386">
            <v>0.13849999999999998</v>
          </cell>
          <cell r="AE386">
            <v>1.95E-2</v>
          </cell>
          <cell r="AF386">
            <v>4.0000000000000001E-3</v>
          </cell>
          <cell r="AG386">
            <v>0.11499999999999998</v>
          </cell>
        </row>
        <row r="387">
          <cell r="A387" t="str">
            <v>W10107</v>
          </cell>
          <cell r="B387">
            <v>370</v>
          </cell>
          <cell r="C387" t="str">
            <v>B. Radhika</v>
          </cell>
          <cell r="D387">
            <v>1</v>
          </cell>
          <cell r="E387">
            <v>36643</v>
          </cell>
          <cell r="F387">
            <v>1000000</v>
          </cell>
          <cell r="G387">
            <v>916996.09</v>
          </cell>
          <cell r="L387">
            <v>0.16339999999999999</v>
          </cell>
          <cell r="O387">
            <v>36847</v>
          </cell>
          <cell r="P387">
            <v>36877</v>
          </cell>
          <cell r="Q387">
            <v>24400</v>
          </cell>
          <cell r="R387">
            <v>12081</v>
          </cell>
          <cell r="S387">
            <v>12319</v>
          </cell>
          <cell r="T387">
            <v>15</v>
          </cell>
          <cell r="V387">
            <v>904915.09</v>
          </cell>
          <cell r="W387">
            <v>6076.5668098356155</v>
          </cell>
          <cell r="X387">
            <v>14.18</v>
          </cell>
          <cell r="AB387">
            <v>13.85</v>
          </cell>
          <cell r="AD387">
            <v>0.13849999999999998</v>
          </cell>
          <cell r="AE387">
            <v>1.95E-2</v>
          </cell>
          <cell r="AF387">
            <v>4.0000000000000001E-3</v>
          </cell>
          <cell r="AG387">
            <v>0.11499999999999998</v>
          </cell>
        </row>
        <row r="388">
          <cell r="A388" t="str">
            <v>W10108</v>
          </cell>
          <cell r="B388">
            <v>371</v>
          </cell>
          <cell r="C388" t="str">
            <v>Shirish Valsangkar</v>
          </cell>
          <cell r="D388">
            <v>1</v>
          </cell>
          <cell r="E388">
            <v>36643</v>
          </cell>
          <cell r="F388">
            <v>4950000</v>
          </cell>
          <cell r="G388">
            <v>4352458</v>
          </cell>
          <cell r="L388">
            <v>0.17019999999999999</v>
          </cell>
          <cell r="O388">
            <v>36845</v>
          </cell>
          <cell r="P388">
            <v>36875</v>
          </cell>
          <cell r="Q388">
            <v>143533</v>
          </cell>
          <cell r="R388">
            <v>82640</v>
          </cell>
          <cell r="S388">
            <v>60893</v>
          </cell>
          <cell r="T388">
            <v>17</v>
          </cell>
          <cell r="V388">
            <v>4269818</v>
          </cell>
          <cell r="W388">
            <v>33847.373701917808</v>
          </cell>
          <cell r="X388">
            <v>14.18</v>
          </cell>
          <cell r="AB388">
            <v>13.85</v>
          </cell>
          <cell r="AD388">
            <v>0.13849999999999998</v>
          </cell>
          <cell r="AE388">
            <v>1.95E-2</v>
          </cell>
          <cell r="AF388">
            <v>4.0000000000000001E-3</v>
          </cell>
          <cell r="AG388">
            <v>0.11499999999999998</v>
          </cell>
        </row>
        <row r="389">
          <cell r="A389" t="str">
            <v>W10111</v>
          </cell>
          <cell r="B389">
            <v>372</v>
          </cell>
          <cell r="C389" t="str">
            <v>Ajit Scanning &amp; Diagnostic Centre Pvt. Ltd.</v>
          </cell>
          <cell r="D389">
            <v>1</v>
          </cell>
          <cell r="E389">
            <v>36650</v>
          </cell>
          <cell r="F389">
            <v>4590000</v>
          </cell>
          <cell r="G389">
            <v>4121651</v>
          </cell>
          <cell r="L389">
            <v>0.16619999999999999</v>
          </cell>
          <cell r="O389">
            <v>36827</v>
          </cell>
          <cell r="S389">
            <v>0</v>
          </cell>
          <cell r="T389">
            <v>65</v>
          </cell>
          <cell r="V389">
            <v>4121651</v>
          </cell>
          <cell r="W389">
            <v>121989.57740547943</v>
          </cell>
          <cell r="X389">
            <v>14.18</v>
          </cell>
          <cell r="AB389">
            <v>13.85</v>
          </cell>
          <cell r="AD389">
            <v>0.13849999999999998</v>
          </cell>
          <cell r="AE389">
            <v>1.95E-2</v>
          </cell>
          <cell r="AF389">
            <v>4.0000000000000001E-3</v>
          </cell>
          <cell r="AG389">
            <v>0.11499999999999998</v>
          </cell>
        </row>
        <row r="390">
          <cell r="A390" t="str">
            <v>W10109</v>
          </cell>
          <cell r="B390">
            <v>373</v>
          </cell>
          <cell r="C390" t="str">
            <v>P. Raghu Ramaiah</v>
          </cell>
          <cell r="D390">
            <v>1</v>
          </cell>
          <cell r="E390">
            <v>36650</v>
          </cell>
          <cell r="F390">
            <v>315000</v>
          </cell>
          <cell r="G390">
            <v>263408.18932406645</v>
          </cell>
          <cell r="L390">
            <v>0.1895</v>
          </cell>
          <cell r="O390">
            <v>36838</v>
          </cell>
          <cell r="P390">
            <v>36868</v>
          </cell>
          <cell r="Q390">
            <v>11388</v>
          </cell>
          <cell r="R390">
            <v>7285</v>
          </cell>
          <cell r="S390">
            <v>4103</v>
          </cell>
          <cell r="T390">
            <v>24</v>
          </cell>
          <cell r="V390">
            <v>256123.18932406645</v>
          </cell>
          <cell r="W390">
            <v>3191.365109714669</v>
          </cell>
          <cell r="X390">
            <v>14.18</v>
          </cell>
          <cell r="AB390">
            <v>13.85</v>
          </cell>
          <cell r="AD390">
            <v>0.13849999999999998</v>
          </cell>
          <cell r="AE390">
            <v>1.95E-2</v>
          </cell>
          <cell r="AF390">
            <v>4.0000000000000001E-3</v>
          </cell>
          <cell r="AG390">
            <v>0.11499999999999998</v>
          </cell>
        </row>
        <row r="391">
          <cell r="A391" t="str">
            <v>W10110</v>
          </cell>
          <cell r="B391">
            <v>374</v>
          </cell>
          <cell r="C391" t="str">
            <v>Swati Dileep Bhale</v>
          </cell>
          <cell r="D391">
            <v>1</v>
          </cell>
          <cell r="E391">
            <v>36650</v>
          </cell>
          <cell r="F391">
            <v>1000000</v>
          </cell>
          <cell r="G391">
            <v>917827</v>
          </cell>
          <cell r="L391">
            <v>0.1613</v>
          </cell>
          <cell r="O391">
            <v>36857</v>
          </cell>
          <cell r="P391">
            <v>36887</v>
          </cell>
          <cell r="Q391">
            <v>24320</v>
          </cell>
          <cell r="R391">
            <v>12151</v>
          </cell>
          <cell r="S391">
            <v>12169</v>
          </cell>
          <cell r="T391">
            <v>5</v>
          </cell>
          <cell r="V391">
            <v>905676</v>
          </cell>
          <cell r="W391">
            <v>2001.1717643835614</v>
          </cell>
          <cell r="X391">
            <v>14.18</v>
          </cell>
          <cell r="AB391">
            <v>13.85</v>
          </cell>
          <cell r="AD391">
            <v>0.13849999999999998</v>
          </cell>
          <cell r="AE391">
            <v>1.95E-2</v>
          </cell>
          <cell r="AF391">
            <v>4.0000000000000001E-3</v>
          </cell>
          <cell r="AG391">
            <v>0.11499999999999998</v>
          </cell>
        </row>
        <row r="392">
          <cell r="A392" t="str">
            <v>W10112</v>
          </cell>
          <cell r="B392">
            <v>375</v>
          </cell>
          <cell r="C392" t="str">
            <v>Life Line Diagnostic Centre</v>
          </cell>
          <cell r="D392">
            <v>1</v>
          </cell>
          <cell r="E392">
            <v>36662</v>
          </cell>
          <cell r="F392">
            <v>440000</v>
          </cell>
          <cell r="G392">
            <v>370353</v>
          </cell>
          <cell r="L392">
            <v>0.20810000000000001</v>
          </cell>
          <cell r="O392">
            <v>36856</v>
          </cell>
          <cell r="P392">
            <v>36886</v>
          </cell>
          <cell r="Q392">
            <v>16352</v>
          </cell>
          <cell r="R392">
            <v>10019</v>
          </cell>
          <cell r="S392">
            <v>6333</v>
          </cell>
          <cell r="T392">
            <v>6</v>
          </cell>
          <cell r="V392">
            <v>360334</v>
          </cell>
          <cell r="W392">
            <v>1232.6384449315067</v>
          </cell>
          <cell r="X392">
            <v>14.18</v>
          </cell>
          <cell r="AB392">
            <v>13.85</v>
          </cell>
          <cell r="AD392">
            <v>0.13849999999999998</v>
          </cell>
          <cell r="AE392">
            <v>1.95E-2</v>
          </cell>
          <cell r="AF392">
            <v>4.0000000000000001E-3</v>
          </cell>
          <cell r="AG392">
            <v>0.11499999999999998</v>
          </cell>
        </row>
        <row r="393">
          <cell r="A393" t="str">
            <v>W10113</v>
          </cell>
          <cell r="B393">
            <v>376</v>
          </cell>
          <cell r="C393" t="str">
            <v>V . Shanmugam</v>
          </cell>
          <cell r="D393">
            <v>1</v>
          </cell>
          <cell r="E393">
            <v>36662</v>
          </cell>
          <cell r="F393">
            <v>325000</v>
          </cell>
          <cell r="G393">
            <v>281316.2882886696</v>
          </cell>
          <cell r="L393">
            <v>0.19470000000000001</v>
          </cell>
          <cell r="O393">
            <v>36833</v>
          </cell>
          <cell r="P393">
            <v>36863</v>
          </cell>
          <cell r="Q393">
            <v>11915</v>
          </cell>
          <cell r="R393">
            <v>7412</v>
          </cell>
          <cell r="S393">
            <v>4503</v>
          </cell>
          <cell r="T393">
            <v>29</v>
          </cell>
          <cell r="V393">
            <v>273904.2882886696</v>
          </cell>
          <cell r="W393">
            <v>4237.1117341488098</v>
          </cell>
          <cell r="X393">
            <v>14.18</v>
          </cell>
          <cell r="AB393">
            <v>13.85</v>
          </cell>
          <cell r="AD393">
            <v>0.13849999999999998</v>
          </cell>
          <cell r="AE393">
            <v>1.95E-2</v>
          </cell>
          <cell r="AF393">
            <v>4.0000000000000001E-3</v>
          </cell>
          <cell r="AG393">
            <v>0.11499999999999998</v>
          </cell>
        </row>
        <row r="394">
          <cell r="A394" t="str">
            <v>W10116</v>
          </cell>
          <cell r="B394">
            <v>377</v>
          </cell>
          <cell r="C394" t="str">
            <v>Ongole CT Scan Centre Pvt. Ltd.</v>
          </cell>
          <cell r="D394">
            <v>1</v>
          </cell>
          <cell r="E394">
            <v>36675</v>
          </cell>
          <cell r="F394">
            <v>3350000</v>
          </cell>
          <cell r="G394">
            <v>3303366</v>
          </cell>
          <cell r="L394">
            <v>0.17130000000000001</v>
          </cell>
          <cell r="O394">
            <v>36838</v>
          </cell>
          <cell r="P394">
            <v>36868</v>
          </cell>
          <cell r="Q394">
            <v>50000</v>
          </cell>
          <cell r="R394">
            <v>3503</v>
          </cell>
          <cell r="S394">
            <v>46497</v>
          </cell>
          <cell r="T394">
            <v>24</v>
          </cell>
          <cell r="V394">
            <v>3299863</v>
          </cell>
          <cell r="W394">
            <v>37168.210316712328</v>
          </cell>
          <cell r="X394">
            <v>14.18</v>
          </cell>
          <cell r="AB394">
            <v>13.85</v>
          </cell>
          <cell r="AD394">
            <v>0.13849999999999998</v>
          </cell>
          <cell r="AE394">
            <v>1.95E-2</v>
          </cell>
          <cell r="AF394">
            <v>4.0000000000000001E-3</v>
          </cell>
          <cell r="AG394">
            <v>0.11499999999999998</v>
          </cell>
        </row>
        <row r="395">
          <cell r="A395" t="str">
            <v>W10115</v>
          </cell>
          <cell r="B395">
            <v>378</v>
          </cell>
          <cell r="C395" t="str">
            <v>Ram Kumar Gupta</v>
          </cell>
          <cell r="D395">
            <v>1</v>
          </cell>
          <cell r="E395">
            <v>36675</v>
          </cell>
          <cell r="F395">
            <v>1000000</v>
          </cell>
          <cell r="G395">
            <v>892221</v>
          </cell>
          <cell r="L395">
            <v>0.16470000000000001</v>
          </cell>
          <cell r="O395">
            <v>36836</v>
          </cell>
          <cell r="S395">
            <v>0</v>
          </cell>
          <cell r="T395">
            <v>56</v>
          </cell>
          <cell r="V395">
            <v>892221</v>
          </cell>
          <cell r="W395">
            <v>22545.569115616439</v>
          </cell>
          <cell r="X395">
            <v>14.18</v>
          </cell>
          <cell r="AB395">
            <v>13.85</v>
          </cell>
          <cell r="AD395">
            <v>0.13849999999999998</v>
          </cell>
          <cell r="AE395">
            <v>1.95E-2</v>
          </cell>
          <cell r="AF395">
            <v>4.0000000000000001E-3</v>
          </cell>
          <cell r="AG395">
            <v>0.11499999999999998</v>
          </cell>
        </row>
        <row r="396">
          <cell r="A396" t="str">
            <v>W10114</v>
          </cell>
          <cell r="B396">
            <v>379</v>
          </cell>
          <cell r="C396" t="str">
            <v>Ramalakshmi</v>
          </cell>
          <cell r="D396">
            <v>1</v>
          </cell>
          <cell r="E396">
            <v>36675</v>
          </cell>
          <cell r="F396">
            <v>986567</v>
          </cell>
          <cell r="G396">
            <v>912436</v>
          </cell>
          <cell r="L396">
            <v>0.16389999999999999</v>
          </cell>
          <cell r="O396">
            <v>36843</v>
          </cell>
          <cell r="P396">
            <v>36873</v>
          </cell>
          <cell r="Q396">
            <v>24300</v>
          </cell>
          <cell r="R396">
            <v>12009</v>
          </cell>
          <cell r="S396">
            <v>12291</v>
          </cell>
          <cell r="T396">
            <v>19</v>
          </cell>
          <cell r="V396">
            <v>900427</v>
          </cell>
          <cell r="W396">
            <v>7682.2458101369857</v>
          </cell>
          <cell r="X396">
            <v>14.18</v>
          </cell>
          <cell r="AB396">
            <v>13.85</v>
          </cell>
          <cell r="AD396">
            <v>0.13849999999999998</v>
          </cell>
          <cell r="AE396">
            <v>1.95E-2</v>
          </cell>
          <cell r="AF396">
            <v>4.0000000000000001E-3</v>
          </cell>
          <cell r="AG396">
            <v>0.11499999999999998</v>
          </cell>
        </row>
        <row r="397">
          <cell r="A397" t="str">
            <v>W10119</v>
          </cell>
          <cell r="B397">
            <v>380</v>
          </cell>
          <cell r="C397" t="str">
            <v>Bharat Scans Pvt. Ltd.</v>
          </cell>
          <cell r="D397">
            <v>2</v>
          </cell>
          <cell r="E397">
            <v>36678</v>
          </cell>
          <cell r="F397">
            <v>26000000</v>
          </cell>
          <cell r="G397">
            <v>27034554</v>
          </cell>
          <cell r="L397">
            <v>0.1545</v>
          </cell>
          <cell r="O397">
            <v>36831</v>
          </cell>
          <cell r="P397">
            <v>36861</v>
          </cell>
          <cell r="Q397">
            <v>350000</v>
          </cell>
          <cell r="R397">
            <v>6788</v>
          </cell>
          <cell r="S397">
            <v>343212</v>
          </cell>
          <cell r="T397">
            <v>31</v>
          </cell>
          <cell r="V397">
            <v>27027766</v>
          </cell>
          <cell r="W397">
            <v>354656.1239917808</v>
          </cell>
          <cell r="X397">
            <v>14.18</v>
          </cell>
          <cell r="AB397">
            <v>13.85</v>
          </cell>
          <cell r="AD397">
            <v>0.13849999999999998</v>
          </cell>
          <cell r="AE397">
            <v>1.95E-2</v>
          </cell>
          <cell r="AF397">
            <v>4.0000000000000001E-3</v>
          </cell>
          <cell r="AG397">
            <v>0.11499999999999998</v>
          </cell>
        </row>
        <row r="398">
          <cell r="A398" t="str">
            <v>W10118</v>
          </cell>
          <cell r="B398">
            <v>381</v>
          </cell>
          <cell r="C398" t="str">
            <v>Madanapalle Hospital Pvt. Ltd.</v>
          </cell>
          <cell r="D398">
            <v>1</v>
          </cell>
          <cell r="E398">
            <v>36678</v>
          </cell>
          <cell r="F398">
            <v>1298859</v>
          </cell>
          <cell r="G398">
            <v>1210715</v>
          </cell>
          <cell r="L398">
            <v>0.18090000000000001</v>
          </cell>
          <cell r="O398">
            <v>36856</v>
          </cell>
          <cell r="P398">
            <v>36886</v>
          </cell>
          <cell r="Q398">
            <v>33330</v>
          </cell>
          <cell r="R398">
            <v>15325</v>
          </cell>
          <cell r="S398">
            <v>18005</v>
          </cell>
          <cell r="T398">
            <v>6</v>
          </cell>
          <cell r="V398">
            <v>1195390</v>
          </cell>
          <cell r="W398">
            <v>3554.7296054794519</v>
          </cell>
          <cell r="X398">
            <v>14.18</v>
          </cell>
          <cell r="AB398">
            <v>13.85</v>
          </cell>
          <cell r="AD398">
            <v>0.13849999999999998</v>
          </cell>
          <cell r="AE398">
            <v>1.95E-2</v>
          </cell>
          <cell r="AF398">
            <v>4.0000000000000001E-3</v>
          </cell>
          <cell r="AG398">
            <v>0.11499999999999998</v>
          </cell>
        </row>
        <row r="399">
          <cell r="A399" t="str">
            <v>W10117</v>
          </cell>
          <cell r="B399">
            <v>382</v>
          </cell>
          <cell r="C399" t="str">
            <v>R. K. Gupta ( Sukhda )</v>
          </cell>
          <cell r="D399">
            <v>1</v>
          </cell>
          <cell r="E399">
            <v>36678</v>
          </cell>
          <cell r="F399">
            <v>1200000</v>
          </cell>
          <cell r="G399">
            <v>0</v>
          </cell>
          <cell r="L399">
            <v>0</v>
          </cell>
          <cell r="O399">
            <v>36836</v>
          </cell>
          <cell r="S399">
            <v>0</v>
          </cell>
          <cell r="T399">
            <v>56</v>
          </cell>
          <cell r="V399">
            <v>0</v>
          </cell>
          <cell r="W399">
            <v>0</v>
          </cell>
          <cell r="X399">
            <v>14.18</v>
          </cell>
          <cell r="AB399">
            <v>13.85</v>
          </cell>
          <cell r="AD399">
            <v>0.13849999999999998</v>
          </cell>
          <cell r="AE399">
            <v>1.95E-2</v>
          </cell>
          <cell r="AF399">
            <v>4.0000000000000001E-3</v>
          </cell>
          <cell r="AG399">
            <v>0.11499999999999998</v>
          </cell>
        </row>
        <row r="400">
          <cell r="A400" t="str">
            <v>W10121</v>
          </cell>
          <cell r="B400">
            <v>383</v>
          </cell>
          <cell r="C400" t="str">
            <v>Advanced Medicare &amp; research Institute Ltd.</v>
          </cell>
          <cell r="D400">
            <v>4</v>
          </cell>
          <cell r="E400">
            <v>36678</v>
          </cell>
          <cell r="F400">
            <v>15470000</v>
          </cell>
          <cell r="G400">
            <v>15477857</v>
          </cell>
          <cell r="L400">
            <v>0.17510000000000001</v>
          </cell>
          <cell r="O400">
            <v>36831</v>
          </cell>
          <cell r="P400">
            <v>36861</v>
          </cell>
          <cell r="Q400">
            <v>225604</v>
          </cell>
          <cell r="R400">
            <v>2793</v>
          </cell>
          <cell r="S400">
            <v>222811</v>
          </cell>
          <cell r="T400">
            <v>31</v>
          </cell>
          <cell r="V400">
            <v>15475064</v>
          </cell>
          <cell r="W400">
            <v>230137.52026958906</v>
          </cell>
          <cell r="X400">
            <v>14.18</v>
          </cell>
          <cell r="AB400">
            <v>13.85</v>
          </cell>
          <cell r="AD400">
            <v>0.13849999999999998</v>
          </cell>
          <cell r="AE400">
            <v>1.95E-2</v>
          </cell>
          <cell r="AF400">
            <v>4.0000000000000001E-3</v>
          </cell>
          <cell r="AG400">
            <v>0.11499999999999998</v>
          </cell>
        </row>
        <row r="401">
          <cell r="A401" t="str">
            <v>W10120</v>
          </cell>
          <cell r="B401">
            <v>384</v>
          </cell>
          <cell r="C401" t="str">
            <v>R. R. Rai</v>
          </cell>
          <cell r="D401">
            <v>1</v>
          </cell>
          <cell r="E401">
            <v>36678</v>
          </cell>
          <cell r="F401">
            <v>1400000</v>
          </cell>
          <cell r="G401">
            <v>1300743</v>
          </cell>
          <cell r="L401">
            <v>0.1835</v>
          </cell>
          <cell r="O401">
            <v>36846</v>
          </cell>
          <cell r="P401">
            <v>36876</v>
          </cell>
          <cell r="Q401">
            <v>35555</v>
          </cell>
          <cell r="R401">
            <v>15933</v>
          </cell>
          <cell r="S401">
            <v>19622</v>
          </cell>
          <cell r="T401">
            <v>16</v>
          </cell>
          <cell r="V401">
            <v>1284810</v>
          </cell>
          <cell r="W401">
            <v>10334.800438356164</v>
          </cell>
          <cell r="X401">
            <v>14.18</v>
          </cell>
          <cell r="AB401">
            <v>13.85</v>
          </cell>
          <cell r="AD401">
            <v>0.13849999999999998</v>
          </cell>
          <cell r="AE401">
            <v>1.95E-2</v>
          </cell>
          <cell r="AF401">
            <v>4.0000000000000001E-3</v>
          </cell>
          <cell r="AG401">
            <v>0.11499999999999998</v>
          </cell>
        </row>
        <row r="402">
          <cell r="A402" t="str">
            <v>W10122</v>
          </cell>
          <cell r="B402">
            <v>385</v>
          </cell>
          <cell r="C402" t="str">
            <v>Raj Arora</v>
          </cell>
          <cell r="D402">
            <v>1</v>
          </cell>
          <cell r="E402">
            <v>36689</v>
          </cell>
          <cell r="F402">
            <v>1031048</v>
          </cell>
          <cell r="G402">
            <v>951075</v>
          </cell>
          <cell r="L402">
            <v>0.1643</v>
          </cell>
          <cell r="O402">
            <v>36851</v>
          </cell>
          <cell r="P402">
            <v>36881</v>
          </cell>
          <cell r="Q402">
            <v>25350</v>
          </cell>
          <cell r="R402">
            <v>12505</v>
          </cell>
          <cell r="S402">
            <v>12845</v>
          </cell>
          <cell r="T402">
            <v>11</v>
          </cell>
          <cell r="V402">
            <v>938570</v>
          </cell>
          <cell r="W402">
            <v>4647.3357835616434</v>
          </cell>
          <cell r="X402">
            <v>14.18</v>
          </cell>
          <cell r="AB402">
            <v>13.85</v>
          </cell>
          <cell r="AD402">
            <v>0.13849999999999998</v>
          </cell>
          <cell r="AE402">
            <v>1.95E-2</v>
          </cell>
          <cell r="AF402">
            <v>4.0000000000000001E-3</v>
          </cell>
          <cell r="AG402">
            <v>0.11499999999999998</v>
          </cell>
        </row>
        <row r="403">
          <cell r="A403" t="str">
            <v>W10123</v>
          </cell>
          <cell r="B403">
            <v>386</v>
          </cell>
          <cell r="C403" t="str">
            <v>Travancore Diagnostics Pvt. Ltd.</v>
          </cell>
          <cell r="D403">
            <v>1</v>
          </cell>
          <cell r="E403">
            <v>36696</v>
          </cell>
          <cell r="F403">
            <v>458159</v>
          </cell>
          <cell r="G403">
            <v>393837</v>
          </cell>
          <cell r="L403">
            <v>0.22689999999999999</v>
          </cell>
          <cell r="O403">
            <v>36856</v>
          </cell>
          <cell r="P403">
            <v>36886</v>
          </cell>
          <cell r="Q403">
            <v>17760</v>
          </cell>
          <cell r="R403">
            <v>10417</v>
          </cell>
          <cell r="S403">
            <v>7343</v>
          </cell>
          <cell r="T403">
            <v>6</v>
          </cell>
          <cell r="V403">
            <v>383420</v>
          </cell>
          <cell r="W403">
            <v>1430.1040767123286</v>
          </cell>
          <cell r="X403">
            <v>14.18</v>
          </cell>
          <cell r="AB403">
            <v>13.85</v>
          </cell>
          <cell r="AD403">
            <v>0.13849999999999998</v>
          </cell>
          <cell r="AE403">
            <v>1.95E-2</v>
          </cell>
          <cell r="AF403">
            <v>4.0000000000000001E-3</v>
          </cell>
          <cell r="AG403">
            <v>0.11499999999999998</v>
          </cell>
        </row>
        <row r="404">
          <cell r="A404" t="str">
            <v>W10124</v>
          </cell>
          <cell r="B404">
            <v>387</v>
          </cell>
          <cell r="C404" t="str">
            <v>Ram Ratan Rai</v>
          </cell>
          <cell r="D404">
            <v>1</v>
          </cell>
          <cell r="E404">
            <v>36699</v>
          </cell>
          <cell r="F404">
            <v>10400000</v>
          </cell>
          <cell r="G404">
            <v>10910593</v>
          </cell>
          <cell r="L404">
            <v>0.16009999999999999</v>
          </cell>
          <cell r="O404">
            <v>36851</v>
          </cell>
          <cell r="P404">
            <v>36881</v>
          </cell>
          <cell r="Q404">
            <v>100000</v>
          </cell>
          <cell r="R404">
            <v>-43538</v>
          </cell>
          <cell r="S404">
            <v>143538</v>
          </cell>
          <cell r="T404">
            <v>11</v>
          </cell>
          <cell r="V404">
            <v>10954131</v>
          </cell>
          <cell r="W404">
            <v>52852.931792054798</v>
          </cell>
          <cell r="X404">
            <v>14.18</v>
          </cell>
          <cell r="AB404">
            <v>13.85</v>
          </cell>
          <cell r="AD404">
            <v>0.13849999999999998</v>
          </cell>
          <cell r="AE404">
            <v>1.95E-2</v>
          </cell>
          <cell r="AF404">
            <v>4.0000000000000001E-3</v>
          </cell>
          <cell r="AG404">
            <v>0.11499999999999998</v>
          </cell>
        </row>
        <row r="405">
          <cell r="A405" t="str">
            <v>W10126</v>
          </cell>
          <cell r="B405">
            <v>388</v>
          </cell>
          <cell r="C405" t="str">
            <v>Jeewan Jyoti Medical Care</v>
          </cell>
          <cell r="D405">
            <v>1</v>
          </cell>
          <cell r="E405">
            <v>36703</v>
          </cell>
          <cell r="F405">
            <v>200000</v>
          </cell>
          <cell r="G405">
            <v>163565.142311548</v>
          </cell>
          <cell r="L405">
            <v>0.17299999999999999</v>
          </cell>
          <cell r="O405">
            <v>36852</v>
          </cell>
          <cell r="P405">
            <v>36882</v>
          </cell>
          <cell r="Q405">
            <v>9900</v>
          </cell>
          <cell r="R405">
            <v>7574</v>
          </cell>
          <cell r="S405">
            <v>2326</v>
          </cell>
          <cell r="T405">
            <v>10</v>
          </cell>
          <cell r="V405">
            <v>155991.142311548</v>
          </cell>
          <cell r="W405">
            <v>739.35527725747397</v>
          </cell>
          <cell r="X405">
            <v>14.18</v>
          </cell>
          <cell r="AB405">
            <v>13.85</v>
          </cell>
          <cell r="AD405">
            <v>0.13849999999999998</v>
          </cell>
          <cell r="AE405">
            <v>1.95E-2</v>
          </cell>
          <cell r="AF405">
            <v>4.0000000000000001E-3</v>
          </cell>
          <cell r="AG405">
            <v>0.11499999999999998</v>
          </cell>
        </row>
        <row r="406">
          <cell r="A406" t="str">
            <v>W10127</v>
          </cell>
          <cell r="B406">
            <v>390</v>
          </cell>
          <cell r="C406" t="str">
            <v>BBR Hospital</v>
          </cell>
          <cell r="D406">
            <v>1</v>
          </cell>
          <cell r="E406">
            <v>36705</v>
          </cell>
          <cell r="F406">
            <v>1211550</v>
          </cell>
          <cell r="G406">
            <v>1131128.580170206</v>
          </cell>
          <cell r="L406">
            <v>0.16489999999999999</v>
          </cell>
          <cell r="O406">
            <v>36835</v>
          </cell>
          <cell r="P406">
            <v>36865</v>
          </cell>
          <cell r="Q406">
            <v>29800</v>
          </cell>
          <cell r="R406">
            <v>14474</v>
          </cell>
          <cell r="S406">
            <v>15326</v>
          </cell>
          <cell r="T406">
            <v>27</v>
          </cell>
          <cell r="V406">
            <v>1116654.580170206</v>
          </cell>
          <cell r="W406">
            <v>13621.044348744679</v>
          </cell>
          <cell r="X406">
            <v>14.18</v>
          </cell>
          <cell r="AB406">
            <v>13.85</v>
          </cell>
          <cell r="AD406">
            <v>0.13849999999999998</v>
          </cell>
          <cell r="AE406">
            <v>1.95E-2</v>
          </cell>
          <cell r="AF406">
            <v>4.0000000000000001E-3</v>
          </cell>
          <cell r="AG406">
            <v>0.11499999999999998</v>
          </cell>
        </row>
        <row r="407">
          <cell r="A407" t="str">
            <v>W10128</v>
          </cell>
          <cell r="B407">
            <v>391</v>
          </cell>
          <cell r="C407" t="str">
            <v>Rajvir Singh</v>
          </cell>
          <cell r="D407">
            <v>1</v>
          </cell>
          <cell r="E407">
            <v>36705</v>
          </cell>
          <cell r="F407">
            <v>5550000</v>
          </cell>
          <cell r="G407">
            <v>5231712.212342592</v>
          </cell>
          <cell r="L407">
            <v>0.16869999999999999</v>
          </cell>
          <cell r="O407">
            <v>36852</v>
          </cell>
          <cell r="P407">
            <v>36882</v>
          </cell>
          <cell r="Q407">
            <v>137200</v>
          </cell>
          <cell r="R407">
            <v>64656</v>
          </cell>
          <cell r="S407">
            <v>72544</v>
          </cell>
          <cell r="T407">
            <v>10</v>
          </cell>
          <cell r="V407">
            <v>5167056.212342592</v>
          </cell>
          <cell r="W407">
            <v>23881.709123895758</v>
          </cell>
          <cell r="X407">
            <v>14.18</v>
          </cell>
          <cell r="AB407">
            <v>13.85</v>
          </cell>
          <cell r="AD407">
            <v>0.13849999999999998</v>
          </cell>
          <cell r="AE407">
            <v>1.95E-2</v>
          </cell>
          <cell r="AF407">
            <v>4.0000000000000001E-3</v>
          </cell>
          <cell r="AG407">
            <v>0.11499999999999998</v>
          </cell>
        </row>
        <row r="408">
          <cell r="A408" t="str">
            <v>W10132</v>
          </cell>
          <cell r="B408">
            <v>392</v>
          </cell>
          <cell r="C408" t="str">
            <v>BBR Multi Speciality Hospital</v>
          </cell>
          <cell r="D408">
            <v>1</v>
          </cell>
          <cell r="E408">
            <v>36706</v>
          </cell>
          <cell r="F408">
            <v>4920000</v>
          </cell>
          <cell r="G408">
            <v>4706523.4534590663</v>
          </cell>
          <cell r="L408">
            <v>0.1673</v>
          </cell>
          <cell r="O408">
            <v>36837</v>
          </cell>
          <cell r="P408">
            <v>36867</v>
          </cell>
          <cell r="Q408">
            <v>121625</v>
          </cell>
          <cell r="R408">
            <v>56889</v>
          </cell>
          <cell r="S408">
            <v>64736</v>
          </cell>
          <cell r="T408">
            <v>25</v>
          </cell>
          <cell r="V408">
            <v>4649634.4534590663</v>
          </cell>
          <cell r="W408">
            <v>53279.715346828882</v>
          </cell>
          <cell r="X408">
            <v>14.18</v>
          </cell>
          <cell r="AB408">
            <v>13.85</v>
          </cell>
          <cell r="AD408">
            <v>0.13849999999999998</v>
          </cell>
          <cell r="AE408">
            <v>1.95E-2</v>
          </cell>
          <cell r="AF408">
            <v>4.0000000000000001E-3</v>
          </cell>
          <cell r="AG408">
            <v>0.11499999999999998</v>
          </cell>
        </row>
        <row r="409">
          <cell r="A409" t="str">
            <v>W10145</v>
          </cell>
          <cell r="B409">
            <v>389</v>
          </cell>
          <cell r="C409" t="str">
            <v>Mohan Singh Bhati</v>
          </cell>
          <cell r="D409">
            <v>1</v>
          </cell>
          <cell r="E409">
            <v>36733</v>
          </cell>
          <cell r="F409">
            <v>133500</v>
          </cell>
          <cell r="G409">
            <v>125501</v>
          </cell>
          <cell r="L409">
            <v>0.18559999999999999</v>
          </cell>
          <cell r="O409">
            <v>36801</v>
          </cell>
          <cell r="S409">
            <v>0</v>
          </cell>
          <cell r="T409">
            <v>91</v>
          </cell>
          <cell r="V409">
            <v>125501</v>
          </cell>
          <cell r="W409">
            <v>5807.2923002739717</v>
          </cell>
          <cell r="X409">
            <v>14.18</v>
          </cell>
          <cell r="AB409">
            <v>13.85</v>
          </cell>
          <cell r="AD409">
            <v>0.13849999999999998</v>
          </cell>
          <cell r="AE409">
            <v>1.95E-2</v>
          </cell>
          <cell r="AF409">
            <v>4.0000000000000001E-3</v>
          </cell>
          <cell r="AG409">
            <v>0.11499999999999998</v>
          </cell>
        </row>
        <row r="410">
          <cell r="A410" t="str">
            <v>W10146</v>
          </cell>
          <cell r="B410">
            <v>393</v>
          </cell>
          <cell r="C410" t="str">
            <v>Mohan Singh Bhati</v>
          </cell>
          <cell r="D410">
            <v>2</v>
          </cell>
          <cell r="E410">
            <v>36733</v>
          </cell>
          <cell r="F410">
            <v>297750</v>
          </cell>
          <cell r="G410">
            <v>279911</v>
          </cell>
          <cell r="L410">
            <v>0.18559999999999999</v>
          </cell>
          <cell r="O410">
            <v>36801</v>
          </cell>
          <cell r="S410">
            <v>0</v>
          </cell>
          <cell r="T410">
            <v>91</v>
          </cell>
          <cell r="V410">
            <v>279911</v>
          </cell>
          <cell r="W410">
            <v>12952.287193424656</v>
          </cell>
          <cell r="X410">
            <v>14.18</v>
          </cell>
          <cell r="AB410">
            <v>13.85</v>
          </cell>
          <cell r="AD410">
            <v>0.13849999999999998</v>
          </cell>
          <cell r="AE410">
            <v>1.95E-2</v>
          </cell>
          <cell r="AF410">
            <v>4.0000000000000001E-3</v>
          </cell>
          <cell r="AG410">
            <v>0.11499999999999998</v>
          </cell>
        </row>
        <row r="411">
          <cell r="A411" t="str">
            <v>W10147</v>
          </cell>
          <cell r="B411">
            <v>394</v>
          </cell>
          <cell r="C411" t="str">
            <v>Vijendra Kumar</v>
          </cell>
          <cell r="D411">
            <v>1</v>
          </cell>
          <cell r="E411">
            <v>36733</v>
          </cell>
          <cell r="F411">
            <v>1400000</v>
          </cell>
          <cell r="G411">
            <v>1307279</v>
          </cell>
          <cell r="L411">
            <v>0.1653</v>
          </cell>
          <cell r="O411">
            <v>36859</v>
          </cell>
          <cell r="P411">
            <v>36889</v>
          </cell>
          <cell r="Q411">
            <v>34050</v>
          </cell>
          <cell r="R411">
            <v>16285</v>
          </cell>
          <cell r="S411">
            <v>17765</v>
          </cell>
          <cell r="T411">
            <v>3</v>
          </cell>
          <cell r="V411">
            <v>1290994</v>
          </cell>
          <cell r="W411">
            <v>1753.983355068493</v>
          </cell>
          <cell r="X411">
            <v>14.18</v>
          </cell>
          <cell r="AB411">
            <v>13.85</v>
          </cell>
          <cell r="AD411">
            <v>0.13849999999999998</v>
          </cell>
          <cell r="AE411">
            <v>1.95E-2</v>
          </cell>
          <cell r="AF411">
            <v>4.0000000000000001E-3</v>
          </cell>
          <cell r="AG411">
            <v>0.11499999999999998</v>
          </cell>
        </row>
        <row r="412">
          <cell r="A412" t="str">
            <v>W10148</v>
          </cell>
          <cell r="B412">
            <v>395</v>
          </cell>
          <cell r="C412" t="str">
            <v>Healing Touch Hospital Pvt. Ltd.</v>
          </cell>
          <cell r="D412">
            <v>1</v>
          </cell>
          <cell r="E412">
            <v>36734</v>
          </cell>
          <cell r="F412">
            <v>1800000</v>
          </cell>
          <cell r="G412">
            <v>1705914</v>
          </cell>
          <cell r="L412">
            <v>0.16389999999999999</v>
          </cell>
          <cell r="O412">
            <v>36837</v>
          </cell>
          <cell r="P412">
            <v>36867</v>
          </cell>
          <cell r="Q412">
            <v>43776</v>
          </cell>
          <cell r="R412">
            <v>20791</v>
          </cell>
          <cell r="S412">
            <v>22985</v>
          </cell>
          <cell r="T412">
            <v>25</v>
          </cell>
          <cell r="V412">
            <v>1685123</v>
          </cell>
          <cell r="W412">
            <v>18917.236965753422</v>
          </cell>
          <cell r="X412">
            <v>14.18</v>
          </cell>
          <cell r="AB412">
            <v>13.85</v>
          </cell>
          <cell r="AD412">
            <v>0.13849999999999998</v>
          </cell>
          <cell r="AE412">
            <v>1.95E-2</v>
          </cell>
          <cell r="AF412">
            <v>4.0000000000000001E-3</v>
          </cell>
          <cell r="AG412">
            <v>0.11499999999999998</v>
          </cell>
        </row>
        <row r="413">
          <cell r="A413" t="str">
            <v>W10149</v>
          </cell>
          <cell r="B413">
            <v>396</v>
          </cell>
          <cell r="C413" t="str">
            <v>Inderjit Singh</v>
          </cell>
          <cell r="D413">
            <v>1</v>
          </cell>
          <cell r="E413">
            <v>36759</v>
          </cell>
          <cell r="F413">
            <v>1275000</v>
          </cell>
          <cell r="G413">
            <v>1222355</v>
          </cell>
          <cell r="L413">
            <v>0.16389999999999999</v>
          </cell>
          <cell r="O413">
            <v>36831</v>
          </cell>
          <cell r="P413">
            <v>36861</v>
          </cell>
          <cell r="Q413">
            <v>31000</v>
          </cell>
          <cell r="R413">
            <v>14531</v>
          </cell>
          <cell r="S413">
            <v>16469</v>
          </cell>
          <cell r="T413">
            <v>31</v>
          </cell>
          <cell r="V413">
            <v>1207824</v>
          </cell>
          <cell r="W413">
            <v>16813.240990684928</v>
          </cell>
          <cell r="X413">
            <v>14.68</v>
          </cell>
          <cell r="AB413">
            <v>14.35</v>
          </cell>
          <cell r="AD413">
            <v>0.14349999999999999</v>
          </cell>
          <cell r="AE413">
            <v>1.95E-2</v>
          </cell>
          <cell r="AF413">
            <v>4.0000000000000001E-3</v>
          </cell>
          <cell r="AG413">
            <v>0.11999999999999998</v>
          </cell>
        </row>
        <row r="414">
          <cell r="A414" t="str">
            <v>W10150</v>
          </cell>
          <cell r="B414">
            <v>397</v>
          </cell>
          <cell r="C414" t="str">
            <v>Jitendra Kumar Palvia</v>
          </cell>
          <cell r="D414">
            <v>1</v>
          </cell>
          <cell r="E414">
            <v>36760</v>
          </cell>
          <cell r="F414">
            <v>538183</v>
          </cell>
          <cell r="G414">
            <v>498614</v>
          </cell>
          <cell r="L414">
            <v>0.17519999999999999</v>
          </cell>
          <cell r="O414">
            <v>36837</v>
          </cell>
          <cell r="P414">
            <v>36867</v>
          </cell>
          <cell r="Q414">
            <v>19610</v>
          </cell>
          <cell r="R414">
            <v>12429</v>
          </cell>
          <cell r="S414">
            <v>7181</v>
          </cell>
          <cell r="T414">
            <v>25</v>
          </cell>
          <cell r="V414">
            <v>486185</v>
          </cell>
          <cell r="W414">
            <v>5834.2199999999993</v>
          </cell>
          <cell r="X414">
            <v>14.68</v>
          </cell>
          <cell r="AB414">
            <v>14.35</v>
          </cell>
          <cell r="AD414">
            <v>0.14349999999999999</v>
          </cell>
          <cell r="AE414">
            <v>1.95E-2</v>
          </cell>
          <cell r="AF414">
            <v>4.0000000000000001E-3</v>
          </cell>
          <cell r="AG414">
            <v>0.11999999999999998</v>
          </cell>
        </row>
        <row r="415">
          <cell r="A415" t="str">
            <v>W10151</v>
          </cell>
          <cell r="B415">
            <v>398</v>
          </cell>
          <cell r="C415" t="str">
            <v>The Cochin Coop Hospital</v>
          </cell>
          <cell r="D415">
            <v>2</v>
          </cell>
          <cell r="E415">
            <v>36766</v>
          </cell>
          <cell r="F415">
            <v>1912500</v>
          </cell>
          <cell r="G415">
            <v>1778548</v>
          </cell>
          <cell r="L415">
            <v>0.18690000000000001</v>
          </cell>
          <cell r="O415">
            <v>36835</v>
          </cell>
          <cell r="P415">
            <v>36865</v>
          </cell>
          <cell r="Q415">
            <v>65216</v>
          </cell>
          <cell r="R415">
            <v>37888</v>
          </cell>
          <cell r="S415">
            <v>27328</v>
          </cell>
          <cell r="T415">
            <v>27</v>
          </cell>
          <cell r="V415">
            <v>1740660</v>
          </cell>
          <cell r="W415">
            <v>24065.459063013703</v>
          </cell>
          <cell r="X415">
            <v>14.68</v>
          </cell>
          <cell r="AB415">
            <v>14.35</v>
          </cell>
          <cell r="AD415">
            <v>0.14349999999999999</v>
          </cell>
          <cell r="AE415">
            <v>1.95E-2</v>
          </cell>
          <cell r="AF415">
            <v>4.0000000000000001E-3</v>
          </cell>
          <cell r="AG415">
            <v>0.11999999999999998</v>
          </cell>
        </row>
        <row r="416">
          <cell r="A416" t="str">
            <v>W10152</v>
          </cell>
          <cell r="B416">
            <v>399</v>
          </cell>
          <cell r="C416" t="str">
            <v>A C Tripathi</v>
          </cell>
          <cell r="D416">
            <v>1</v>
          </cell>
          <cell r="E416">
            <v>36766</v>
          </cell>
          <cell r="F416">
            <v>342481</v>
          </cell>
          <cell r="G416">
            <v>317013</v>
          </cell>
          <cell r="L416">
            <v>0.17599999999999999</v>
          </cell>
          <cell r="O416">
            <v>36841</v>
          </cell>
          <cell r="P416">
            <v>36871</v>
          </cell>
          <cell r="Q416">
            <v>12480</v>
          </cell>
          <cell r="R416">
            <v>7894</v>
          </cell>
          <cell r="S416">
            <v>4586</v>
          </cell>
          <cell r="T416">
            <v>21</v>
          </cell>
          <cell r="V416">
            <v>309119</v>
          </cell>
          <cell r="W416">
            <v>3130.1474630136981</v>
          </cell>
          <cell r="X416">
            <v>14.68</v>
          </cell>
          <cell r="AB416">
            <v>14.35</v>
          </cell>
          <cell r="AD416">
            <v>0.14349999999999999</v>
          </cell>
          <cell r="AE416">
            <v>1.95E-2</v>
          </cell>
          <cell r="AF416">
            <v>4.0000000000000001E-3</v>
          </cell>
          <cell r="AG416">
            <v>0.11999999999999998</v>
          </cell>
        </row>
        <row r="417">
          <cell r="A417" t="str">
            <v>W10153</v>
          </cell>
          <cell r="B417">
            <v>400</v>
          </cell>
          <cell r="C417" t="str">
            <v>Shivam Ultrasound</v>
          </cell>
          <cell r="D417">
            <v>1</v>
          </cell>
          <cell r="E417">
            <v>36767</v>
          </cell>
          <cell r="F417">
            <v>313111</v>
          </cell>
          <cell r="G417">
            <v>289636</v>
          </cell>
          <cell r="L417">
            <v>0.17249999999999999</v>
          </cell>
          <cell r="O417">
            <v>36853</v>
          </cell>
          <cell r="P417">
            <v>36883</v>
          </cell>
          <cell r="Q417">
            <v>11950</v>
          </cell>
          <cell r="R417">
            <v>7844</v>
          </cell>
          <cell r="S417">
            <v>4106</v>
          </cell>
          <cell r="T417">
            <v>9</v>
          </cell>
          <cell r="V417">
            <v>281792</v>
          </cell>
          <cell r="W417">
            <v>1198.5810410958902</v>
          </cell>
          <cell r="X417">
            <v>14.68</v>
          </cell>
          <cell r="AB417">
            <v>14.35</v>
          </cell>
          <cell r="AD417">
            <v>0.14349999999999999</v>
          </cell>
          <cell r="AE417">
            <v>1.95E-2</v>
          </cell>
          <cell r="AF417">
            <v>4.0000000000000001E-3</v>
          </cell>
          <cell r="AG417">
            <v>0.11999999999999998</v>
          </cell>
        </row>
        <row r="418">
          <cell r="A418" t="str">
            <v>W10154</v>
          </cell>
          <cell r="B418">
            <v>401</v>
          </cell>
          <cell r="C418" t="str">
            <v>Parul Sharma ( Dues for 30Aug-00 + Sep00)</v>
          </cell>
          <cell r="D418">
            <v>1</v>
          </cell>
          <cell r="E418">
            <v>36767</v>
          </cell>
          <cell r="F418">
            <v>363959</v>
          </cell>
          <cell r="G418">
            <v>323171</v>
          </cell>
          <cell r="L418">
            <v>0.19800000000000001</v>
          </cell>
          <cell r="O418">
            <v>36860</v>
          </cell>
          <cell r="P418">
            <v>36890</v>
          </cell>
          <cell r="Q418">
            <v>14500</v>
          </cell>
          <cell r="R418">
            <v>9240</v>
          </cell>
          <cell r="S418">
            <v>5260</v>
          </cell>
          <cell r="T418">
            <v>2</v>
          </cell>
          <cell r="V418">
            <v>313931</v>
          </cell>
          <cell r="W418">
            <v>340.59363287671232</v>
          </cell>
          <cell r="X418">
            <v>14.68</v>
          </cell>
          <cell r="AB418">
            <v>14.35</v>
          </cell>
          <cell r="AD418">
            <v>0.14349999999999999</v>
          </cell>
          <cell r="AE418">
            <v>1.95E-2</v>
          </cell>
          <cell r="AF418">
            <v>4.0000000000000001E-3</v>
          </cell>
          <cell r="AG418">
            <v>0.11999999999999998</v>
          </cell>
        </row>
        <row r="419">
          <cell r="A419" t="str">
            <v>W10155</v>
          </cell>
          <cell r="B419">
            <v>402</v>
          </cell>
          <cell r="C419" t="str">
            <v>Bimla Bhateja</v>
          </cell>
          <cell r="D419">
            <v>1</v>
          </cell>
          <cell r="E419">
            <v>36767</v>
          </cell>
          <cell r="F419">
            <v>434998</v>
          </cell>
          <cell r="G419">
            <v>402141</v>
          </cell>
          <cell r="L419">
            <v>0.1895</v>
          </cell>
          <cell r="O419">
            <v>36838</v>
          </cell>
          <cell r="P419">
            <v>36868</v>
          </cell>
          <cell r="Q419">
            <v>16100</v>
          </cell>
          <cell r="R419">
            <v>9837</v>
          </cell>
          <cell r="S419">
            <v>6263</v>
          </cell>
          <cell r="T419">
            <v>24</v>
          </cell>
          <cell r="V419">
            <v>392304</v>
          </cell>
          <cell r="W419">
            <v>4888.2153205479444</v>
          </cell>
          <cell r="X419">
            <v>14.68</v>
          </cell>
          <cell r="AB419">
            <v>14.35</v>
          </cell>
          <cell r="AD419">
            <v>0.14349999999999999</v>
          </cell>
          <cell r="AE419">
            <v>1.95E-2</v>
          </cell>
          <cell r="AF419">
            <v>4.0000000000000001E-3</v>
          </cell>
          <cell r="AG419">
            <v>0.11999999999999998</v>
          </cell>
        </row>
        <row r="420">
          <cell r="A420" t="str">
            <v>W10156</v>
          </cell>
          <cell r="B420">
            <v>403</v>
          </cell>
          <cell r="C420" t="str">
            <v>Mahagujrat</v>
          </cell>
          <cell r="D420">
            <v>1</v>
          </cell>
          <cell r="E420">
            <v>36767</v>
          </cell>
          <cell r="F420">
            <v>3800000</v>
          </cell>
          <cell r="G420">
            <v>1815041</v>
          </cell>
          <cell r="L420">
            <v>0.29270000000000002</v>
          </cell>
          <cell r="O420">
            <v>36789</v>
          </cell>
          <cell r="P420">
            <v>36880</v>
          </cell>
          <cell r="Q420">
            <v>1026000</v>
          </cell>
          <cell r="R420">
            <v>893548</v>
          </cell>
          <cell r="S420">
            <v>132452</v>
          </cell>
          <cell r="T420">
            <v>12</v>
          </cell>
          <cell r="V420">
            <v>921493</v>
          </cell>
          <cell r="W420">
            <v>8867.53976219178</v>
          </cell>
          <cell r="X420">
            <v>14.68</v>
          </cell>
          <cell r="AB420">
            <v>14.35</v>
          </cell>
          <cell r="AD420">
            <v>0.14349999999999999</v>
          </cell>
          <cell r="AE420">
            <v>1.95E-2</v>
          </cell>
          <cell r="AF420">
            <v>4.0000000000000001E-3</v>
          </cell>
          <cell r="AG420">
            <v>0.11999999999999998</v>
          </cell>
        </row>
        <row r="421">
          <cell r="A421" t="str">
            <v>W10157</v>
          </cell>
          <cell r="B421">
            <v>404</v>
          </cell>
          <cell r="C421" t="str">
            <v>Bharat Scans Pvt. Ltd.</v>
          </cell>
          <cell r="D421">
            <v>3</v>
          </cell>
          <cell r="E421">
            <v>36767</v>
          </cell>
          <cell r="F421">
            <v>2205000</v>
          </cell>
          <cell r="G421">
            <v>2125503</v>
          </cell>
          <cell r="L421">
            <v>0.1719</v>
          </cell>
          <cell r="O421">
            <v>36850</v>
          </cell>
          <cell r="P421">
            <v>36880</v>
          </cell>
          <cell r="Q421">
            <v>54800</v>
          </cell>
          <cell r="R421">
            <v>24776</v>
          </cell>
          <cell r="S421">
            <v>30024</v>
          </cell>
          <cell r="T421">
            <v>12</v>
          </cell>
          <cell r="V421">
            <v>2100727</v>
          </cell>
          <cell r="W421">
            <v>11872.273029041095</v>
          </cell>
          <cell r="X421">
            <v>14.68</v>
          </cell>
          <cell r="AB421">
            <v>14.35</v>
          </cell>
          <cell r="AD421">
            <v>0.14349999999999999</v>
          </cell>
          <cell r="AE421">
            <v>1.95E-2</v>
          </cell>
          <cell r="AF421">
            <v>4.0000000000000001E-3</v>
          </cell>
          <cell r="AG421">
            <v>0.11999999999999998</v>
          </cell>
        </row>
        <row r="422">
          <cell r="A422" t="str">
            <v>W10158</v>
          </cell>
          <cell r="B422">
            <v>405</v>
          </cell>
          <cell r="C422" t="str">
            <v>Shatabadi Mediscans</v>
          </cell>
          <cell r="D422">
            <v>1</v>
          </cell>
          <cell r="E422">
            <v>36767</v>
          </cell>
          <cell r="F422">
            <v>1505192</v>
          </cell>
          <cell r="G422">
            <v>1444992</v>
          </cell>
          <cell r="L422">
            <v>0.19439999999999999</v>
          </cell>
          <cell r="O422">
            <v>36838</v>
          </cell>
          <cell r="P422">
            <v>36868</v>
          </cell>
          <cell r="Q422">
            <v>38625</v>
          </cell>
          <cell r="R422">
            <v>15537</v>
          </cell>
          <cell r="S422">
            <v>23088</v>
          </cell>
          <cell r="T422">
            <v>24</v>
          </cell>
          <cell r="V422">
            <v>1429455</v>
          </cell>
          <cell r="W422">
            <v>18271.959583561642</v>
          </cell>
          <cell r="X422">
            <v>14.68</v>
          </cell>
          <cell r="AB422">
            <v>14.35</v>
          </cell>
          <cell r="AD422">
            <v>0.14349999999999999</v>
          </cell>
          <cell r="AE422">
            <v>1.95E-2</v>
          </cell>
          <cell r="AF422">
            <v>4.0000000000000001E-3</v>
          </cell>
          <cell r="AG422">
            <v>0.11999999999999998</v>
          </cell>
        </row>
        <row r="423">
          <cell r="A423" t="str">
            <v>W10159</v>
          </cell>
          <cell r="B423">
            <v>406</v>
          </cell>
          <cell r="C423" t="str">
            <v>Rabindra Prasad</v>
          </cell>
          <cell r="D423">
            <v>1</v>
          </cell>
          <cell r="E423">
            <v>36768</v>
          </cell>
          <cell r="F423">
            <v>989016</v>
          </cell>
          <cell r="G423">
            <v>951081</v>
          </cell>
          <cell r="L423">
            <v>0.16220000000000001</v>
          </cell>
          <cell r="O423">
            <v>36849</v>
          </cell>
          <cell r="P423">
            <v>36879</v>
          </cell>
          <cell r="Q423">
            <v>24320</v>
          </cell>
          <cell r="R423">
            <v>11640</v>
          </cell>
          <cell r="S423">
            <v>12680</v>
          </cell>
          <cell r="T423">
            <v>13</v>
          </cell>
          <cell r="V423">
            <v>939441</v>
          </cell>
          <cell r="W423">
            <v>5427.1377879452057</v>
          </cell>
          <cell r="X423">
            <v>14.68</v>
          </cell>
          <cell r="AB423">
            <v>14.35</v>
          </cell>
          <cell r="AD423">
            <v>0.14349999999999999</v>
          </cell>
          <cell r="AE423">
            <v>1.95E-2</v>
          </cell>
          <cell r="AF423">
            <v>4.0000000000000001E-3</v>
          </cell>
          <cell r="AG423">
            <v>0.11999999999999998</v>
          </cell>
        </row>
        <row r="424">
          <cell r="A424" t="str">
            <v>W10160</v>
          </cell>
          <cell r="B424">
            <v>407</v>
          </cell>
          <cell r="C424" t="str">
            <v>Bharat Scans Pvt. Ltd.</v>
          </cell>
          <cell r="D424">
            <v>4</v>
          </cell>
          <cell r="E424">
            <v>36770</v>
          </cell>
          <cell r="F424">
            <v>2160000</v>
          </cell>
          <cell r="G424">
            <v>2160000</v>
          </cell>
          <cell r="L424">
            <v>0.17119999999999999</v>
          </cell>
          <cell r="O424">
            <v>36770</v>
          </cell>
          <cell r="P424">
            <v>36888</v>
          </cell>
          <cell r="Q424">
            <v>57880</v>
          </cell>
          <cell r="R424">
            <v>-61685</v>
          </cell>
          <cell r="S424">
            <v>119565</v>
          </cell>
          <cell r="T424">
            <v>4</v>
          </cell>
          <cell r="V424">
            <v>2221685</v>
          </cell>
          <cell r="W424">
            <v>4168.2462684931506</v>
          </cell>
          <cell r="X424">
            <v>14.68</v>
          </cell>
          <cell r="AB424">
            <v>14.35</v>
          </cell>
          <cell r="AD424">
            <v>0.14349999999999999</v>
          </cell>
          <cell r="AE424">
            <v>1.95E-2</v>
          </cell>
          <cell r="AF424">
            <v>4.0000000000000001E-3</v>
          </cell>
          <cell r="AG424">
            <v>0.11999999999999998</v>
          </cell>
        </row>
        <row r="425">
          <cell r="A425" t="str">
            <v>W10161</v>
          </cell>
          <cell r="B425">
            <v>408</v>
          </cell>
          <cell r="C425" t="str">
            <v>M K Selveyraj Children Hospital</v>
          </cell>
          <cell r="D425">
            <v>1</v>
          </cell>
          <cell r="E425">
            <v>36770</v>
          </cell>
          <cell r="F425">
            <v>615000</v>
          </cell>
          <cell r="G425">
            <v>574830</v>
          </cell>
          <cell r="L425">
            <v>0.18110000000000001</v>
          </cell>
          <cell r="O425">
            <v>36859</v>
          </cell>
          <cell r="P425">
            <v>36889</v>
          </cell>
          <cell r="Q425">
            <v>22235</v>
          </cell>
          <cell r="R425">
            <v>13680</v>
          </cell>
          <cell r="S425">
            <v>8555</v>
          </cell>
          <cell r="T425">
            <v>3</v>
          </cell>
          <cell r="V425">
            <v>561150</v>
          </cell>
          <cell r="W425">
            <v>835.26793150684921</v>
          </cell>
          <cell r="X425">
            <v>14.68</v>
          </cell>
          <cell r="AB425">
            <v>14.35</v>
          </cell>
          <cell r="AD425">
            <v>0.14349999999999999</v>
          </cell>
          <cell r="AE425">
            <v>1.95E-2</v>
          </cell>
          <cell r="AF425">
            <v>4.0000000000000001E-3</v>
          </cell>
          <cell r="AG425">
            <v>0.11999999999999998</v>
          </cell>
        </row>
        <row r="426">
          <cell r="A426" t="str">
            <v>W10129</v>
          </cell>
          <cell r="B426">
            <v>409</v>
          </cell>
          <cell r="C426" t="str">
            <v>Manipal Academy of Higher ( NON PDC )</v>
          </cell>
          <cell r="D426">
            <v>2</v>
          </cell>
          <cell r="E426">
            <v>36706</v>
          </cell>
          <cell r="F426">
            <v>39052500</v>
          </cell>
          <cell r="G426">
            <v>39126032</v>
          </cell>
          <cell r="L426">
            <v>0.15989999999999999</v>
          </cell>
          <cell r="O426">
            <v>36809</v>
          </cell>
          <cell r="S426">
            <v>0</v>
          </cell>
          <cell r="T426">
            <v>83</v>
          </cell>
          <cell r="V426">
            <v>39126032</v>
          </cell>
          <cell r="W426">
            <v>1422654.6819024659</v>
          </cell>
          <cell r="X426">
            <v>14.18</v>
          </cell>
          <cell r="AB426">
            <v>13.85</v>
          </cell>
          <cell r="AD426">
            <v>0.13849999999999998</v>
          </cell>
          <cell r="AE426">
            <v>1.95E-2</v>
          </cell>
          <cell r="AF426">
            <v>4.0000000000000001E-3</v>
          </cell>
          <cell r="AG426">
            <v>0.11499999999999998</v>
          </cell>
        </row>
        <row r="427">
          <cell r="A427" t="str">
            <v>W10133</v>
          </cell>
          <cell r="B427">
            <v>410</v>
          </cell>
          <cell r="C427" t="str">
            <v>Medisewa Scanning Centre</v>
          </cell>
          <cell r="D427">
            <v>1</v>
          </cell>
          <cell r="E427">
            <v>36706</v>
          </cell>
          <cell r="F427">
            <v>4354000</v>
          </cell>
          <cell r="G427">
            <v>4171476</v>
          </cell>
          <cell r="L427">
            <v>0.17979999999999999</v>
          </cell>
          <cell r="O427">
            <v>36853</v>
          </cell>
          <cell r="P427">
            <v>36883</v>
          </cell>
          <cell r="Q427">
            <v>110563</v>
          </cell>
          <cell r="R427">
            <v>48919</v>
          </cell>
          <cell r="S427">
            <v>61644</v>
          </cell>
          <cell r="T427">
            <v>9</v>
          </cell>
          <cell r="V427">
            <v>4122557</v>
          </cell>
          <cell r="W427">
            <v>18277.045855890407</v>
          </cell>
          <cell r="X427">
            <v>14.18</v>
          </cell>
          <cell r="AB427">
            <v>13.85</v>
          </cell>
          <cell r="AD427">
            <v>0.13849999999999998</v>
          </cell>
          <cell r="AE427">
            <v>1.95E-2</v>
          </cell>
          <cell r="AF427">
            <v>4.0000000000000001E-3</v>
          </cell>
          <cell r="AG427">
            <v>0.11499999999999998</v>
          </cell>
        </row>
        <row r="428">
          <cell r="A428" t="str">
            <v>W10136</v>
          </cell>
          <cell r="B428">
            <v>411</v>
          </cell>
          <cell r="C428" t="str">
            <v>Meenakshi Mission</v>
          </cell>
          <cell r="D428">
            <v>1</v>
          </cell>
          <cell r="E428">
            <v>36706</v>
          </cell>
          <cell r="F428">
            <v>9000000</v>
          </cell>
          <cell r="G428">
            <v>8774136</v>
          </cell>
          <cell r="L428">
            <v>0.16</v>
          </cell>
          <cell r="O428">
            <v>36854</v>
          </cell>
          <cell r="P428">
            <v>36884</v>
          </cell>
          <cell r="Q428">
            <v>195250</v>
          </cell>
          <cell r="R428">
            <v>79884</v>
          </cell>
          <cell r="S428">
            <v>115366</v>
          </cell>
          <cell r="T428">
            <v>8</v>
          </cell>
          <cell r="V428">
            <v>8694252</v>
          </cell>
          <cell r="W428">
            <v>30489.431671232876</v>
          </cell>
          <cell r="X428">
            <v>14.18</v>
          </cell>
          <cell r="AB428">
            <v>13.85</v>
          </cell>
          <cell r="AD428">
            <v>0.13849999999999998</v>
          </cell>
          <cell r="AE428">
            <v>1.95E-2</v>
          </cell>
          <cell r="AF428">
            <v>4.0000000000000001E-3</v>
          </cell>
          <cell r="AG428">
            <v>0.11499999999999998</v>
          </cell>
        </row>
        <row r="429">
          <cell r="A429" t="str">
            <v>W10138</v>
          </cell>
          <cell r="B429">
            <v>412</v>
          </cell>
          <cell r="C429" t="str">
            <v>Manipal Academy of Higher ( NON PDC )</v>
          </cell>
          <cell r="D429">
            <v>2</v>
          </cell>
          <cell r="E429">
            <v>36706</v>
          </cell>
          <cell r="F429">
            <v>5442500</v>
          </cell>
          <cell r="G429">
            <v>5305960</v>
          </cell>
          <cell r="L429">
            <v>0.1623</v>
          </cell>
          <cell r="O429">
            <v>36809</v>
          </cell>
          <cell r="S429">
            <v>0</v>
          </cell>
          <cell r="T429">
            <v>83</v>
          </cell>
          <cell r="V429">
            <v>5305960</v>
          </cell>
          <cell r="W429">
            <v>195824.81250410961</v>
          </cell>
          <cell r="X429">
            <v>14.18</v>
          </cell>
          <cell r="AB429">
            <v>13.85</v>
          </cell>
          <cell r="AD429">
            <v>0.13849999999999998</v>
          </cell>
          <cell r="AE429">
            <v>1.95E-2</v>
          </cell>
          <cell r="AF429">
            <v>4.0000000000000001E-3</v>
          </cell>
          <cell r="AG429">
            <v>0.11499999999999998</v>
          </cell>
        </row>
        <row r="430">
          <cell r="A430" t="str">
            <v>W10139</v>
          </cell>
          <cell r="B430">
            <v>413</v>
          </cell>
          <cell r="C430" t="str">
            <v>Sriniwasa Cardiology Centre</v>
          </cell>
          <cell r="D430">
            <v>1</v>
          </cell>
          <cell r="E430">
            <v>36706</v>
          </cell>
          <cell r="F430">
            <v>21880400</v>
          </cell>
          <cell r="G430">
            <v>22827740</v>
          </cell>
          <cell r="L430">
            <v>0.1598</v>
          </cell>
          <cell r="O430">
            <v>36843</v>
          </cell>
          <cell r="P430">
            <v>36873</v>
          </cell>
          <cell r="Q430">
            <v>255270</v>
          </cell>
          <cell r="R430">
            <v>-44637</v>
          </cell>
          <cell r="S430">
            <v>299907</v>
          </cell>
          <cell r="T430">
            <v>19</v>
          </cell>
          <cell r="V430">
            <v>22872377</v>
          </cell>
          <cell r="W430">
            <v>190260.5782120548</v>
          </cell>
          <cell r="X430">
            <v>14.18</v>
          </cell>
          <cell r="AB430">
            <v>13.85</v>
          </cell>
          <cell r="AD430">
            <v>0.13849999999999998</v>
          </cell>
          <cell r="AE430">
            <v>1.95E-2</v>
          </cell>
          <cell r="AF430">
            <v>4.0000000000000001E-3</v>
          </cell>
          <cell r="AG430">
            <v>0.11499999999999998</v>
          </cell>
        </row>
        <row r="431">
          <cell r="A431" t="str">
            <v>W10140</v>
          </cell>
          <cell r="B431">
            <v>414</v>
          </cell>
          <cell r="C431" t="str">
            <v>Sriniwasa Cardiology Centre</v>
          </cell>
          <cell r="D431">
            <v>2</v>
          </cell>
          <cell r="E431">
            <v>36706</v>
          </cell>
          <cell r="F431">
            <v>4320000</v>
          </cell>
          <cell r="G431">
            <v>4507043</v>
          </cell>
          <cell r="L431">
            <v>0.1598</v>
          </cell>
          <cell r="O431">
            <v>36843</v>
          </cell>
          <cell r="P431">
            <v>36873</v>
          </cell>
          <cell r="Q431">
            <v>50400</v>
          </cell>
          <cell r="R431">
            <v>-8814</v>
          </cell>
          <cell r="S431">
            <v>59214</v>
          </cell>
          <cell r="T431">
            <v>19</v>
          </cell>
          <cell r="V431">
            <v>4515857</v>
          </cell>
          <cell r="W431">
            <v>37564.506913424659</v>
          </cell>
          <cell r="X431">
            <v>14.18</v>
          </cell>
          <cell r="AB431">
            <v>13.85</v>
          </cell>
          <cell r="AD431">
            <v>0.13849999999999998</v>
          </cell>
          <cell r="AE431">
            <v>1.95E-2</v>
          </cell>
          <cell r="AF431">
            <v>4.0000000000000001E-3</v>
          </cell>
          <cell r="AG431">
            <v>0.11499999999999998</v>
          </cell>
        </row>
        <row r="432">
          <cell r="A432" t="str">
            <v>W10141</v>
          </cell>
          <cell r="B432">
            <v>415</v>
          </cell>
          <cell r="C432" t="str">
            <v>Sriniwasa Cardiology Centre</v>
          </cell>
          <cell r="D432">
            <v>3</v>
          </cell>
          <cell r="E432">
            <v>36706</v>
          </cell>
          <cell r="F432">
            <v>3600000</v>
          </cell>
          <cell r="G432">
            <v>3755873</v>
          </cell>
          <cell r="L432">
            <v>0.1598</v>
          </cell>
          <cell r="O432">
            <v>36843</v>
          </cell>
          <cell r="P432">
            <v>36873</v>
          </cell>
          <cell r="Q432">
            <v>42000</v>
          </cell>
          <cell r="R432">
            <v>-7346</v>
          </cell>
          <cell r="S432">
            <v>49346</v>
          </cell>
          <cell r="T432">
            <v>19</v>
          </cell>
          <cell r="V432">
            <v>3763219</v>
          </cell>
          <cell r="W432">
            <v>31303.795966575341</v>
          </cell>
          <cell r="X432">
            <v>14.18</v>
          </cell>
          <cell r="AB432">
            <v>13.85</v>
          </cell>
          <cell r="AD432">
            <v>0.13849999999999998</v>
          </cell>
          <cell r="AE432">
            <v>1.95E-2</v>
          </cell>
          <cell r="AF432">
            <v>4.0000000000000001E-3</v>
          </cell>
          <cell r="AG432">
            <v>0.11499999999999998</v>
          </cell>
        </row>
        <row r="433">
          <cell r="A433" t="str">
            <v>W10142</v>
          </cell>
          <cell r="B433">
            <v>416</v>
          </cell>
          <cell r="C433" t="str">
            <v>Sriniwasa Cardiology Centre</v>
          </cell>
          <cell r="D433">
            <v>4</v>
          </cell>
          <cell r="E433">
            <v>36706</v>
          </cell>
          <cell r="F433">
            <v>2599600</v>
          </cell>
          <cell r="G433">
            <v>2712156</v>
          </cell>
          <cell r="L433">
            <v>0.1598</v>
          </cell>
          <cell r="O433">
            <v>36843</v>
          </cell>
          <cell r="P433">
            <v>36873</v>
          </cell>
          <cell r="Q433">
            <v>30330</v>
          </cell>
          <cell r="R433">
            <v>-5303</v>
          </cell>
          <cell r="S433">
            <v>35633</v>
          </cell>
          <cell r="T433">
            <v>19</v>
          </cell>
          <cell r="V433">
            <v>2717459</v>
          </cell>
          <cell r="W433">
            <v>22604.791824109587</v>
          </cell>
          <cell r="X433">
            <v>14.18</v>
          </cell>
          <cell r="AB433">
            <v>13.85</v>
          </cell>
          <cell r="AD433">
            <v>0.13849999999999998</v>
          </cell>
          <cell r="AE433">
            <v>1.95E-2</v>
          </cell>
          <cell r="AF433">
            <v>4.0000000000000001E-3</v>
          </cell>
          <cell r="AG433">
            <v>0.11499999999999998</v>
          </cell>
        </row>
        <row r="434">
          <cell r="A434" t="str">
            <v>W10162</v>
          </cell>
          <cell r="B434">
            <v>417</v>
          </cell>
          <cell r="C434" t="str">
            <v>Sant Nischal Singh</v>
          </cell>
          <cell r="D434">
            <v>1</v>
          </cell>
          <cell r="E434">
            <v>36796</v>
          </cell>
          <cell r="F434">
            <v>300000</v>
          </cell>
          <cell r="G434">
            <v>285571</v>
          </cell>
          <cell r="L434">
            <v>0.19539999999999999</v>
          </cell>
          <cell r="O434">
            <v>36844</v>
          </cell>
          <cell r="P434">
            <v>36874</v>
          </cell>
          <cell r="Q434">
            <v>11000</v>
          </cell>
          <cell r="R434">
            <v>6414</v>
          </cell>
          <cell r="S434">
            <v>4586</v>
          </cell>
          <cell r="T434">
            <v>18</v>
          </cell>
          <cell r="V434">
            <v>279157</v>
          </cell>
          <cell r="W434">
            <v>2690.0027408219175</v>
          </cell>
          <cell r="X434">
            <v>14.18</v>
          </cell>
          <cell r="AB434">
            <v>14.35</v>
          </cell>
          <cell r="AD434">
            <v>0.14349999999999999</v>
          </cell>
          <cell r="AE434">
            <v>1.95E-2</v>
          </cell>
          <cell r="AF434">
            <v>4.0000000000000001E-3</v>
          </cell>
          <cell r="AG434">
            <v>0.11999999999999998</v>
          </cell>
        </row>
        <row r="435">
          <cell r="A435" t="str">
            <v>W10164</v>
          </cell>
          <cell r="B435">
            <v>418</v>
          </cell>
          <cell r="C435" t="str">
            <v>K.S Shanmugam</v>
          </cell>
          <cell r="D435">
            <v>1</v>
          </cell>
          <cell r="E435">
            <v>36796</v>
          </cell>
          <cell r="F435">
            <v>220000</v>
          </cell>
          <cell r="G435">
            <v>203174</v>
          </cell>
          <cell r="L435">
            <v>0.19109999999999999</v>
          </cell>
          <cell r="O435">
            <v>36860</v>
          </cell>
          <cell r="P435">
            <v>36890</v>
          </cell>
          <cell r="Q435">
            <v>7960</v>
          </cell>
          <cell r="R435">
            <v>4769</v>
          </cell>
          <cell r="S435">
            <v>3191</v>
          </cell>
          <cell r="T435">
            <v>2</v>
          </cell>
          <cell r="V435">
            <v>198405</v>
          </cell>
          <cell r="W435">
            <v>207.75449589041094</v>
          </cell>
          <cell r="X435">
            <v>14.18</v>
          </cell>
          <cell r="AB435">
            <v>14.35</v>
          </cell>
          <cell r="AD435">
            <v>0.14349999999999999</v>
          </cell>
          <cell r="AE435">
            <v>1.95E-2</v>
          </cell>
          <cell r="AF435">
            <v>4.0000000000000001E-3</v>
          </cell>
          <cell r="AG435">
            <v>0.11999999999999998</v>
          </cell>
        </row>
        <row r="436">
          <cell r="A436" t="str">
            <v>W10163</v>
          </cell>
          <cell r="B436">
            <v>419</v>
          </cell>
          <cell r="C436" t="str">
            <v>Sai Medical Imaging</v>
          </cell>
          <cell r="D436">
            <v>1</v>
          </cell>
          <cell r="E436">
            <v>36817</v>
          </cell>
          <cell r="F436">
            <v>16700000</v>
          </cell>
          <cell r="G436">
            <v>16526295</v>
          </cell>
          <cell r="L436">
            <v>0.18110000000000001</v>
          </cell>
          <cell r="O436">
            <v>36842</v>
          </cell>
          <cell r="P436">
            <v>36872</v>
          </cell>
          <cell r="Q436">
            <v>380900</v>
          </cell>
          <cell r="R436">
            <v>134852</v>
          </cell>
          <cell r="S436">
            <v>246048</v>
          </cell>
          <cell r="T436">
            <v>20</v>
          </cell>
          <cell r="V436">
            <v>16391443</v>
          </cell>
          <cell r="W436">
            <v>162657.00423561642</v>
          </cell>
          <cell r="X436">
            <v>14.43</v>
          </cell>
          <cell r="AB436">
            <v>14.1</v>
          </cell>
          <cell r="AD436">
            <v>0.14099999999999999</v>
          </cell>
          <cell r="AE436">
            <v>1.95E-2</v>
          </cell>
          <cell r="AF436">
            <v>4.0000000000000001E-3</v>
          </cell>
          <cell r="AG436">
            <v>0.11749999999999998</v>
          </cell>
        </row>
        <row r="437">
          <cell r="A437" t="str">
            <v>W10166</v>
          </cell>
          <cell r="B437">
            <v>420</v>
          </cell>
          <cell r="C437" t="str">
            <v>Daljit Singh Saini</v>
          </cell>
          <cell r="D437">
            <v>1</v>
          </cell>
          <cell r="E437">
            <v>36829</v>
          </cell>
          <cell r="F437">
            <v>1219000</v>
          </cell>
          <cell r="G437">
            <v>1190464</v>
          </cell>
          <cell r="L437">
            <v>0.16600000000000001</v>
          </cell>
          <cell r="O437">
            <v>36831</v>
          </cell>
          <cell r="P437">
            <v>36861</v>
          </cell>
          <cell r="Q437">
            <v>29645</v>
          </cell>
          <cell r="R437">
            <v>13404</v>
          </cell>
          <cell r="S437">
            <v>16241</v>
          </cell>
          <cell r="T437">
            <v>31</v>
          </cell>
          <cell r="V437">
            <v>1177060</v>
          </cell>
          <cell r="W437">
            <v>16594.933589041095</v>
          </cell>
          <cell r="X437">
            <v>14.43</v>
          </cell>
          <cell r="AB437">
            <v>14.1</v>
          </cell>
          <cell r="AD437">
            <v>0.14099999999999999</v>
          </cell>
          <cell r="AE437">
            <v>1.95E-2</v>
          </cell>
          <cell r="AF437">
            <v>4.0000000000000001E-3</v>
          </cell>
          <cell r="AG437">
            <v>0.11749999999999998</v>
          </cell>
        </row>
        <row r="438">
          <cell r="A438" t="str">
            <v>W10167</v>
          </cell>
          <cell r="B438">
            <v>421</v>
          </cell>
          <cell r="C438" t="str">
            <v>Raj Kumar</v>
          </cell>
          <cell r="D438">
            <v>1</v>
          </cell>
          <cell r="E438">
            <v>36829</v>
          </cell>
          <cell r="F438">
            <v>900000</v>
          </cell>
          <cell r="G438">
            <v>875643</v>
          </cell>
          <cell r="L438">
            <v>0.1641</v>
          </cell>
          <cell r="O438">
            <v>36847</v>
          </cell>
          <cell r="P438">
            <v>36877</v>
          </cell>
          <cell r="Q438">
            <v>31640</v>
          </cell>
          <cell r="R438">
            <v>19829</v>
          </cell>
          <cell r="S438">
            <v>11811</v>
          </cell>
          <cell r="T438">
            <v>15</v>
          </cell>
          <cell r="V438">
            <v>855814</v>
          </cell>
          <cell r="W438">
            <v>5771.4689342465745</v>
          </cell>
          <cell r="X438">
            <v>14.43</v>
          </cell>
          <cell r="AB438">
            <v>14.1</v>
          </cell>
          <cell r="AD438">
            <v>0.14099999999999999</v>
          </cell>
          <cell r="AE438">
            <v>1.95E-2</v>
          </cell>
          <cell r="AF438">
            <v>4.0000000000000001E-3</v>
          </cell>
          <cell r="AG438">
            <v>0.11749999999999998</v>
          </cell>
        </row>
        <row r="439">
          <cell r="A439" t="str">
            <v>W10168</v>
          </cell>
          <cell r="B439">
            <v>422</v>
          </cell>
          <cell r="C439" t="str">
            <v>MM Vasudevan</v>
          </cell>
          <cell r="D439">
            <v>1</v>
          </cell>
          <cell r="E439">
            <v>36829</v>
          </cell>
          <cell r="F439">
            <v>406220</v>
          </cell>
          <cell r="G439">
            <v>397343</v>
          </cell>
          <cell r="L439">
            <v>0.19650000000000001</v>
          </cell>
          <cell r="O439">
            <v>36857</v>
          </cell>
          <cell r="P439">
            <v>36887</v>
          </cell>
          <cell r="Q439">
            <v>15000</v>
          </cell>
          <cell r="R439">
            <v>8583</v>
          </cell>
          <cell r="S439">
            <v>6417</v>
          </cell>
          <cell r="T439">
            <v>5</v>
          </cell>
          <cell r="V439">
            <v>388760</v>
          </cell>
          <cell r="W439">
            <v>1046.456712328767</v>
          </cell>
          <cell r="X439">
            <v>14.43</v>
          </cell>
          <cell r="AB439">
            <v>14.1</v>
          </cell>
          <cell r="AD439">
            <v>0.14099999999999999</v>
          </cell>
          <cell r="AE439">
            <v>1.95E-2</v>
          </cell>
          <cell r="AF439">
            <v>4.0000000000000001E-3</v>
          </cell>
          <cell r="AG439">
            <v>0.11749999999999998</v>
          </cell>
        </row>
        <row r="440">
          <cell r="A440" t="str">
            <v>W10169</v>
          </cell>
          <cell r="B440">
            <v>423</v>
          </cell>
          <cell r="C440" t="str">
            <v>Vikram Scan &amp; Diagnostic Centre</v>
          </cell>
          <cell r="D440">
            <v>1</v>
          </cell>
          <cell r="E440">
            <v>36837</v>
          </cell>
          <cell r="F440">
            <v>1200000</v>
          </cell>
          <cell r="G440">
            <v>1179915</v>
          </cell>
          <cell r="L440">
            <v>0.16309999999999999</v>
          </cell>
          <cell r="O440">
            <v>36854</v>
          </cell>
          <cell r="P440">
            <v>36884</v>
          </cell>
          <cell r="Q440">
            <v>29200</v>
          </cell>
          <cell r="R440">
            <v>13384</v>
          </cell>
          <cell r="S440">
            <v>15816</v>
          </cell>
          <cell r="T440">
            <v>8</v>
          </cell>
          <cell r="V440">
            <v>1166531</v>
          </cell>
          <cell r="W440">
            <v>4170.1086268493145</v>
          </cell>
          <cell r="X440">
            <v>14.43</v>
          </cell>
          <cell r="AB440">
            <v>14.1</v>
          </cell>
          <cell r="AD440">
            <v>0.14099999999999999</v>
          </cell>
          <cell r="AE440">
            <v>1.95E-2</v>
          </cell>
          <cell r="AF440">
            <v>4.0000000000000001E-3</v>
          </cell>
          <cell r="AG440">
            <v>0.11749999999999998</v>
          </cell>
        </row>
        <row r="441">
          <cell r="A441" t="str">
            <v>W10165</v>
          </cell>
          <cell r="B441">
            <v>424</v>
          </cell>
          <cell r="C441" t="str">
            <v>Sadhna Singh</v>
          </cell>
          <cell r="D441">
            <v>1</v>
          </cell>
          <cell r="E441">
            <v>36858</v>
          </cell>
          <cell r="L441">
            <v>0.16669999999999999</v>
          </cell>
          <cell r="M441">
            <v>1014905</v>
          </cell>
          <cell r="O441">
            <v>36858</v>
          </cell>
          <cell r="P441">
            <v>36890</v>
          </cell>
          <cell r="Q441">
            <v>50530</v>
          </cell>
          <cell r="R441">
            <v>36031</v>
          </cell>
          <cell r="S441">
            <v>14499</v>
          </cell>
          <cell r="T441">
            <v>2</v>
          </cell>
          <cell r="V441">
            <v>978874</v>
          </cell>
          <cell r="W441">
            <v>894.12764821917801</v>
          </cell>
          <cell r="X441">
            <v>14.1</v>
          </cell>
          <cell r="AB441">
            <v>14.1</v>
          </cell>
          <cell r="AD441">
            <v>0.14099999999999999</v>
          </cell>
          <cell r="AE441">
            <v>1.95E-2</v>
          </cell>
          <cell r="AF441">
            <v>4.0000000000000001E-3</v>
          </cell>
          <cell r="AG441">
            <v>0.11749999999999998</v>
          </cell>
        </row>
        <row r="442">
          <cell r="A442" t="str">
            <v>W10170</v>
          </cell>
          <cell r="B442">
            <v>425</v>
          </cell>
          <cell r="C442" t="str">
            <v>H S Maan</v>
          </cell>
          <cell r="D442">
            <v>1</v>
          </cell>
          <cell r="E442">
            <v>36858</v>
          </cell>
          <cell r="L442">
            <v>0.16439999999999999</v>
          </cell>
          <cell r="M442">
            <v>4956822</v>
          </cell>
          <cell r="O442">
            <v>36858</v>
          </cell>
          <cell r="P442">
            <v>36883</v>
          </cell>
          <cell r="Q442">
            <v>108470</v>
          </cell>
          <cell r="R442">
            <v>52657</v>
          </cell>
          <cell r="S442">
            <v>55813</v>
          </cell>
          <cell r="T442">
            <v>9</v>
          </cell>
          <cell r="V442">
            <v>4904165</v>
          </cell>
          <cell r="W442">
            <v>19880.006942465749</v>
          </cell>
          <cell r="X442">
            <v>14.1</v>
          </cell>
          <cell r="AB442">
            <v>14.1</v>
          </cell>
          <cell r="AD442">
            <v>0.14099999999999999</v>
          </cell>
          <cell r="AE442">
            <v>1.95E-2</v>
          </cell>
          <cell r="AF442">
            <v>4.0000000000000001E-3</v>
          </cell>
          <cell r="AG442">
            <v>0.11749999999999998</v>
          </cell>
        </row>
        <row r="443">
          <cell r="A443" t="str">
            <v>W10171</v>
          </cell>
          <cell r="B443">
            <v>426</v>
          </cell>
          <cell r="C443" t="str">
            <v>Health Care Services (P) Ltd.</v>
          </cell>
          <cell r="D443">
            <v>1</v>
          </cell>
          <cell r="E443">
            <v>36858</v>
          </cell>
          <cell r="L443">
            <v>0.17100000000000001</v>
          </cell>
          <cell r="M443">
            <v>1266322</v>
          </cell>
          <cell r="O443">
            <v>36858</v>
          </cell>
          <cell r="P443">
            <v>36884</v>
          </cell>
          <cell r="Q443">
            <v>31812</v>
          </cell>
          <cell r="R443">
            <v>16391</v>
          </cell>
          <cell r="S443">
            <v>15421</v>
          </cell>
          <cell r="T443">
            <v>8</v>
          </cell>
          <cell r="V443">
            <v>1249931</v>
          </cell>
          <cell r="W443">
            <v>4684.6728986301378</v>
          </cell>
          <cell r="X443">
            <v>14.1</v>
          </cell>
          <cell r="AB443">
            <v>14.1</v>
          </cell>
          <cell r="AD443">
            <v>0.14099999999999999</v>
          </cell>
          <cell r="AE443">
            <v>1.95E-2</v>
          </cell>
          <cell r="AF443">
            <v>4.0000000000000001E-3</v>
          </cell>
          <cell r="AG443">
            <v>0.11749999999999998</v>
          </cell>
        </row>
        <row r="444">
          <cell r="A444" t="str">
            <v>W10172</v>
          </cell>
          <cell r="B444">
            <v>427</v>
          </cell>
          <cell r="C444" t="str">
            <v>Garima Chowdhary</v>
          </cell>
          <cell r="D444">
            <v>1</v>
          </cell>
          <cell r="E444">
            <v>36858</v>
          </cell>
          <cell r="L444">
            <v>0.1908</v>
          </cell>
          <cell r="M444">
            <v>243000</v>
          </cell>
          <cell r="O444">
            <v>36858</v>
          </cell>
          <cell r="P444">
            <v>36875</v>
          </cell>
          <cell r="Q444">
            <v>8855</v>
          </cell>
          <cell r="R444">
            <v>6695</v>
          </cell>
          <cell r="S444">
            <v>2160</v>
          </cell>
          <cell r="T444">
            <v>17</v>
          </cell>
          <cell r="V444">
            <v>236305</v>
          </cell>
          <cell r="W444">
            <v>2099.9421863013699</v>
          </cell>
          <cell r="X444">
            <v>14.1</v>
          </cell>
          <cell r="AB444">
            <v>14.1</v>
          </cell>
          <cell r="AD444">
            <v>0.14099999999999999</v>
          </cell>
          <cell r="AE444">
            <v>1.95E-2</v>
          </cell>
          <cell r="AF444">
            <v>4.0000000000000001E-3</v>
          </cell>
          <cell r="AG444">
            <v>0.11749999999999998</v>
          </cell>
        </row>
        <row r="445">
          <cell r="A445" t="str">
            <v>W10173</v>
          </cell>
          <cell r="B445">
            <v>428</v>
          </cell>
          <cell r="C445" t="str">
            <v>Raminder Kaur</v>
          </cell>
          <cell r="D445">
            <v>1</v>
          </cell>
          <cell r="E445">
            <v>36858</v>
          </cell>
          <cell r="L445">
            <v>0.16209999999999999</v>
          </cell>
          <cell r="M445">
            <v>6500000</v>
          </cell>
          <cell r="O445">
            <v>36858</v>
          </cell>
          <cell r="P445">
            <v>36878</v>
          </cell>
          <cell r="Q445">
            <v>158070</v>
          </cell>
          <cell r="R445">
            <v>100338</v>
          </cell>
          <cell r="S445">
            <v>57732</v>
          </cell>
          <cell r="T445">
            <v>14</v>
          </cell>
          <cell r="V445">
            <v>6399662</v>
          </cell>
          <cell r="W445">
            <v>39790.117651506851</v>
          </cell>
          <cell r="X445">
            <v>14.1</v>
          </cell>
          <cell r="AB445">
            <v>14.1</v>
          </cell>
          <cell r="AD445">
            <v>0.14099999999999999</v>
          </cell>
          <cell r="AE445">
            <v>1.95E-2</v>
          </cell>
          <cell r="AF445">
            <v>4.0000000000000001E-3</v>
          </cell>
          <cell r="AG445">
            <v>0.11749999999999998</v>
          </cell>
        </row>
        <row r="446">
          <cell r="A446" t="str">
            <v>W10174</v>
          </cell>
          <cell r="B446">
            <v>429</v>
          </cell>
          <cell r="C446" t="str">
            <v>Kota CT Scan Centre Pvt Ltd</v>
          </cell>
          <cell r="D446">
            <v>1</v>
          </cell>
          <cell r="E446">
            <v>36858</v>
          </cell>
          <cell r="L446">
            <v>0.16719999999999999</v>
          </cell>
          <cell r="M446">
            <v>4450000</v>
          </cell>
          <cell r="O446">
            <v>36858</v>
          </cell>
          <cell r="P446">
            <v>36879</v>
          </cell>
          <cell r="Q446">
            <v>135355</v>
          </cell>
          <cell r="R446">
            <v>92550</v>
          </cell>
          <cell r="S446">
            <v>42805</v>
          </cell>
          <cell r="T446">
            <v>13</v>
          </cell>
          <cell r="V446">
            <v>4357450</v>
          </cell>
          <cell r="W446">
            <v>25948.91320547945</v>
          </cell>
          <cell r="X446">
            <v>14.1</v>
          </cell>
          <cell r="AB446">
            <v>14.1</v>
          </cell>
          <cell r="AD446">
            <v>0.14099999999999999</v>
          </cell>
          <cell r="AE446">
            <v>1.95E-2</v>
          </cell>
          <cell r="AF446">
            <v>4.0000000000000001E-3</v>
          </cell>
          <cell r="AG446">
            <v>0.11749999999999998</v>
          </cell>
        </row>
        <row r="447">
          <cell r="A447" t="str">
            <v>W10175</v>
          </cell>
          <cell r="B447">
            <v>430</v>
          </cell>
          <cell r="C447" t="str">
            <v>Supereme CT Scan Pct Ltd</v>
          </cell>
          <cell r="D447">
            <v>1</v>
          </cell>
          <cell r="E447">
            <v>36858</v>
          </cell>
          <cell r="L447">
            <v>0.17280000000000001</v>
          </cell>
          <cell r="M447">
            <v>3800000</v>
          </cell>
          <cell r="O447">
            <v>36858</v>
          </cell>
          <cell r="P447">
            <v>36877</v>
          </cell>
          <cell r="Q447">
            <v>94500</v>
          </cell>
          <cell r="R447">
            <v>60327</v>
          </cell>
          <cell r="S447">
            <v>34173</v>
          </cell>
          <cell r="T447">
            <v>15</v>
          </cell>
          <cell r="V447">
            <v>3739673</v>
          </cell>
          <cell r="W447">
            <v>26556.801139726027</v>
          </cell>
          <cell r="X447">
            <v>14.1</v>
          </cell>
          <cell r="AB447">
            <v>14.1</v>
          </cell>
          <cell r="AD447">
            <v>0.14099999999999999</v>
          </cell>
          <cell r="AE447">
            <v>1.95E-2</v>
          </cell>
          <cell r="AF447">
            <v>4.0000000000000001E-3</v>
          </cell>
          <cell r="AG447">
            <v>0.11749999999999998</v>
          </cell>
        </row>
        <row r="448">
          <cell r="A448" t="str">
            <v>W10176</v>
          </cell>
          <cell r="B448">
            <v>431</v>
          </cell>
          <cell r="C448" t="str">
            <v>Body Care Diagnostics</v>
          </cell>
          <cell r="D448">
            <v>1</v>
          </cell>
          <cell r="E448">
            <v>36858</v>
          </cell>
          <cell r="L448">
            <v>0.16370000000000001</v>
          </cell>
          <cell r="M448">
            <v>1743750</v>
          </cell>
          <cell r="O448">
            <v>36858</v>
          </cell>
          <cell r="P448">
            <v>36870</v>
          </cell>
          <cell r="Q448">
            <v>42400</v>
          </cell>
          <cell r="R448">
            <v>33016</v>
          </cell>
          <cell r="S448">
            <v>9384</v>
          </cell>
          <cell r="T448">
            <v>22</v>
          </cell>
          <cell r="V448">
            <v>1710734</v>
          </cell>
          <cell r="W448">
            <v>16879.554596164384</v>
          </cell>
          <cell r="X448">
            <v>14.1</v>
          </cell>
          <cell r="AB448">
            <v>14.1</v>
          </cell>
          <cell r="AD448">
            <v>0.14099999999999999</v>
          </cell>
          <cell r="AE448">
            <v>1.95E-2</v>
          </cell>
          <cell r="AF448">
            <v>4.0000000000000001E-3</v>
          </cell>
          <cell r="AG448">
            <v>0.11749999999999998</v>
          </cell>
        </row>
        <row r="449">
          <cell r="A449" t="str">
            <v>W10177</v>
          </cell>
          <cell r="B449">
            <v>432</v>
          </cell>
          <cell r="C449" t="str">
            <v>R N Bagga</v>
          </cell>
          <cell r="D449">
            <v>2</v>
          </cell>
          <cell r="E449">
            <v>36858</v>
          </cell>
          <cell r="L449">
            <v>0</v>
          </cell>
          <cell r="M449">
            <v>420000</v>
          </cell>
          <cell r="O449">
            <v>36858</v>
          </cell>
          <cell r="P449">
            <v>36879</v>
          </cell>
          <cell r="Q449">
            <v>12000</v>
          </cell>
          <cell r="R449">
            <v>12000</v>
          </cell>
          <cell r="S449">
            <v>0</v>
          </cell>
          <cell r="T449">
            <v>13</v>
          </cell>
          <cell r="V449">
            <v>408000</v>
          </cell>
          <cell r="W449">
            <v>0</v>
          </cell>
          <cell r="X449">
            <v>14.1</v>
          </cell>
          <cell r="AB449">
            <v>14.1</v>
          </cell>
          <cell r="AD449">
            <v>0.14099999999999999</v>
          </cell>
          <cell r="AE449">
            <v>1.95E-2</v>
          </cell>
          <cell r="AF449">
            <v>4.0000000000000001E-3</v>
          </cell>
          <cell r="AG449">
            <v>0.11749999999999998</v>
          </cell>
        </row>
        <row r="450">
          <cell r="A450" t="str">
            <v>W10178</v>
          </cell>
          <cell r="B450">
            <v>433</v>
          </cell>
          <cell r="C450" t="str">
            <v>Pankaj Diagnostics</v>
          </cell>
          <cell r="D450">
            <v>1</v>
          </cell>
          <cell r="E450">
            <v>36858</v>
          </cell>
          <cell r="L450">
            <v>0.1113</v>
          </cell>
          <cell r="M450">
            <v>26640000</v>
          </cell>
          <cell r="O450">
            <v>36858</v>
          </cell>
          <cell r="P450">
            <v>36883</v>
          </cell>
          <cell r="Q450">
            <v>0</v>
          </cell>
          <cell r="R450">
            <v>-203085</v>
          </cell>
          <cell r="S450">
            <v>203085</v>
          </cell>
          <cell r="T450">
            <v>9</v>
          </cell>
          <cell r="V450">
            <v>26843085</v>
          </cell>
          <cell r="W450">
            <v>73667.721217808212</v>
          </cell>
          <cell r="X450">
            <v>14.1</v>
          </cell>
          <cell r="AB450">
            <v>14.1</v>
          </cell>
          <cell r="AD450">
            <v>0.14099999999999999</v>
          </cell>
          <cell r="AE450">
            <v>1.95E-2</v>
          </cell>
          <cell r="AF450">
            <v>4.0000000000000001E-3</v>
          </cell>
          <cell r="AG450">
            <v>0.11749999999999998</v>
          </cell>
        </row>
        <row r="451">
          <cell r="A451" t="str">
            <v>WGE-LOAN-1</v>
          </cell>
          <cell r="B451">
            <v>434</v>
          </cell>
          <cell r="C451" t="str">
            <v>Wipro GE Medical Systems Ltd</v>
          </cell>
          <cell r="D451">
            <v>1</v>
          </cell>
          <cell r="E451">
            <v>36860</v>
          </cell>
          <cell r="L451">
            <v>0.114</v>
          </cell>
          <cell r="M451">
            <v>27342000</v>
          </cell>
          <cell r="O451">
            <v>36860</v>
          </cell>
          <cell r="S451">
            <v>0</v>
          </cell>
          <cell r="T451">
            <v>32</v>
          </cell>
          <cell r="V451">
            <v>27342000</v>
          </cell>
          <cell r="W451">
            <v>273270.18082191783</v>
          </cell>
          <cell r="X451">
            <v>11.4</v>
          </cell>
          <cell r="Y451" t="str">
            <v>Loan to WGE</v>
          </cell>
          <cell r="AB451">
            <v>11.4</v>
          </cell>
          <cell r="AD451">
            <v>0.114</v>
          </cell>
          <cell r="AE451">
            <v>1.95E-2</v>
          </cell>
          <cell r="AF451">
            <v>4.0000000000000001E-3</v>
          </cell>
          <cell r="AG451">
            <v>9.0499999999999997E-2</v>
          </cell>
        </row>
        <row r="452">
          <cell r="A452" t="str">
            <v>W10181</v>
          </cell>
          <cell r="B452">
            <v>435</v>
          </cell>
          <cell r="C452" t="str">
            <v>Cancer Centre Welfare Home &amp; Research Centre</v>
          </cell>
          <cell r="D452">
            <v>1</v>
          </cell>
          <cell r="E452">
            <v>36864</v>
          </cell>
          <cell r="L452">
            <v>0.1716</v>
          </cell>
          <cell r="M452">
            <v>4250000</v>
          </cell>
          <cell r="O452">
            <v>36864</v>
          </cell>
          <cell r="P452">
            <v>36887</v>
          </cell>
          <cell r="Q452">
            <v>105630</v>
          </cell>
          <cell r="R452">
            <v>59671</v>
          </cell>
          <cell r="S452">
            <v>45959</v>
          </cell>
          <cell r="T452">
            <v>5</v>
          </cell>
          <cell r="V452">
            <v>4190329</v>
          </cell>
          <cell r="W452">
            <v>9850.1432383561641</v>
          </cell>
          <cell r="X452">
            <v>14.1</v>
          </cell>
          <cell r="AB452">
            <v>14.1</v>
          </cell>
          <cell r="AD452">
            <v>0.14099999999999999</v>
          </cell>
          <cell r="AE452">
            <v>1.95E-2</v>
          </cell>
          <cell r="AF452">
            <v>4.0000000000000001E-3</v>
          </cell>
          <cell r="AG452">
            <v>0.11749999999999998</v>
          </cell>
        </row>
        <row r="453">
          <cell r="A453" t="str">
            <v>W10182</v>
          </cell>
          <cell r="B453">
            <v>436</v>
          </cell>
          <cell r="C453" t="str">
            <v>Prakash Patil</v>
          </cell>
          <cell r="D453">
            <v>1</v>
          </cell>
          <cell r="E453">
            <v>36864</v>
          </cell>
          <cell r="L453">
            <v>0.16189999999999999</v>
          </cell>
          <cell r="M453">
            <v>1425000</v>
          </cell>
          <cell r="O453">
            <v>36864</v>
          </cell>
          <cell r="P453">
            <v>36885</v>
          </cell>
          <cell r="Q453">
            <v>34656</v>
          </cell>
          <cell r="R453">
            <v>21381</v>
          </cell>
          <cell r="S453">
            <v>13275</v>
          </cell>
          <cell r="T453">
            <v>7</v>
          </cell>
          <cell r="V453">
            <v>1403619</v>
          </cell>
          <cell r="W453">
            <v>4358.140856712329</v>
          </cell>
          <cell r="X453">
            <v>14.1</v>
          </cell>
          <cell r="AB453">
            <v>14.1</v>
          </cell>
          <cell r="AD453">
            <v>0.14099999999999999</v>
          </cell>
          <cell r="AE453">
            <v>1.95E-2</v>
          </cell>
          <cell r="AF453">
            <v>4.0000000000000001E-3</v>
          </cell>
          <cell r="AG453">
            <v>0.11749999999999998</v>
          </cell>
        </row>
        <row r="454">
          <cell r="A454" t="str">
            <v>W10130</v>
          </cell>
          <cell r="B454">
            <v>437</v>
          </cell>
          <cell r="C454" t="str">
            <v>K G Health Care Ltd.</v>
          </cell>
          <cell r="E454">
            <v>36719</v>
          </cell>
          <cell r="L454">
            <v>0.16</v>
          </cell>
          <cell r="M454">
            <v>10800000</v>
          </cell>
          <cell r="O454">
            <v>36719</v>
          </cell>
          <cell r="P454">
            <v>36811</v>
          </cell>
          <cell r="Q454">
            <v>972000</v>
          </cell>
          <cell r="R454">
            <v>540000</v>
          </cell>
          <cell r="S454">
            <v>432000</v>
          </cell>
          <cell r="T454">
            <v>81</v>
          </cell>
          <cell r="V454">
            <v>10260000</v>
          </cell>
          <cell r="W454">
            <v>364300.27397260274</v>
          </cell>
          <cell r="AB454">
            <v>13.85</v>
          </cell>
          <cell r="AD454">
            <v>0.13849999999999998</v>
          </cell>
          <cell r="AE454">
            <v>1.95E-2</v>
          </cell>
          <cell r="AF454">
            <v>4.0000000000000001E-3</v>
          </cell>
          <cell r="AG454">
            <v>0.11499999999999998</v>
          </cell>
        </row>
        <row r="455">
          <cell r="A455" t="str">
            <v>W10131</v>
          </cell>
          <cell r="B455">
            <v>438</v>
          </cell>
          <cell r="C455" t="str">
            <v xml:space="preserve">Dynamic Scan &amp; Research </v>
          </cell>
          <cell r="E455">
            <v>36771</v>
          </cell>
          <cell r="L455">
            <v>0.14530000000000001</v>
          </cell>
          <cell r="M455">
            <v>31000000</v>
          </cell>
          <cell r="O455">
            <v>36771</v>
          </cell>
          <cell r="P455">
            <v>36862</v>
          </cell>
          <cell r="Q455">
            <v>675200</v>
          </cell>
          <cell r="R455">
            <v>-461023</v>
          </cell>
          <cell r="S455">
            <v>1136223</v>
          </cell>
          <cell r="T455">
            <v>30</v>
          </cell>
          <cell r="V455">
            <v>31461023</v>
          </cell>
          <cell r="W455">
            <v>375722.18974520545</v>
          </cell>
          <cell r="AB455">
            <v>13.85</v>
          </cell>
          <cell r="AD455">
            <v>0.13849999999999998</v>
          </cell>
          <cell r="AE455">
            <v>1.95E-2</v>
          </cell>
          <cell r="AF455">
            <v>4.0000000000000001E-3</v>
          </cell>
          <cell r="AG455">
            <v>0.11499999999999998</v>
          </cell>
        </row>
        <row r="456">
          <cell r="A456" t="str">
            <v>W10144</v>
          </cell>
          <cell r="B456">
            <v>439</v>
          </cell>
          <cell r="C456" t="str">
            <v>Siddhartha Health Care Ltd.</v>
          </cell>
          <cell r="E456">
            <v>36797</v>
          </cell>
          <cell r="L456">
            <v>0.16520000000000001</v>
          </cell>
          <cell r="M456">
            <v>43164000</v>
          </cell>
          <cell r="O456">
            <v>36797</v>
          </cell>
          <cell r="P456">
            <v>36888</v>
          </cell>
          <cell r="Q456">
            <v>0</v>
          </cell>
          <cell r="R456">
            <v>-1794479</v>
          </cell>
          <cell r="S456">
            <v>1794479</v>
          </cell>
          <cell r="T456">
            <v>4</v>
          </cell>
          <cell r="V456">
            <v>44958479</v>
          </cell>
          <cell r="W456">
            <v>81393.323077260284</v>
          </cell>
          <cell r="AB456">
            <v>13.85</v>
          </cell>
          <cell r="AD456">
            <v>0.13849999999999998</v>
          </cell>
          <cell r="AE456">
            <v>1.95E-2</v>
          </cell>
          <cell r="AF456">
            <v>4.0000000000000001E-3</v>
          </cell>
          <cell r="AG456">
            <v>0.11499999999999998</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row r="10">
          <cell r="A10" t="e">
            <v>#N/A</v>
          </cell>
          <cell r="B10">
            <v>1</v>
          </cell>
          <cell r="C10" t="str">
            <v>Alpha Centauri Health Care (*)</v>
          </cell>
          <cell r="D10">
            <v>1</v>
          </cell>
          <cell r="E10">
            <v>34422</v>
          </cell>
          <cell r="F10">
            <v>28088336</v>
          </cell>
          <cell r="G10">
            <v>0</v>
          </cell>
          <cell r="H10" t="str">
            <v>MED SYSTEMS</v>
          </cell>
          <cell r="I10" t="e">
            <v>#REF!</v>
          </cell>
        </row>
        <row r="11">
          <cell r="A11" t="str">
            <v>W00202</v>
          </cell>
          <cell r="B11">
            <v>2</v>
          </cell>
          <cell r="C11" t="str">
            <v>Infertility Clinic</v>
          </cell>
          <cell r="D11">
            <v>1</v>
          </cell>
          <cell r="E11">
            <v>34694</v>
          </cell>
          <cell r="F11">
            <v>890000</v>
          </cell>
          <cell r="G11">
            <v>16.149999999999999</v>
          </cell>
          <cell r="H11" t="str">
            <v>MED SYSTEMS</v>
          </cell>
          <cell r="I11" t="e">
            <v>#REF!</v>
          </cell>
          <cell r="K11">
            <v>15.78</v>
          </cell>
          <cell r="L11">
            <v>19.39</v>
          </cell>
          <cell r="M11">
            <v>0.19390000000000002</v>
          </cell>
          <cell r="N11">
            <v>2.1099999999999997E-2</v>
          </cell>
          <cell r="O11">
            <v>4.0000000000000001E-3</v>
          </cell>
          <cell r="P11">
            <v>0.16880000000000001</v>
          </cell>
        </row>
        <row r="12">
          <cell r="A12" t="str">
            <v>W00174</v>
          </cell>
          <cell r="B12">
            <v>3</v>
          </cell>
          <cell r="C12" t="str">
            <v>Sankshema</v>
          </cell>
          <cell r="D12">
            <v>1</v>
          </cell>
          <cell r="E12">
            <v>34694</v>
          </cell>
          <cell r="F12">
            <v>6400000</v>
          </cell>
          <cell r="G12">
            <v>0</v>
          </cell>
          <cell r="H12" t="str">
            <v>MED SYSTEMS</v>
          </cell>
          <cell r="I12" t="e">
            <v>#REF!</v>
          </cell>
        </row>
        <row r="13">
          <cell r="A13" t="str">
            <v>W00158</v>
          </cell>
          <cell r="B13">
            <v>4</v>
          </cell>
          <cell r="C13" t="str">
            <v>Vijaya MRI Pvt. Ltd.</v>
          </cell>
          <cell r="D13">
            <v>1</v>
          </cell>
          <cell r="E13">
            <v>34694</v>
          </cell>
          <cell r="F13">
            <v>30000000</v>
          </cell>
          <cell r="G13">
            <v>16.149999999999999</v>
          </cell>
          <cell r="H13" t="str">
            <v>MED SYSTEMS</v>
          </cell>
          <cell r="I13" t="e">
            <v>#REF!</v>
          </cell>
          <cell r="K13">
            <v>15.78</v>
          </cell>
          <cell r="L13">
            <v>19.39</v>
          </cell>
          <cell r="M13">
            <v>0.19390000000000002</v>
          </cell>
          <cell r="N13">
            <v>2.1099999999999997E-2</v>
          </cell>
          <cell r="O13">
            <v>4.0000000000000001E-3</v>
          </cell>
          <cell r="P13">
            <v>0.16880000000000001</v>
          </cell>
        </row>
        <row r="14">
          <cell r="A14" t="str">
            <v>W00096</v>
          </cell>
          <cell r="B14">
            <v>5</v>
          </cell>
          <cell r="C14" t="str">
            <v>Apollo Medical Centre</v>
          </cell>
          <cell r="D14">
            <v>1</v>
          </cell>
          <cell r="E14">
            <v>34698</v>
          </cell>
          <cell r="F14">
            <v>4410000</v>
          </cell>
          <cell r="G14">
            <v>16.149999999999999</v>
          </cell>
          <cell r="H14" t="str">
            <v>MED SYSTEMS</v>
          </cell>
          <cell r="I14" t="e">
            <v>#REF!</v>
          </cell>
          <cell r="K14">
            <v>15.78</v>
          </cell>
          <cell r="L14">
            <v>19.39</v>
          </cell>
          <cell r="M14">
            <v>0.19390000000000002</v>
          </cell>
          <cell r="N14">
            <v>2.1099999999999997E-2</v>
          </cell>
          <cell r="O14">
            <v>4.0000000000000001E-3</v>
          </cell>
          <cell r="P14">
            <v>0.16880000000000001</v>
          </cell>
        </row>
        <row r="15">
          <cell r="A15" t="str">
            <v>W00189</v>
          </cell>
          <cell r="B15">
            <v>6</v>
          </cell>
          <cell r="C15" t="str">
            <v>Kovai Scan Centre (*)</v>
          </cell>
          <cell r="D15">
            <v>1</v>
          </cell>
          <cell r="E15">
            <v>34698</v>
          </cell>
          <cell r="F15">
            <v>8775900</v>
          </cell>
          <cell r="G15">
            <v>16.149999999999999</v>
          </cell>
          <cell r="H15" t="str">
            <v>MED SYSTEMS</v>
          </cell>
          <cell r="I15" t="e">
            <v>#REF!</v>
          </cell>
          <cell r="K15">
            <v>15.78</v>
          </cell>
          <cell r="L15">
            <v>19.39</v>
          </cell>
          <cell r="M15">
            <v>0.19390000000000002</v>
          </cell>
          <cell r="N15">
            <v>2.1099999999999997E-2</v>
          </cell>
          <cell r="O15">
            <v>4.0000000000000001E-3</v>
          </cell>
          <cell r="P15">
            <v>0.16880000000000001</v>
          </cell>
        </row>
        <row r="16">
          <cell r="A16" t="str">
            <v>W00144</v>
          </cell>
          <cell r="B16">
            <v>7</v>
          </cell>
          <cell r="C16" t="str">
            <v>Soni Medical (Amala) (*)</v>
          </cell>
          <cell r="D16">
            <v>1</v>
          </cell>
          <cell r="E16">
            <v>34698</v>
          </cell>
          <cell r="F16">
            <v>12879250</v>
          </cell>
          <cell r="G16">
            <v>15.5</v>
          </cell>
          <cell r="H16" t="str">
            <v>MED SYSTEMS</v>
          </cell>
          <cell r="I16" t="e">
            <v>#REF!</v>
          </cell>
          <cell r="K16">
            <v>15.13</v>
          </cell>
          <cell r="M16">
            <v>0.15130000000000002</v>
          </cell>
          <cell r="N16">
            <v>2.2200000000000001E-2</v>
          </cell>
          <cell r="O16">
            <v>4.0000000000000001E-3</v>
          </cell>
          <cell r="P16">
            <v>0.12510000000000002</v>
          </cell>
        </row>
        <row r="17">
          <cell r="A17" t="str">
            <v>W00145</v>
          </cell>
          <cell r="B17">
            <v>8</v>
          </cell>
          <cell r="C17" t="str">
            <v>Soni Medical (Lisie) (*)</v>
          </cell>
          <cell r="D17">
            <v>1</v>
          </cell>
          <cell r="E17">
            <v>34698</v>
          </cell>
          <cell r="F17">
            <v>30100000</v>
          </cell>
          <cell r="G17">
            <v>15.5</v>
          </cell>
          <cell r="H17" t="str">
            <v>MED SYSTEMS</v>
          </cell>
          <cell r="I17" t="e">
            <v>#REF!</v>
          </cell>
          <cell r="K17">
            <v>15.13</v>
          </cell>
          <cell r="M17">
            <v>0.15130000000000002</v>
          </cell>
          <cell r="N17">
            <v>2.2200000000000001E-2</v>
          </cell>
          <cell r="O17">
            <v>4.0000000000000001E-3</v>
          </cell>
          <cell r="P17">
            <v>0.12510000000000002</v>
          </cell>
        </row>
        <row r="18">
          <cell r="A18" t="str">
            <v>W00056</v>
          </cell>
          <cell r="B18">
            <v>9</v>
          </cell>
          <cell r="C18" t="str">
            <v>C T Scan</v>
          </cell>
          <cell r="D18">
            <v>1</v>
          </cell>
          <cell r="E18">
            <v>34787</v>
          </cell>
          <cell r="F18">
            <v>7000000</v>
          </cell>
          <cell r="G18">
            <v>0</v>
          </cell>
          <cell r="H18" t="str">
            <v>MED SYSTEMS</v>
          </cell>
          <cell r="I18" t="e">
            <v>#REF!</v>
          </cell>
          <cell r="K18">
            <v>17.25</v>
          </cell>
          <cell r="L18">
            <v>18.37</v>
          </cell>
          <cell r="M18">
            <v>0.1837</v>
          </cell>
          <cell r="N18">
            <v>1.95E-2</v>
          </cell>
          <cell r="O18">
            <v>4.0000000000000001E-3</v>
          </cell>
          <cell r="P18">
            <v>0.16020000000000001</v>
          </cell>
        </row>
        <row r="19">
          <cell r="A19" t="str">
            <v>W00217</v>
          </cell>
          <cell r="B19">
            <v>10</v>
          </cell>
          <cell r="C19" t="str">
            <v>Sandeep Health Care (*)</v>
          </cell>
          <cell r="D19">
            <v>1</v>
          </cell>
          <cell r="E19">
            <v>34787</v>
          </cell>
          <cell r="F19">
            <v>1120000</v>
          </cell>
          <cell r="G19">
            <v>17.62</v>
          </cell>
          <cell r="H19" t="str">
            <v>MED SYSTEMS</v>
          </cell>
          <cell r="I19" t="e">
            <v>#REF!</v>
          </cell>
          <cell r="K19">
            <v>17.25</v>
          </cell>
          <cell r="L19">
            <v>18.37</v>
          </cell>
          <cell r="M19">
            <v>0.1837</v>
          </cell>
          <cell r="N19">
            <v>1.95E-2</v>
          </cell>
          <cell r="O19">
            <v>4.0000000000000001E-3</v>
          </cell>
          <cell r="P19">
            <v>0.16020000000000001</v>
          </cell>
        </row>
        <row r="20">
          <cell r="A20" t="str">
            <v>W00133</v>
          </cell>
          <cell r="B20">
            <v>11</v>
          </cell>
          <cell r="C20" t="str">
            <v>Soni Medical (Alyclon) (*)</v>
          </cell>
          <cell r="D20">
            <v>1</v>
          </cell>
          <cell r="E20">
            <v>34787</v>
          </cell>
          <cell r="F20">
            <v>9088285</v>
          </cell>
          <cell r="G20">
            <v>17.62</v>
          </cell>
          <cell r="H20" t="str">
            <v>MED SYSTEMS</v>
          </cell>
          <cell r="I20" t="e">
            <v>#REF!</v>
          </cell>
          <cell r="K20">
            <v>17.25</v>
          </cell>
          <cell r="L20">
            <v>18.37</v>
          </cell>
          <cell r="M20">
            <v>0.1837</v>
          </cell>
          <cell r="N20">
            <v>1.95E-2</v>
          </cell>
          <cell r="O20">
            <v>4.0000000000000001E-3</v>
          </cell>
          <cell r="P20">
            <v>0.16020000000000001</v>
          </cell>
        </row>
        <row r="21">
          <cell r="A21" t="str">
            <v>W00040</v>
          </cell>
          <cell r="B21">
            <v>12</v>
          </cell>
          <cell r="C21" t="str">
            <v>Soni Medical (MR) (*)</v>
          </cell>
          <cell r="D21">
            <v>1</v>
          </cell>
          <cell r="E21">
            <v>34787</v>
          </cell>
          <cell r="F21">
            <v>27600000</v>
          </cell>
          <cell r="G21">
            <v>17.62</v>
          </cell>
          <cell r="H21" t="str">
            <v>MED SYSTEMS</v>
          </cell>
          <cell r="I21" t="e">
            <v>#REF!</v>
          </cell>
          <cell r="K21">
            <v>17.25</v>
          </cell>
          <cell r="L21">
            <v>18.37</v>
          </cell>
          <cell r="M21">
            <v>0.1837</v>
          </cell>
          <cell r="N21">
            <v>1.95E-2</v>
          </cell>
          <cell r="O21">
            <v>4.0000000000000001E-3</v>
          </cell>
          <cell r="P21">
            <v>0.16020000000000001</v>
          </cell>
        </row>
        <row r="22">
          <cell r="A22" t="str">
            <v>W00054</v>
          </cell>
          <cell r="B22">
            <v>13</v>
          </cell>
          <cell r="C22" t="str">
            <v>Sri Ganga Nagar Scan Centre</v>
          </cell>
          <cell r="D22">
            <v>1</v>
          </cell>
          <cell r="E22">
            <v>34787</v>
          </cell>
          <cell r="F22">
            <v>7050000</v>
          </cell>
          <cell r="G22">
            <v>17.62</v>
          </cell>
          <cell r="H22" t="str">
            <v>MED SYSTEMS</v>
          </cell>
          <cell r="I22" t="e">
            <v>#REF!</v>
          </cell>
          <cell r="K22">
            <v>17.25</v>
          </cell>
          <cell r="L22">
            <v>18.37</v>
          </cell>
          <cell r="M22">
            <v>0.1837</v>
          </cell>
          <cell r="N22">
            <v>1.95E-2</v>
          </cell>
          <cell r="O22">
            <v>4.0000000000000001E-3</v>
          </cell>
          <cell r="P22">
            <v>0.16020000000000001</v>
          </cell>
        </row>
        <row r="23">
          <cell r="A23" t="str">
            <v>W00218</v>
          </cell>
          <cell r="B23">
            <v>14</v>
          </cell>
          <cell r="C23" t="str">
            <v>Ultra Sonix</v>
          </cell>
          <cell r="D23">
            <v>1</v>
          </cell>
          <cell r="E23">
            <v>34787</v>
          </cell>
          <cell r="F23">
            <v>750000</v>
          </cell>
          <cell r="G23">
            <v>17.62</v>
          </cell>
          <cell r="H23" t="str">
            <v>MED SYSTEMS</v>
          </cell>
          <cell r="I23" t="e">
            <v>#REF!</v>
          </cell>
          <cell r="K23">
            <v>17.25</v>
          </cell>
          <cell r="L23">
            <v>18.37</v>
          </cell>
          <cell r="M23">
            <v>0.1837</v>
          </cell>
          <cell r="N23">
            <v>1.95E-2</v>
          </cell>
          <cell r="O23">
            <v>4.0000000000000001E-3</v>
          </cell>
          <cell r="P23">
            <v>0.16020000000000001</v>
          </cell>
        </row>
        <row r="24">
          <cell r="B24">
            <v>15</v>
          </cell>
          <cell r="C24" t="str">
            <v>Ambala Ct Scan</v>
          </cell>
          <cell r="D24">
            <v>1</v>
          </cell>
          <cell r="E24">
            <v>35153</v>
          </cell>
          <cell r="F24">
            <v>8266412</v>
          </cell>
          <cell r="G24">
            <v>0</v>
          </cell>
          <cell r="H24" t="str">
            <v>MED SYSTEMS</v>
          </cell>
          <cell r="I24" t="e">
            <v>#REF!</v>
          </cell>
          <cell r="K24">
            <v>21.25</v>
          </cell>
          <cell r="L24">
            <v>14.85</v>
          </cell>
          <cell r="M24">
            <v>0.14849999999999999</v>
          </cell>
          <cell r="N24">
            <v>1.95E-2</v>
          </cell>
          <cell r="O24">
            <v>4.0000000000000001E-3</v>
          </cell>
          <cell r="P24">
            <v>0.125</v>
          </cell>
        </row>
        <row r="25">
          <cell r="A25" t="str">
            <v>W00216</v>
          </cell>
          <cell r="B25">
            <v>16</v>
          </cell>
          <cell r="C25" t="str">
            <v>Ashwini's Children Hospital</v>
          </cell>
          <cell r="D25">
            <v>1</v>
          </cell>
          <cell r="E25">
            <v>35153</v>
          </cell>
          <cell r="F25">
            <v>209001</v>
          </cell>
          <cell r="G25">
            <v>0</v>
          </cell>
          <cell r="H25" t="str">
            <v>MED SYSTEMS</v>
          </cell>
          <cell r="I25" t="e">
            <v>#REF!</v>
          </cell>
          <cell r="K25">
            <v>21.25</v>
          </cell>
          <cell r="L25">
            <v>14.85</v>
          </cell>
          <cell r="M25">
            <v>0.14849999999999999</v>
          </cell>
          <cell r="N25">
            <v>1.95E-2</v>
          </cell>
          <cell r="O25">
            <v>4.0000000000000001E-3</v>
          </cell>
          <cell r="P25">
            <v>0.125</v>
          </cell>
        </row>
        <row r="26">
          <cell r="A26" t="str">
            <v>W00224</v>
          </cell>
          <cell r="B26">
            <v>17</v>
          </cell>
          <cell r="C26" t="str">
            <v>D. K. Subramanya Reddy</v>
          </cell>
          <cell r="D26">
            <v>1</v>
          </cell>
          <cell r="E26">
            <v>35153</v>
          </cell>
          <cell r="F26">
            <v>736739</v>
          </cell>
          <cell r="G26">
            <v>21.63</v>
          </cell>
          <cell r="H26" t="str">
            <v>MED SYSTEMS</v>
          </cell>
          <cell r="I26" t="e">
            <v>#REF!</v>
          </cell>
          <cell r="K26">
            <v>21.25</v>
          </cell>
          <cell r="L26">
            <v>14.85</v>
          </cell>
          <cell r="M26">
            <v>0.14849999999999999</v>
          </cell>
          <cell r="N26">
            <v>1.95E-2</v>
          </cell>
          <cell r="O26">
            <v>4.0000000000000001E-3</v>
          </cell>
          <cell r="P26">
            <v>0.125</v>
          </cell>
        </row>
        <row r="27">
          <cell r="A27" t="str">
            <v>W00222</v>
          </cell>
          <cell r="B27">
            <v>18</v>
          </cell>
          <cell r="C27" t="str">
            <v>Marathwara Scan Centre</v>
          </cell>
          <cell r="D27">
            <v>1</v>
          </cell>
          <cell r="E27">
            <v>35153</v>
          </cell>
          <cell r="F27">
            <v>967829</v>
          </cell>
          <cell r="G27">
            <v>21.63</v>
          </cell>
          <cell r="H27" t="str">
            <v>MED SYSTEMS</v>
          </cell>
          <cell r="I27" t="e">
            <v>#REF!</v>
          </cell>
          <cell r="K27">
            <v>21.25</v>
          </cell>
          <cell r="L27">
            <v>14.85</v>
          </cell>
          <cell r="M27">
            <v>0.14849999999999999</v>
          </cell>
          <cell r="N27">
            <v>1.95E-2</v>
          </cell>
          <cell r="O27">
            <v>4.0000000000000001E-3</v>
          </cell>
          <cell r="P27">
            <v>0.125</v>
          </cell>
        </row>
        <row r="28">
          <cell r="A28" t="str">
            <v>W00051</v>
          </cell>
          <cell r="B28">
            <v>19</v>
          </cell>
          <cell r="C28" t="str">
            <v>ALVA'S Health Care</v>
          </cell>
          <cell r="D28">
            <v>1</v>
          </cell>
          <cell r="E28">
            <v>35212</v>
          </cell>
          <cell r="F28">
            <v>655596</v>
          </cell>
          <cell r="G28">
            <v>21.63</v>
          </cell>
          <cell r="H28" t="str">
            <v>MED SYSTEMS</v>
          </cell>
          <cell r="I28" t="e">
            <v>#REF!</v>
          </cell>
          <cell r="K28">
            <v>21.25</v>
          </cell>
          <cell r="L28">
            <v>14.85</v>
          </cell>
          <cell r="M28">
            <v>0.14849999999999999</v>
          </cell>
          <cell r="N28">
            <v>1.95E-2</v>
          </cell>
          <cell r="O28">
            <v>4.0000000000000001E-3</v>
          </cell>
          <cell r="P28">
            <v>0.125</v>
          </cell>
        </row>
        <row r="29">
          <cell r="A29" t="str">
            <v>W00197</v>
          </cell>
          <cell r="B29">
            <v>20</v>
          </cell>
          <cell r="C29" t="str">
            <v>Amba Diagnostic centre</v>
          </cell>
          <cell r="D29">
            <v>1</v>
          </cell>
          <cell r="E29">
            <v>35212</v>
          </cell>
          <cell r="F29">
            <v>7650000</v>
          </cell>
          <cell r="G29">
            <v>21.63</v>
          </cell>
          <cell r="H29" t="str">
            <v>MED SYSTEMS</v>
          </cell>
          <cell r="I29" t="e">
            <v>#REF!</v>
          </cell>
          <cell r="K29">
            <v>21.25</v>
          </cell>
          <cell r="L29">
            <v>14.85</v>
          </cell>
          <cell r="M29">
            <v>0.14849999999999999</v>
          </cell>
          <cell r="N29">
            <v>1.95E-2</v>
          </cell>
          <cell r="O29">
            <v>4.0000000000000001E-3</v>
          </cell>
          <cell r="P29">
            <v>0.125</v>
          </cell>
        </row>
        <row r="30">
          <cell r="A30" t="str">
            <v>W00151</v>
          </cell>
          <cell r="B30">
            <v>21</v>
          </cell>
          <cell r="C30" t="str">
            <v>Apollo ,Diagnostic ultrasound(foreclosed in sep 99)</v>
          </cell>
          <cell r="D30">
            <v>1</v>
          </cell>
          <cell r="E30">
            <v>35212</v>
          </cell>
          <cell r="F30">
            <v>604381</v>
          </cell>
          <cell r="G30">
            <v>21.63</v>
          </cell>
          <cell r="H30" t="str">
            <v>MED SYSTEMS</v>
          </cell>
          <cell r="I30" t="e">
            <v>#REF!</v>
          </cell>
          <cell r="K30">
            <v>21.25</v>
          </cell>
          <cell r="L30">
            <v>14.85</v>
          </cell>
          <cell r="M30">
            <v>0.14849999999999999</v>
          </cell>
          <cell r="N30">
            <v>1.95E-2</v>
          </cell>
          <cell r="O30">
            <v>4.0000000000000001E-3</v>
          </cell>
          <cell r="P30">
            <v>0.125</v>
          </cell>
        </row>
        <row r="31">
          <cell r="A31" t="str">
            <v>W00003</v>
          </cell>
          <cell r="B31">
            <v>22</v>
          </cell>
          <cell r="C31" t="str">
            <v>Apollo ,Diagnostic xray (foreclosed in jan 99)</v>
          </cell>
          <cell r="D31">
            <v>1</v>
          </cell>
          <cell r="E31">
            <v>35212</v>
          </cell>
          <cell r="F31">
            <v>572022</v>
          </cell>
          <cell r="G31">
            <v>0</v>
          </cell>
          <cell r="H31" t="str">
            <v>MED SYSTEMS</v>
          </cell>
          <cell r="I31" t="e">
            <v>#REF!</v>
          </cell>
          <cell r="K31">
            <v>21.25</v>
          </cell>
          <cell r="L31">
            <v>14.85</v>
          </cell>
          <cell r="M31">
            <v>0.14849999999999999</v>
          </cell>
          <cell r="N31">
            <v>1.95E-2</v>
          </cell>
          <cell r="O31">
            <v>4.0000000000000001E-3</v>
          </cell>
          <cell r="P31">
            <v>0.125</v>
          </cell>
        </row>
        <row r="32">
          <cell r="A32" t="str">
            <v>W00036</v>
          </cell>
          <cell r="B32">
            <v>23</v>
          </cell>
          <cell r="C32" t="str">
            <v>Babua X Ray</v>
          </cell>
          <cell r="D32">
            <v>1</v>
          </cell>
          <cell r="E32">
            <v>35212</v>
          </cell>
          <cell r="F32">
            <v>464253</v>
          </cell>
          <cell r="G32">
            <v>21.63</v>
          </cell>
          <cell r="H32" t="str">
            <v>MED SYSTEMS</v>
          </cell>
          <cell r="I32" t="e">
            <v>#REF!</v>
          </cell>
          <cell r="K32">
            <v>21.25</v>
          </cell>
          <cell r="L32">
            <v>14.85</v>
          </cell>
          <cell r="M32">
            <v>0.14849999999999999</v>
          </cell>
          <cell r="N32">
            <v>1.95E-2</v>
          </cell>
          <cell r="O32">
            <v>4.0000000000000001E-3</v>
          </cell>
          <cell r="P32">
            <v>0.125</v>
          </cell>
        </row>
        <row r="33">
          <cell r="A33" t="str">
            <v>W00206</v>
          </cell>
          <cell r="B33">
            <v>24</v>
          </cell>
          <cell r="C33" t="str">
            <v>Berean medical centre</v>
          </cell>
          <cell r="D33">
            <v>1</v>
          </cell>
          <cell r="E33">
            <v>35212</v>
          </cell>
          <cell r="F33">
            <v>652620</v>
          </cell>
          <cell r="G33">
            <v>21.63</v>
          </cell>
          <cell r="H33" t="str">
            <v>MED SYSTEMS</v>
          </cell>
          <cell r="I33" t="e">
            <v>#REF!</v>
          </cell>
          <cell r="K33">
            <v>21.25</v>
          </cell>
          <cell r="L33">
            <v>14.85</v>
          </cell>
          <cell r="M33">
            <v>0.14849999999999999</v>
          </cell>
          <cell r="N33">
            <v>1.95E-2</v>
          </cell>
          <cell r="O33">
            <v>4.0000000000000001E-3</v>
          </cell>
          <cell r="P33">
            <v>0.125</v>
          </cell>
        </row>
        <row r="34">
          <cell r="A34" t="str">
            <v>W00065</v>
          </cell>
          <cell r="B34">
            <v>25</v>
          </cell>
          <cell r="C34" t="str">
            <v>Body vision Deal Foreclosed</v>
          </cell>
          <cell r="D34">
            <v>1</v>
          </cell>
          <cell r="E34">
            <v>35212</v>
          </cell>
          <cell r="F34">
            <v>8500000</v>
          </cell>
          <cell r="G34">
            <v>0</v>
          </cell>
          <cell r="H34" t="str">
            <v>MED SYSTEMS</v>
          </cell>
          <cell r="I34" t="e">
            <v>#REF!</v>
          </cell>
          <cell r="K34">
            <v>21.25</v>
          </cell>
          <cell r="L34">
            <v>14.85</v>
          </cell>
          <cell r="M34">
            <v>0.14849999999999999</v>
          </cell>
          <cell r="N34">
            <v>1.95E-2</v>
          </cell>
          <cell r="O34">
            <v>4.0000000000000001E-3</v>
          </cell>
          <cell r="P34">
            <v>0.125</v>
          </cell>
        </row>
        <row r="35">
          <cell r="A35" t="str">
            <v>W00015</v>
          </cell>
          <cell r="B35">
            <v>26</v>
          </cell>
          <cell r="C35" t="str">
            <v>Citi Cardiac</v>
          </cell>
          <cell r="D35">
            <v>1</v>
          </cell>
          <cell r="E35">
            <v>35212</v>
          </cell>
          <cell r="F35">
            <v>20705612</v>
          </cell>
          <cell r="G35">
            <v>21.63</v>
          </cell>
          <cell r="H35" t="str">
            <v>MED SYSTEMS</v>
          </cell>
          <cell r="I35" t="e">
            <v>#REF!</v>
          </cell>
          <cell r="K35">
            <v>21.25</v>
          </cell>
          <cell r="L35">
            <v>14.85</v>
          </cell>
          <cell r="M35">
            <v>0.14849999999999999</v>
          </cell>
          <cell r="N35">
            <v>1.95E-2</v>
          </cell>
          <cell r="O35">
            <v>4.0000000000000001E-3</v>
          </cell>
          <cell r="P35">
            <v>0.125</v>
          </cell>
        </row>
        <row r="36">
          <cell r="A36" t="str">
            <v>W00136</v>
          </cell>
          <cell r="B36">
            <v>27</v>
          </cell>
          <cell r="C36" t="str">
            <v>Doctor,s X Ray</v>
          </cell>
          <cell r="D36">
            <v>1</v>
          </cell>
          <cell r="E36">
            <v>35212</v>
          </cell>
          <cell r="F36">
            <v>430499</v>
          </cell>
          <cell r="G36">
            <v>0</v>
          </cell>
          <cell r="H36" t="str">
            <v>MED SYSTEMS</v>
          </cell>
          <cell r="I36" t="e">
            <v>#REF!</v>
          </cell>
          <cell r="K36">
            <v>21.25</v>
          </cell>
          <cell r="L36">
            <v>14.85</v>
          </cell>
          <cell r="M36">
            <v>0.14849999999999999</v>
          </cell>
          <cell r="N36">
            <v>1.95E-2</v>
          </cell>
          <cell r="O36">
            <v>4.0000000000000001E-3</v>
          </cell>
          <cell r="P36">
            <v>0.125</v>
          </cell>
        </row>
        <row r="37">
          <cell r="A37" t="str">
            <v>W00108</v>
          </cell>
          <cell r="B37">
            <v>28</v>
          </cell>
          <cell r="C37" t="str">
            <v>K. Padmanabhan</v>
          </cell>
          <cell r="D37">
            <v>1</v>
          </cell>
          <cell r="E37">
            <v>35212</v>
          </cell>
          <cell r="F37">
            <v>574298</v>
          </cell>
          <cell r="G37">
            <v>0</v>
          </cell>
          <cell r="H37" t="str">
            <v>MED SYSTEMS</v>
          </cell>
          <cell r="I37" t="e">
            <v>#REF!</v>
          </cell>
          <cell r="K37">
            <v>21.25</v>
          </cell>
          <cell r="L37">
            <v>14.85</v>
          </cell>
          <cell r="M37">
            <v>0.14849999999999999</v>
          </cell>
          <cell r="N37">
            <v>1.95E-2</v>
          </cell>
          <cell r="O37">
            <v>4.0000000000000001E-3</v>
          </cell>
          <cell r="P37">
            <v>0.125</v>
          </cell>
        </row>
        <row r="38">
          <cell r="A38" t="str">
            <v>W00090</v>
          </cell>
          <cell r="B38">
            <v>29</v>
          </cell>
          <cell r="C38" t="str">
            <v>K. V.  Rao</v>
          </cell>
          <cell r="D38">
            <v>1</v>
          </cell>
          <cell r="E38">
            <v>35212</v>
          </cell>
          <cell r="F38">
            <v>583054</v>
          </cell>
          <cell r="G38">
            <v>0</v>
          </cell>
          <cell r="H38" t="str">
            <v>MED SYSTEMS</v>
          </cell>
          <cell r="I38" t="e">
            <v>#REF!</v>
          </cell>
          <cell r="K38">
            <v>21.25</v>
          </cell>
          <cell r="L38">
            <v>14.85</v>
          </cell>
          <cell r="M38">
            <v>0.14849999999999999</v>
          </cell>
          <cell r="N38">
            <v>1.95E-2</v>
          </cell>
          <cell r="O38">
            <v>4.0000000000000001E-3</v>
          </cell>
          <cell r="P38">
            <v>0.125</v>
          </cell>
        </row>
        <row r="39">
          <cell r="A39" t="str">
            <v>W00125</v>
          </cell>
          <cell r="B39">
            <v>30</v>
          </cell>
          <cell r="C39" t="str">
            <v>L. H. Kasture</v>
          </cell>
          <cell r="D39">
            <v>1</v>
          </cell>
          <cell r="E39">
            <v>35212</v>
          </cell>
          <cell r="F39">
            <v>955673</v>
          </cell>
          <cell r="G39">
            <v>21.63</v>
          </cell>
          <cell r="H39" t="str">
            <v>MED SYSTEMS</v>
          </cell>
          <cell r="I39" t="e">
            <v>#REF!</v>
          </cell>
          <cell r="K39">
            <v>21.25</v>
          </cell>
          <cell r="L39">
            <v>14.85</v>
          </cell>
          <cell r="M39">
            <v>0.14849999999999999</v>
          </cell>
          <cell r="N39">
            <v>1.95E-2</v>
          </cell>
          <cell r="O39">
            <v>4.0000000000000001E-3</v>
          </cell>
          <cell r="P39">
            <v>0.125</v>
          </cell>
        </row>
        <row r="40">
          <cell r="A40" t="str">
            <v>W00116</v>
          </cell>
          <cell r="B40">
            <v>31</v>
          </cell>
          <cell r="C40" t="str">
            <v>Paul Raj</v>
          </cell>
          <cell r="D40">
            <v>1</v>
          </cell>
          <cell r="E40">
            <v>35212</v>
          </cell>
          <cell r="F40">
            <v>554801</v>
          </cell>
          <cell r="G40">
            <v>21.63</v>
          </cell>
          <cell r="H40" t="str">
            <v>MED SYSTEMS</v>
          </cell>
          <cell r="I40" t="e">
            <v>#REF!</v>
          </cell>
          <cell r="K40">
            <v>21.25</v>
          </cell>
          <cell r="L40">
            <v>14.85</v>
          </cell>
          <cell r="M40">
            <v>0.14849999999999999</v>
          </cell>
          <cell r="N40">
            <v>1.95E-2</v>
          </cell>
          <cell r="O40">
            <v>4.0000000000000001E-3</v>
          </cell>
          <cell r="P40">
            <v>0.125</v>
          </cell>
        </row>
        <row r="41">
          <cell r="A41" t="str">
            <v>W00132</v>
          </cell>
          <cell r="B41">
            <v>32</v>
          </cell>
          <cell r="C41" t="str">
            <v>Sandhaya Sarmah</v>
          </cell>
          <cell r="D41">
            <v>1</v>
          </cell>
          <cell r="E41">
            <v>35212</v>
          </cell>
          <cell r="F41">
            <v>640920</v>
          </cell>
          <cell r="G41">
            <v>21.63</v>
          </cell>
          <cell r="H41" t="str">
            <v>MED SYSTEMS</v>
          </cell>
          <cell r="I41" t="e">
            <v>#REF!</v>
          </cell>
          <cell r="K41">
            <v>21.25</v>
          </cell>
          <cell r="L41">
            <v>14.85</v>
          </cell>
          <cell r="M41">
            <v>0.14849999999999999</v>
          </cell>
          <cell r="N41">
            <v>1.95E-2</v>
          </cell>
          <cell r="O41">
            <v>4.0000000000000001E-3</v>
          </cell>
          <cell r="P41">
            <v>0.125</v>
          </cell>
        </row>
        <row r="42">
          <cell r="A42" t="str">
            <v>W00104</v>
          </cell>
          <cell r="B42">
            <v>33</v>
          </cell>
          <cell r="C42" t="str">
            <v>Shrenik J Patil</v>
          </cell>
          <cell r="D42">
            <v>1</v>
          </cell>
          <cell r="E42">
            <v>35212</v>
          </cell>
          <cell r="F42">
            <v>895252</v>
          </cell>
          <cell r="G42">
            <v>0</v>
          </cell>
          <cell r="H42" t="str">
            <v>MED SYSTEMS</v>
          </cell>
          <cell r="I42" t="e">
            <v>#REF!</v>
          </cell>
          <cell r="K42">
            <v>21.25</v>
          </cell>
          <cell r="L42">
            <v>14.85</v>
          </cell>
          <cell r="M42">
            <v>0.14849999999999999</v>
          </cell>
          <cell r="N42">
            <v>1.95E-2</v>
          </cell>
          <cell r="O42">
            <v>4.0000000000000001E-3</v>
          </cell>
          <cell r="P42">
            <v>0.125</v>
          </cell>
        </row>
        <row r="43">
          <cell r="A43" t="str">
            <v>W00083</v>
          </cell>
          <cell r="B43">
            <v>34</v>
          </cell>
          <cell r="C43" t="str">
            <v>SRV Thangamani</v>
          </cell>
          <cell r="D43">
            <v>1</v>
          </cell>
          <cell r="E43">
            <v>35212</v>
          </cell>
          <cell r="F43">
            <v>820603</v>
          </cell>
          <cell r="G43">
            <v>21.63</v>
          </cell>
          <cell r="H43" t="str">
            <v>MED SYSTEMS</v>
          </cell>
          <cell r="I43" t="e">
            <v>#REF!</v>
          </cell>
          <cell r="K43">
            <v>21.25</v>
          </cell>
          <cell r="L43">
            <v>14.85</v>
          </cell>
          <cell r="M43">
            <v>0.14849999999999999</v>
          </cell>
          <cell r="N43">
            <v>1.95E-2</v>
          </cell>
          <cell r="O43">
            <v>4.0000000000000001E-3</v>
          </cell>
          <cell r="P43">
            <v>0.125</v>
          </cell>
        </row>
        <row r="44">
          <cell r="A44" t="str">
            <v>W00102</v>
          </cell>
          <cell r="B44">
            <v>35</v>
          </cell>
          <cell r="C44" t="str">
            <v>Tanveer Ahmed Khan</v>
          </cell>
          <cell r="D44">
            <v>1</v>
          </cell>
          <cell r="E44">
            <v>35212</v>
          </cell>
          <cell r="F44">
            <v>471209</v>
          </cell>
          <cell r="G44">
            <v>0</v>
          </cell>
          <cell r="H44" t="str">
            <v>MED SYSTEMS</v>
          </cell>
          <cell r="I44" t="e">
            <v>#REF!</v>
          </cell>
          <cell r="K44">
            <v>21.25</v>
          </cell>
          <cell r="L44">
            <v>14.85</v>
          </cell>
          <cell r="M44">
            <v>0.14849999999999999</v>
          </cell>
          <cell r="N44">
            <v>1.95E-2</v>
          </cell>
          <cell r="O44">
            <v>4.0000000000000001E-3</v>
          </cell>
          <cell r="P44">
            <v>0.125</v>
          </cell>
        </row>
        <row r="45">
          <cell r="A45" t="str">
            <v>W00120</v>
          </cell>
          <cell r="B45">
            <v>36</v>
          </cell>
          <cell r="C45" t="str">
            <v>Vijayan Nair</v>
          </cell>
          <cell r="D45">
            <v>1</v>
          </cell>
          <cell r="E45">
            <v>35212</v>
          </cell>
          <cell r="F45">
            <v>647356</v>
          </cell>
          <cell r="G45">
            <v>21.63</v>
          </cell>
          <cell r="H45" t="str">
            <v>MED SYSTEMS</v>
          </cell>
          <cell r="I45" t="e">
            <v>#REF!</v>
          </cell>
          <cell r="K45">
            <v>21.25</v>
          </cell>
          <cell r="L45">
            <v>14.85</v>
          </cell>
          <cell r="M45">
            <v>0.14849999999999999</v>
          </cell>
          <cell r="N45">
            <v>1.95E-2</v>
          </cell>
          <cell r="O45">
            <v>4.0000000000000001E-3</v>
          </cell>
          <cell r="P45">
            <v>0.125</v>
          </cell>
        </row>
        <row r="46">
          <cell r="A46" t="str">
            <v>W00182</v>
          </cell>
          <cell r="B46">
            <v>37</v>
          </cell>
          <cell r="C46" t="str">
            <v>Haryana Ultrasound(Dr. Urmila)</v>
          </cell>
          <cell r="D46">
            <v>1</v>
          </cell>
          <cell r="E46">
            <v>35212</v>
          </cell>
          <cell r="F46">
            <v>377834</v>
          </cell>
          <cell r="G46">
            <v>21.63</v>
          </cell>
          <cell r="H46" t="str">
            <v>MED SYSTEMS</v>
          </cell>
          <cell r="I46" t="e">
            <v>#REF!</v>
          </cell>
          <cell r="K46">
            <v>21.25</v>
          </cell>
          <cell r="L46">
            <v>14.85</v>
          </cell>
          <cell r="M46">
            <v>0.14849999999999999</v>
          </cell>
          <cell r="N46">
            <v>1.95E-2</v>
          </cell>
          <cell r="O46">
            <v>4.0000000000000001E-3</v>
          </cell>
          <cell r="P46">
            <v>0.125</v>
          </cell>
        </row>
        <row r="47">
          <cell r="A47" t="str">
            <v>W00103</v>
          </cell>
          <cell r="B47">
            <v>38</v>
          </cell>
          <cell r="C47" t="str">
            <v>J. N. Shorie</v>
          </cell>
          <cell r="D47">
            <v>1</v>
          </cell>
          <cell r="E47">
            <v>35212</v>
          </cell>
          <cell r="F47">
            <v>438288</v>
          </cell>
          <cell r="G47">
            <v>21.63</v>
          </cell>
          <cell r="H47" t="str">
            <v>MED SYSTEMS</v>
          </cell>
          <cell r="I47" t="e">
            <v>#REF!</v>
          </cell>
          <cell r="K47">
            <v>21.25</v>
          </cell>
          <cell r="L47">
            <v>14.85</v>
          </cell>
          <cell r="M47">
            <v>0.14849999999999999</v>
          </cell>
          <cell r="N47">
            <v>1.95E-2</v>
          </cell>
          <cell r="O47">
            <v>4.0000000000000001E-3</v>
          </cell>
          <cell r="P47">
            <v>0.125</v>
          </cell>
        </row>
        <row r="48">
          <cell r="A48" t="str">
            <v>W00209</v>
          </cell>
          <cell r="B48">
            <v>39</v>
          </cell>
          <cell r="C48" t="str">
            <v>Jaypee Ultrasound</v>
          </cell>
          <cell r="D48">
            <v>1</v>
          </cell>
          <cell r="E48">
            <v>35212</v>
          </cell>
          <cell r="F48">
            <v>637594</v>
          </cell>
          <cell r="G48">
            <v>21.63</v>
          </cell>
          <cell r="H48" t="str">
            <v>MED SYSTEMS</v>
          </cell>
          <cell r="I48" t="e">
            <v>#REF!</v>
          </cell>
          <cell r="K48">
            <v>21.25</v>
          </cell>
          <cell r="L48">
            <v>14.85</v>
          </cell>
          <cell r="M48">
            <v>0.14849999999999999</v>
          </cell>
          <cell r="N48">
            <v>1.95E-2</v>
          </cell>
          <cell r="O48">
            <v>4.0000000000000001E-3</v>
          </cell>
          <cell r="P48">
            <v>0.125</v>
          </cell>
        </row>
        <row r="49">
          <cell r="A49" t="str">
            <v>W00179</v>
          </cell>
          <cell r="B49">
            <v>40</v>
          </cell>
          <cell r="C49" t="str">
            <v>Joshi Nursing Home</v>
          </cell>
          <cell r="D49">
            <v>1</v>
          </cell>
          <cell r="E49">
            <v>35212</v>
          </cell>
          <cell r="F49">
            <v>723276</v>
          </cell>
          <cell r="G49">
            <v>21.63</v>
          </cell>
          <cell r="H49" t="str">
            <v>MED SYSTEMS</v>
          </cell>
          <cell r="I49" t="e">
            <v>#REF!</v>
          </cell>
          <cell r="K49">
            <v>21.25</v>
          </cell>
          <cell r="L49">
            <v>14.85</v>
          </cell>
          <cell r="M49">
            <v>0.14849999999999999</v>
          </cell>
          <cell r="N49">
            <v>1.95E-2</v>
          </cell>
          <cell r="O49">
            <v>4.0000000000000001E-3</v>
          </cell>
          <cell r="P49">
            <v>0.125</v>
          </cell>
        </row>
        <row r="50">
          <cell r="A50" t="str">
            <v>W00201</v>
          </cell>
          <cell r="B50">
            <v>41</v>
          </cell>
          <cell r="C50" t="str">
            <v>K. G  Healthcare</v>
          </cell>
          <cell r="D50">
            <v>1</v>
          </cell>
          <cell r="E50">
            <v>35212</v>
          </cell>
          <cell r="F50">
            <v>8107919</v>
          </cell>
          <cell r="G50">
            <v>21.63</v>
          </cell>
          <cell r="H50" t="str">
            <v>MED SYSTEMS</v>
          </cell>
          <cell r="I50" t="e">
            <v>#REF!</v>
          </cell>
          <cell r="K50">
            <v>21.25</v>
          </cell>
          <cell r="L50">
            <v>14.85</v>
          </cell>
          <cell r="M50">
            <v>0.14849999999999999</v>
          </cell>
          <cell r="N50">
            <v>1.95E-2</v>
          </cell>
          <cell r="O50">
            <v>4.0000000000000001E-3</v>
          </cell>
          <cell r="P50">
            <v>0.125</v>
          </cell>
        </row>
        <row r="51">
          <cell r="A51" t="str">
            <v>W00198</v>
          </cell>
          <cell r="B51">
            <v>42</v>
          </cell>
          <cell r="C51" t="str">
            <v>Life medical centre</v>
          </cell>
          <cell r="D51">
            <v>1</v>
          </cell>
          <cell r="E51">
            <v>35212</v>
          </cell>
          <cell r="F51">
            <v>7306951</v>
          </cell>
          <cell r="G51">
            <v>0</v>
          </cell>
          <cell r="H51" t="str">
            <v>MED SYSTEMS</v>
          </cell>
          <cell r="I51" t="e">
            <v>#REF!</v>
          </cell>
          <cell r="K51">
            <v>21.25</v>
          </cell>
          <cell r="L51">
            <v>14.85</v>
          </cell>
          <cell r="M51">
            <v>0.14849999999999999</v>
          </cell>
          <cell r="N51">
            <v>1.95E-2</v>
          </cell>
          <cell r="O51">
            <v>4.0000000000000001E-3</v>
          </cell>
          <cell r="P51">
            <v>0.125</v>
          </cell>
        </row>
        <row r="52">
          <cell r="A52" t="str">
            <v>W00048</v>
          </cell>
          <cell r="B52">
            <v>43</v>
          </cell>
          <cell r="C52" t="str">
            <v>Madho Hospital</v>
          </cell>
          <cell r="D52">
            <v>1</v>
          </cell>
          <cell r="E52">
            <v>35212</v>
          </cell>
          <cell r="F52">
            <v>546304</v>
          </cell>
          <cell r="G52">
            <v>21.63</v>
          </cell>
          <cell r="H52" t="str">
            <v>MED SYSTEMS</v>
          </cell>
          <cell r="I52" t="e">
            <v>#REF!</v>
          </cell>
          <cell r="K52">
            <v>21.25</v>
          </cell>
          <cell r="L52">
            <v>14.85</v>
          </cell>
          <cell r="M52">
            <v>0.14849999999999999</v>
          </cell>
          <cell r="N52">
            <v>1.95E-2</v>
          </cell>
          <cell r="O52">
            <v>4.0000000000000001E-3</v>
          </cell>
          <cell r="P52">
            <v>0.125</v>
          </cell>
        </row>
        <row r="53">
          <cell r="A53" t="str">
            <v>W00135</v>
          </cell>
          <cell r="B53">
            <v>44</v>
          </cell>
          <cell r="C53" t="str">
            <v>Mangal Diagnostics</v>
          </cell>
          <cell r="D53">
            <v>1</v>
          </cell>
          <cell r="E53">
            <v>35212</v>
          </cell>
          <cell r="F53">
            <v>490399</v>
          </cell>
          <cell r="G53">
            <v>21.63</v>
          </cell>
          <cell r="H53" t="str">
            <v>MED SYSTEMS</v>
          </cell>
          <cell r="I53" t="e">
            <v>#REF!</v>
          </cell>
          <cell r="K53">
            <v>21.25</v>
          </cell>
          <cell r="L53">
            <v>14.85</v>
          </cell>
          <cell r="M53">
            <v>0.14849999999999999</v>
          </cell>
          <cell r="N53">
            <v>1.95E-2</v>
          </cell>
          <cell r="O53">
            <v>4.0000000000000001E-3</v>
          </cell>
          <cell r="P53">
            <v>0.125</v>
          </cell>
        </row>
        <row r="54">
          <cell r="A54" t="str">
            <v>W00033</v>
          </cell>
          <cell r="B54">
            <v>45</v>
          </cell>
          <cell r="C54" t="str">
            <v>Moidus Medicare - CT</v>
          </cell>
          <cell r="D54">
            <v>1</v>
          </cell>
          <cell r="E54">
            <v>35212</v>
          </cell>
          <cell r="F54">
            <v>3392317</v>
          </cell>
          <cell r="G54">
            <v>0</v>
          </cell>
          <cell r="H54" t="str">
            <v>MED SYSTEMS</v>
          </cell>
          <cell r="I54" t="e">
            <v>#REF!</v>
          </cell>
          <cell r="K54">
            <v>21.25</v>
          </cell>
          <cell r="L54">
            <v>14.85</v>
          </cell>
          <cell r="M54">
            <v>0.14849999999999999</v>
          </cell>
          <cell r="N54">
            <v>1.95E-2</v>
          </cell>
          <cell r="O54">
            <v>4.0000000000000001E-3</v>
          </cell>
          <cell r="P54">
            <v>0.125</v>
          </cell>
        </row>
        <row r="55">
          <cell r="A55" t="str">
            <v>W00203</v>
          </cell>
          <cell r="B55">
            <v>46</v>
          </cell>
          <cell r="C55" t="str">
            <v>Moidus Medicare - X RAY</v>
          </cell>
          <cell r="D55">
            <v>1</v>
          </cell>
          <cell r="E55">
            <v>35212</v>
          </cell>
          <cell r="F55">
            <v>563239</v>
          </cell>
          <cell r="G55">
            <v>0</v>
          </cell>
          <cell r="H55" t="str">
            <v>MED SYSTEMS</v>
          </cell>
          <cell r="I55" t="e">
            <v>#REF!</v>
          </cell>
          <cell r="K55">
            <v>21.25</v>
          </cell>
          <cell r="L55">
            <v>14.85</v>
          </cell>
          <cell r="M55">
            <v>0.14849999999999999</v>
          </cell>
          <cell r="N55">
            <v>1.95E-2</v>
          </cell>
          <cell r="O55">
            <v>4.0000000000000001E-3</v>
          </cell>
          <cell r="P55">
            <v>0.125</v>
          </cell>
        </row>
        <row r="56">
          <cell r="A56" t="str">
            <v>W00115</v>
          </cell>
          <cell r="B56">
            <v>47</v>
          </cell>
          <cell r="C56" t="str">
            <v>Mookambikai clinical lab</v>
          </cell>
          <cell r="D56">
            <v>1</v>
          </cell>
          <cell r="E56">
            <v>35212</v>
          </cell>
          <cell r="F56">
            <v>406406</v>
          </cell>
          <cell r="G56">
            <v>21.63</v>
          </cell>
          <cell r="H56" t="str">
            <v>MED SYSTEMS</v>
          </cell>
          <cell r="I56" t="e">
            <v>#REF!</v>
          </cell>
          <cell r="K56">
            <v>21.25</v>
          </cell>
          <cell r="L56">
            <v>14.85</v>
          </cell>
          <cell r="M56">
            <v>0.14849999999999999</v>
          </cell>
          <cell r="N56">
            <v>1.95E-2</v>
          </cell>
          <cell r="O56">
            <v>4.0000000000000001E-3</v>
          </cell>
          <cell r="P56">
            <v>0.125</v>
          </cell>
        </row>
        <row r="57">
          <cell r="A57" t="str">
            <v>W00183</v>
          </cell>
          <cell r="B57">
            <v>48</v>
          </cell>
          <cell r="C57" t="str">
            <v>Okay Diagnostics</v>
          </cell>
          <cell r="D57">
            <v>1</v>
          </cell>
          <cell r="E57">
            <v>35212</v>
          </cell>
          <cell r="F57">
            <v>3195585</v>
          </cell>
          <cell r="G57">
            <v>21.63</v>
          </cell>
          <cell r="H57" t="str">
            <v>MED SYSTEMS</v>
          </cell>
          <cell r="I57" t="e">
            <v>#REF!</v>
          </cell>
          <cell r="K57">
            <v>21.25</v>
          </cell>
          <cell r="L57">
            <v>14.85</v>
          </cell>
          <cell r="M57">
            <v>0.14849999999999999</v>
          </cell>
          <cell r="N57">
            <v>1.95E-2</v>
          </cell>
          <cell r="O57">
            <v>4.0000000000000001E-3</v>
          </cell>
          <cell r="P57">
            <v>0.125</v>
          </cell>
        </row>
        <row r="58">
          <cell r="A58" t="str">
            <v>W00199</v>
          </cell>
          <cell r="B58">
            <v>49</v>
          </cell>
          <cell r="C58" t="str">
            <v>Paravara medical  trust</v>
          </cell>
          <cell r="D58">
            <v>1</v>
          </cell>
          <cell r="E58">
            <v>35212</v>
          </cell>
          <cell r="F58">
            <v>2321391</v>
          </cell>
          <cell r="G58">
            <v>0</v>
          </cell>
          <cell r="H58" t="str">
            <v>MED SYSTEMS</v>
          </cell>
          <cell r="I58" t="e">
            <v>#REF!</v>
          </cell>
          <cell r="K58">
            <v>21.25</v>
          </cell>
          <cell r="L58">
            <v>14.85</v>
          </cell>
          <cell r="M58">
            <v>0.14849999999999999</v>
          </cell>
          <cell r="N58">
            <v>1.95E-2</v>
          </cell>
          <cell r="O58">
            <v>4.0000000000000001E-3</v>
          </cell>
          <cell r="P58">
            <v>0.125</v>
          </cell>
        </row>
        <row r="59">
          <cell r="A59" t="str">
            <v>W00063</v>
          </cell>
          <cell r="B59">
            <v>50</v>
          </cell>
          <cell r="C59" t="str">
            <v>Rukmini Scanning</v>
          </cell>
          <cell r="D59">
            <v>1</v>
          </cell>
          <cell r="E59">
            <v>35212</v>
          </cell>
          <cell r="F59">
            <v>711077</v>
          </cell>
          <cell r="G59">
            <v>21.63</v>
          </cell>
          <cell r="H59" t="str">
            <v>MED SYSTEMS</v>
          </cell>
          <cell r="I59" t="e">
            <v>#REF!</v>
          </cell>
          <cell r="K59">
            <v>21.25</v>
          </cell>
          <cell r="L59">
            <v>14.85</v>
          </cell>
          <cell r="M59">
            <v>0.14849999999999999</v>
          </cell>
          <cell r="N59">
            <v>1.95E-2</v>
          </cell>
          <cell r="O59">
            <v>4.0000000000000001E-3</v>
          </cell>
          <cell r="P59">
            <v>0.125</v>
          </cell>
        </row>
        <row r="60">
          <cell r="A60" t="str">
            <v>W00064</v>
          </cell>
          <cell r="B60">
            <v>51</v>
          </cell>
          <cell r="C60" t="str">
            <v>Sai Blood Bank</v>
          </cell>
          <cell r="D60">
            <v>1</v>
          </cell>
          <cell r="E60">
            <v>35212</v>
          </cell>
          <cell r="F60">
            <v>684108</v>
          </cell>
          <cell r="G60">
            <v>21.63</v>
          </cell>
          <cell r="H60" t="str">
            <v>MED SYSTEMS</v>
          </cell>
          <cell r="I60" t="e">
            <v>#REF!</v>
          </cell>
          <cell r="K60">
            <v>21.25</v>
          </cell>
          <cell r="L60">
            <v>14.85</v>
          </cell>
          <cell r="M60">
            <v>0.14849999999999999</v>
          </cell>
          <cell r="N60">
            <v>1.95E-2</v>
          </cell>
          <cell r="O60">
            <v>4.0000000000000001E-3</v>
          </cell>
          <cell r="P60">
            <v>0.125</v>
          </cell>
        </row>
        <row r="61">
          <cell r="A61" t="str">
            <v>W00139</v>
          </cell>
          <cell r="B61">
            <v>52</v>
          </cell>
          <cell r="C61" t="str">
            <v>Search Diagnostics</v>
          </cell>
          <cell r="D61">
            <v>1</v>
          </cell>
          <cell r="E61">
            <v>35212</v>
          </cell>
          <cell r="F61">
            <v>7856588</v>
          </cell>
          <cell r="G61">
            <v>0</v>
          </cell>
          <cell r="H61" t="str">
            <v>MED SYSTEMS</v>
          </cell>
          <cell r="I61" t="e">
            <v>#REF!</v>
          </cell>
          <cell r="K61">
            <v>21.25</v>
          </cell>
          <cell r="L61">
            <v>14.85</v>
          </cell>
          <cell r="M61">
            <v>0.14849999999999999</v>
          </cell>
          <cell r="N61">
            <v>1.95E-2</v>
          </cell>
          <cell r="O61">
            <v>4.0000000000000001E-3</v>
          </cell>
          <cell r="P61">
            <v>0.125</v>
          </cell>
        </row>
        <row r="62">
          <cell r="A62" t="str">
            <v>W00037</v>
          </cell>
          <cell r="B62">
            <v>53</v>
          </cell>
          <cell r="C62" t="str">
            <v>Tara Hospital</v>
          </cell>
          <cell r="D62">
            <v>1</v>
          </cell>
          <cell r="E62">
            <v>35212</v>
          </cell>
          <cell r="F62">
            <v>766180</v>
          </cell>
          <cell r="G62">
            <v>21.63</v>
          </cell>
          <cell r="H62" t="str">
            <v>MED SYSTEMS</v>
          </cell>
          <cell r="I62" t="e">
            <v>#REF!</v>
          </cell>
          <cell r="K62">
            <v>21.25</v>
          </cell>
          <cell r="L62">
            <v>14.85</v>
          </cell>
          <cell r="M62">
            <v>0.14849999999999999</v>
          </cell>
          <cell r="N62">
            <v>1.95E-2</v>
          </cell>
          <cell r="O62">
            <v>4.0000000000000001E-3</v>
          </cell>
          <cell r="P62">
            <v>0.125</v>
          </cell>
        </row>
        <row r="63">
          <cell r="A63" t="str">
            <v>W00204</v>
          </cell>
          <cell r="B63">
            <v>54</v>
          </cell>
          <cell r="C63" t="str">
            <v xml:space="preserve">Vidarbha 3D S can </v>
          </cell>
          <cell r="D63">
            <v>1</v>
          </cell>
          <cell r="E63">
            <v>35212</v>
          </cell>
          <cell r="F63">
            <v>6649132</v>
          </cell>
          <cell r="G63">
            <v>21.63</v>
          </cell>
          <cell r="H63" t="str">
            <v>MED SYSTEMS</v>
          </cell>
          <cell r="I63" t="e">
            <v>#REF!</v>
          </cell>
          <cell r="K63">
            <v>21.25</v>
          </cell>
          <cell r="L63">
            <v>14.85</v>
          </cell>
          <cell r="M63">
            <v>0.14849999999999999</v>
          </cell>
          <cell r="N63">
            <v>1.95E-2</v>
          </cell>
          <cell r="O63">
            <v>4.0000000000000001E-3</v>
          </cell>
          <cell r="P63">
            <v>0.125</v>
          </cell>
        </row>
        <row r="64">
          <cell r="A64" t="str">
            <v>W00178</v>
          </cell>
          <cell r="B64">
            <v>55</v>
          </cell>
          <cell r="C64" t="str">
            <v>Woodland Nursing Home</v>
          </cell>
          <cell r="D64">
            <v>1</v>
          </cell>
          <cell r="E64">
            <v>35212</v>
          </cell>
          <cell r="F64">
            <v>8027697</v>
          </cell>
          <cell r="G64">
            <v>21.63</v>
          </cell>
          <cell r="H64" t="str">
            <v>MED SYSTEMS</v>
          </cell>
          <cell r="I64" t="e">
            <v>#REF!</v>
          </cell>
          <cell r="K64">
            <v>21.25</v>
          </cell>
          <cell r="L64">
            <v>14.85</v>
          </cell>
          <cell r="M64">
            <v>0.14849999999999999</v>
          </cell>
          <cell r="N64">
            <v>1.95E-2</v>
          </cell>
          <cell r="O64">
            <v>4.0000000000000001E-3</v>
          </cell>
          <cell r="P64">
            <v>0.125</v>
          </cell>
        </row>
        <row r="65">
          <cell r="A65" t="str">
            <v>W00130</v>
          </cell>
          <cell r="B65">
            <v>56</v>
          </cell>
          <cell r="C65" t="str">
            <v>Advanced Medicare &amp; Research</v>
          </cell>
          <cell r="D65">
            <v>1</v>
          </cell>
          <cell r="E65">
            <v>35328</v>
          </cell>
          <cell r="F65">
            <v>12766593</v>
          </cell>
          <cell r="G65">
            <v>20.21</v>
          </cell>
          <cell r="H65" t="str">
            <v>MED SYSTEMS</v>
          </cell>
          <cell r="I65" t="e">
            <v>#REF!</v>
          </cell>
          <cell r="K65">
            <v>19.86</v>
          </cell>
          <cell r="L65">
            <v>14.85</v>
          </cell>
          <cell r="M65">
            <v>0.14849999999999999</v>
          </cell>
          <cell r="N65">
            <v>1.95E-2</v>
          </cell>
          <cell r="O65">
            <v>4.0000000000000001E-3</v>
          </cell>
          <cell r="P65">
            <v>0.125</v>
          </cell>
        </row>
        <row r="66">
          <cell r="A66" t="str">
            <v>W00177</v>
          </cell>
          <cell r="B66">
            <v>57</v>
          </cell>
          <cell r="C66" t="str">
            <v>AG Neuro Hospital</v>
          </cell>
          <cell r="D66">
            <v>1</v>
          </cell>
          <cell r="E66">
            <v>35328</v>
          </cell>
          <cell r="F66">
            <v>514300</v>
          </cell>
          <cell r="G66">
            <v>0</v>
          </cell>
          <cell r="H66" t="str">
            <v>MED SYSTEMS</v>
          </cell>
          <cell r="I66" t="e">
            <v>#REF!</v>
          </cell>
          <cell r="K66">
            <v>19.86</v>
          </cell>
          <cell r="L66">
            <v>14.85</v>
          </cell>
          <cell r="M66">
            <v>0.14849999999999999</v>
          </cell>
          <cell r="N66">
            <v>1.95E-2</v>
          </cell>
          <cell r="O66">
            <v>4.0000000000000001E-3</v>
          </cell>
          <cell r="P66">
            <v>0.125</v>
          </cell>
        </row>
        <row r="67">
          <cell r="A67" t="str">
            <v>W00005</v>
          </cell>
          <cell r="B67">
            <v>58</v>
          </cell>
          <cell r="C67" t="str">
            <v>Amrit Heart Scan -1</v>
          </cell>
          <cell r="D67">
            <v>1</v>
          </cell>
          <cell r="E67">
            <v>35328</v>
          </cell>
          <cell r="F67">
            <v>3800610</v>
          </cell>
          <cell r="G67">
            <v>20.21</v>
          </cell>
          <cell r="H67" t="str">
            <v>MED SYSTEMS</v>
          </cell>
          <cell r="I67" t="e">
            <v>#REF!</v>
          </cell>
          <cell r="K67">
            <v>19.86</v>
          </cell>
          <cell r="L67">
            <v>14.85</v>
          </cell>
          <cell r="M67">
            <v>0.14849999999999999</v>
          </cell>
          <cell r="N67">
            <v>1.95E-2</v>
          </cell>
          <cell r="O67">
            <v>4.0000000000000001E-3</v>
          </cell>
          <cell r="P67">
            <v>0.125</v>
          </cell>
        </row>
        <row r="68">
          <cell r="A68" t="str">
            <v>W00034</v>
          </cell>
          <cell r="B68">
            <v>59</v>
          </cell>
          <cell r="C68" t="str">
            <v>Amrit Heart Scan -2</v>
          </cell>
          <cell r="D68">
            <v>2</v>
          </cell>
          <cell r="E68">
            <v>35328</v>
          </cell>
          <cell r="F68">
            <v>561890</v>
          </cell>
          <cell r="G68">
            <v>20.21</v>
          </cell>
          <cell r="H68" t="str">
            <v>MED SYSTEMS</v>
          </cell>
          <cell r="I68" t="e">
            <v>#REF!</v>
          </cell>
          <cell r="K68">
            <v>19.86</v>
          </cell>
          <cell r="L68">
            <v>14.85</v>
          </cell>
          <cell r="M68">
            <v>0.14849999999999999</v>
          </cell>
          <cell r="N68">
            <v>1.95E-2</v>
          </cell>
          <cell r="O68">
            <v>4.0000000000000001E-3</v>
          </cell>
          <cell r="P68">
            <v>0.125</v>
          </cell>
        </row>
        <row r="69">
          <cell r="A69" t="str">
            <v>W00046</v>
          </cell>
          <cell r="B69">
            <v>60</v>
          </cell>
          <cell r="C69" t="str">
            <v>Bara Thakur</v>
          </cell>
          <cell r="D69">
            <v>1</v>
          </cell>
          <cell r="E69">
            <v>35328</v>
          </cell>
          <cell r="F69">
            <v>720949</v>
          </cell>
          <cell r="G69">
            <v>20.21</v>
          </cell>
          <cell r="H69" t="str">
            <v>MED SYSTEMS</v>
          </cell>
          <cell r="I69" t="e">
            <v>#REF!</v>
          </cell>
          <cell r="K69">
            <v>19.86</v>
          </cell>
          <cell r="L69">
            <v>14.85</v>
          </cell>
          <cell r="M69">
            <v>0.14849999999999999</v>
          </cell>
          <cell r="N69">
            <v>1.95E-2</v>
          </cell>
          <cell r="O69">
            <v>4.0000000000000001E-3</v>
          </cell>
          <cell r="P69">
            <v>0.125</v>
          </cell>
        </row>
        <row r="70">
          <cell r="A70" t="str">
            <v>W00045</v>
          </cell>
          <cell r="B70">
            <v>61</v>
          </cell>
          <cell r="C70" t="str">
            <v>Central Polyclinic</v>
          </cell>
          <cell r="D70">
            <v>1</v>
          </cell>
          <cell r="E70">
            <v>35328</v>
          </cell>
          <cell r="F70">
            <v>476458</v>
          </cell>
          <cell r="G70">
            <v>20.21</v>
          </cell>
          <cell r="H70" t="str">
            <v>MED SYSTEMS</v>
          </cell>
          <cell r="I70" t="e">
            <v>#REF!</v>
          </cell>
          <cell r="K70">
            <v>19.86</v>
          </cell>
          <cell r="L70">
            <v>14.85</v>
          </cell>
          <cell r="M70">
            <v>0.14849999999999999</v>
          </cell>
          <cell r="N70">
            <v>1.95E-2</v>
          </cell>
          <cell r="O70">
            <v>4.0000000000000001E-3</v>
          </cell>
          <cell r="P70">
            <v>0.125</v>
          </cell>
        </row>
        <row r="71">
          <cell r="A71" t="str">
            <v>W00068</v>
          </cell>
          <cell r="B71">
            <v>62</v>
          </cell>
          <cell r="C71" t="str">
            <v>Dhande Diagnostic Research (foreclosed in aug 99)</v>
          </cell>
          <cell r="D71">
            <v>1</v>
          </cell>
          <cell r="E71">
            <v>35328</v>
          </cell>
          <cell r="F71">
            <v>8301017</v>
          </cell>
          <cell r="G71">
            <v>20.21</v>
          </cell>
          <cell r="H71" t="str">
            <v>MED SYSTEMS</v>
          </cell>
          <cell r="I71" t="e">
            <v>#REF!</v>
          </cell>
          <cell r="K71">
            <v>19.86</v>
          </cell>
          <cell r="L71">
            <v>14.85</v>
          </cell>
          <cell r="M71">
            <v>0.14849999999999999</v>
          </cell>
          <cell r="N71">
            <v>1.95E-2</v>
          </cell>
          <cell r="O71">
            <v>4.0000000000000001E-3</v>
          </cell>
          <cell r="P71">
            <v>0.125</v>
          </cell>
        </row>
        <row r="72">
          <cell r="A72" t="str">
            <v>W00024</v>
          </cell>
          <cell r="B72">
            <v>63</v>
          </cell>
          <cell r="C72" t="str">
            <v>Amar Jawalkar</v>
          </cell>
          <cell r="D72">
            <v>1</v>
          </cell>
          <cell r="E72">
            <v>35328</v>
          </cell>
          <cell r="F72">
            <v>444417</v>
          </cell>
          <cell r="G72">
            <v>20.21</v>
          </cell>
          <cell r="H72" t="str">
            <v>MED SYSTEMS</v>
          </cell>
          <cell r="I72" t="e">
            <v>#REF!</v>
          </cell>
          <cell r="J72">
            <v>400766.08929863019</v>
          </cell>
          <cell r="K72">
            <v>19.86</v>
          </cell>
          <cell r="L72">
            <v>14.85</v>
          </cell>
          <cell r="M72">
            <v>0.14849999999999999</v>
          </cell>
          <cell r="N72">
            <v>1.95E-2</v>
          </cell>
          <cell r="O72">
            <v>4.0000000000000001E-3</v>
          </cell>
          <cell r="P72">
            <v>0.125</v>
          </cell>
        </row>
        <row r="73">
          <cell r="A73" t="str">
            <v>W00180</v>
          </cell>
          <cell r="B73">
            <v>64</v>
          </cell>
          <cell r="C73" t="str">
            <v>B K Patnaik</v>
          </cell>
          <cell r="D73">
            <v>1</v>
          </cell>
          <cell r="E73">
            <v>35328</v>
          </cell>
          <cell r="F73">
            <v>657151</v>
          </cell>
          <cell r="G73">
            <v>20.21</v>
          </cell>
          <cell r="H73" t="str">
            <v>MED SYSTEMS</v>
          </cell>
          <cell r="I73" t="e">
            <v>#REF!</v>
          </cell>
          <cell r="J73">
            <v>2102.4715068493151</v>
          </cell>
          <cell r="K73">
            <v>19.86</v>
          </cell>
          <cell r="L73">
            <v>14.85</v>
          </cell>
          <cell r="M73">
            <v>0.14849999999999999</v>
          </cell>
          <cell r="N73">
            <v>1.95E-2</v>
          </cell>
          <cell r="O73">
            <v>4.0000000000000001E-3</v>
          </cell>
          <cell r="P73">
            <v>0.125</v>
          </cell>
        </row>
        <row r="74">
          <cell r="A74" t="str">
            <v>W00110</v>
          </cell>
          <cell r="B74">
            <v>65</v>
          </cell>
          <cell r="C74" t="str">
            <v>D Chawla</v>
          </cell>
          <cell r="D74">
            <v>1</v>
          </cell>
          <cell r="E74">
            <v>35328</v>
          </cell>
          <cell r="F74">
            <v>862218</v>
          </cell>
          <cell r="G74">
            <v>20.21</v>
          </cell>
          <cell r="H74" t="str">
            <v>MED SYSTEMS</v>
          </cell>
          <cell r="I74" t="e">
            <v>#REF!</v>
          </cell>
          <cell r="J74">
            <v>11056.120895342467</v>
          </cell>
          <cell r="K74">
            <v>19.86</v>
          </cell>
          <cell r="L74">
            <v>14.85</v>
          </cell>
          <cell r="M74">
            <v>0.14849999999999999</v>
          </cell>
          <cell r="N74">
            <v>1.95E-2</v>
          </cell>
          <cell r="O74">
            <v>4.0000000000000001E-3</v>
          </cell>
          <cell r="P74">
            <v>0.125</v>
          </cell>
        </row>
        <row r="75">
          <cell r="A75" t="str">
            <v>W00092</v>
          </cell>
          <cell r="B75">
            <v>66</v>
          </cell>
          <cell r="C75" t="str">
            <v>Jayesh Solanki</v>
          </cell>
          <cell r="D75">
            <v>1</v>
          </cell>
          <cell r="E75">
            <v>35328</v>
          </cell>
          <cell r="F75">
            <v>494021</v>
          </cell>
          <cell r="G75">
            <v>20.21</v>
          </cell>
          <cell r="H75" t="str">
            <v>MED SYSTEMS</v>
          </cell>
          <cell r="I75" t="e">
            <v>#REF!</v>
          </cell>
          <cell r="K75">
            <v>19.86</v>
          </cell>
          <cell r="L75">
            <v>14.85</v>
          </cell>
          <cell r="M75">
            <v>0.14849999999999999</v>
          </cell>
          <cell r="N75">
            <v>1.95E-2</v>
          </cell>
          <cell r="O75">
            <v>4.0000000000000001E-3</v>
          </cell>
          <cell r="P75">
            <v>0.125</v>
          </cell>
        </row>
        <row r="76">
          <cell r="A76" t="str">
            <v>W00113</v>
          </cell>
          <cell r="B76">
            <v>67</v>
          </cell>
          <cell r="C76" t="str">
            <v>K ishore P Kedkar</v>
          </cell>
          <cell r="D76">
            <v>1</v>
          </cell>
          <cell r="E76">
            <v>35328</v>
          </cell>
          <cell r="F76">
            <v>1396285</v>
          </cell>
          <cell r="G76">
            <v>0</v>
          </cell>
          <cell r="H76" t="str">
            <v>MED SYSTEMS</v>
          </cell>
          <cell r="I76" t="e">
            <v>#REF!</v>
          </cell>
          <cell r="J76">
            <v>285.24341095890412</v>
          </cell>
          <cell r="K76">
            <v>19.86</v>
          </cell>
          <cell r="L76">
            <v>14.85</v>
          </cell>
          <cell r="M76">
            <v>0.14849999999999999</v>
          </cell>
          <cell r="N76">
            <v>1.95E-2</v>
          </cell>
          <cell r="O76">
            <v>4.0000000000000001E-3</v>
          </cell>
          <cell r="P76">
            <v>0.125</v>
          </cell>
        </row>
        <row r="77">
          <cell r="A77" t="str">
            <v>W00124</v>
          </cell>
          <cell r="B77">
            <v>68</v>
          </cell>
          <cell r="C77" t="str">
            <v>K M Thomas</v>
          </cell>
          <cell r="D77">
            <v>1</v>
          </cell>
          <cell r="E77">
            <v>35328</v>
          </cell>
          <cell r="F77">
            <v>854849</v>
          </cell>
          <cell r="G77">
            <v>20.21</v>
          </cell>
          <cell r="H77" t="str">
            <v>MED SYSTEMS</v>
          </cell>
          <cell r="I77" t="e">
            <v>#REF!</v>
          </cell>
          <cell r="J77">
            <v>7328.2224361643839</v>
          </cell>
          <cell r="K77">
            <v>19.86</v>
          </cell>
          <cell r="L77">
            <v>14.85</v>
          </cell>
          <cell r="M77">
            <v>0.14849999999999999</v>
          </cell>
          <cell r="N77">
            <v>1.95E-2</v>
          </cell>
          <cell r="O77">
            <v>4.0000000000000001E-3</v>
          </cell>
          <cell r="P77">
            <v>0.125</v>
          </cell>
        </row>
        <row r="78">
          <cell r="A78" t="str">
            <v>W00029</v>
          </cell>
          <cell r="B78">
            <v>69</v>
          </cell>
          <cell r="C78" t="str">
            <v>Meenakshi Das</v>
          </cell>
          <cell r="D78">
            <v>1</v>
          </cell>
          <cell r="E78">
            <v>35328</v>
          </cell>
          <cell r="F78">
            <v>666155</v>
          </cell>
          <cell r="G78">
            <v>20.21</v>
          </cell>
          <cell r="H78" t="str">
            <v>MED SYSTEMS</v>
          </cell>
          <cell r="I78" t="e">
            <v>#REF!</v>
          </cell>
          <cell r="J78">
            <v>15119.2691</v>
          </cell>
          <cell r="K78">
            <v>19.86</v>
          </cell>
          <cell r="L78">
            <v>14.85</v>
          </cell>
          <cell r="M78">
            <v>0.14849999999999999</v>
          </cell>
          <cell r="N78">
            <v>1.95E-2</v>
          </cell>
          <cell r="O78">
            <v>4.0000000000000001E-3</v>
          </cell>
          <cell r="P78">
            <v>0.125</v>
          </cell>
        </row>
        <row r="79">
          <cell r="A79" t="str">
            <v>W00094</v>
          </cell>
          <cell r="B79">
            <v>70</v>
          </cell>
          <cell r="C79" t="str">
            <v>S K Aggarwal</v>
          </cell>
          <cell r="D79">
            <v>1</v>
          </cell>
          <cell r="E79">
            <v>35328</v>
          </cell>
          <cell r="F79">
            <v>1533064</v>
          </cell>
          <cell r="G79">
            <v>0</v>
          </cell>
          <cell r="H79" t="str">
            <v>MED SYSTEMS</v>
          </cell>
          <cell r="I79" t="e">
            <v>#REF!</v>
          </cell>
          <cell r="J79">
            <v>206478.6493150685</v>
          </cell>
          <cell r="K79">
            <v>19.86</v>
          </cell>
          <cell r="L79">
            <v>14.85</v>
          </cell>
          <cell r="M79">
            <v>0.14849999999999999</v>
          </cell>
          <cell r="N79">
            <v>1.95E-2</v>
          </cell>
          <cell r="O79">
            <v>4.0000000000000001E-3</v>
          </cell>
          <cell r="P79">
            <v>0.125</v>
          </cell>
        </row>
        <row r="80">
          <cell r="A80" t="str">
            <v>W00114</v>
          </cell>
          <cell r="B80">
            <v>71</v>
          </cell>
          <cell r="C80" t="str">
            <v>S V K Reddy</v>
          </cell>
          <cell r="D80">
            <v>1</v>
          </cell>
          <cell r="E80">
            <v>35328</v>
          </cell>
          <cell r="F80">
            <v>442705</v>
          </cell>
          <cell r="G80">
            <v>0</v>
          </cell>
          <cell r="H80" t="str">
            <v>MED SYSTEMS</v>
          </cell>
          <cell r="I80" t="e">
            <v>#REF!</v>
          </cell>
          <cell r="K80">
            <v>19.86</v>
          </cell>
          <cell r="L80">
            <v>14.85</v>
          </cell>
          <cell r="M80">
            <v>0.14849999999999999</v>
          </cell>
          <cell r="N80">
            <v>1.95E-2</v>
          </cell>
          <cell r="O80">
            <v>4.0000000000000001E-3</v>
          </cell>
          <cell r="P80">
            <v>0.125</v>
          </cell>
        </row>
        <row r="81">
          <cell r="A81" t="str">
            <v>W00187</v>
          </cell>
          <cell r="B81">
            <v>72</v>
          </cell>
          <cell r="C81" t="str">
            <v>R N Panda</v>
          </cell>
          <cell r="D81">
            <v>1</v>
          </cell>
          <cell r="E81">
            <v>35328</v>
          </cell>
          <cell r="F81">
            <v>684597</v>
          </cell>
          <cell r="G81">
            <v>20.21</v>
          </cell>
          <cell r="H81" t="str">
            <v>MED SYSTEMS</v>
          </cell>
          <cell r="I81" t="e">
            <v>#REF!</v>
          </cell>
          <cell r="K81">
            <v>19.86</v>
          </cell>
          <cell r="L81">
            <v>14.85</v>
          </cell>
          <cell r="M81">
            <v>0.14849999999999999</v>
          </cell>
          <cell r="N81">
            <v>1.95E-2</v>
          </cell>
          <cell r="O81">
            <v>4.0000000000000001E-3</v>
          </cell>
          <cell r="P81">
            <v>0.125</v>
          </cell>
        </row>
        <row r="82">
          <cell r="A82" t="str">
            <v>W00186</v>
          </cell>
          <cell r="B82">
            <v>73</v>
          </cell>
          <cell r="C82" t="str">
            <v>Gulab Yadav</v>
          </cell>
          <cell r="D82">
            <v>1</v>
          </cell>
          <cell r="E82">
            <v>35328</v>
          </cell>
          <cell r="F82">
            <v>687751</v>
          </cell>
          <cell r="G82">
            <v>20.21</v>
          </cell>
          <cell r="H82" t="str">
            <v>MED SYSTEMS</v>
          </cell>
          <cell r="I82" t="e">
            <v>#REF!</v>
          </cell>
          <cell r="K82">
            <v>19.86</v>
          </cell>
          <cell r="L82">
            <v>14.85</v>
          </cell>
          <cell r="M82">
            <v>0.14849999999999999</v>
          </cell>
          <cell r="N82">
            <v>1.95E-2</v>
          </cell>
          <cell r="O82">
            <v>4.0000000000000001E-3</v>
          </cell>
          <cell r="P82">
            <v>0.125</v>
          </cell>
        </row>
        <row r="83">
          <cell r="A83" t="str">
            <v>W00150</v>
          </cell>
          <cell r="B83">
            <v>74</v>
          </cell>
          <cell r="C83" t="str">
            <v>Guru XRay</v>
          </cell>
          <cell r="D83">
            <v>1</v>
          </cell>
          <cell r="E83">
            <v>35328</v>
          </cell>
          <cell r="F83">
            <v>3303612</v>
          </cell>
          <cell r="G83">
            <v>20.21</v>
          </cell>
          <cell r="H83" t="str">
            <v>MED SYSTEMS</v>
          </cell>
          <cell r="I83" t="e">
            <v>#REF!</v>
          </cell>
          <cell r="K83">
            <v>19.86</v>
          </cell>
          <cell r="L83">
            <v>14.85</v>
          </cell>
          <cell r="M83">
            <v>0.14849999999999999</v>
          </cell>
          <cell r="N83">
            <v>1.95E-2</v>
          </cell>
          <cell r="O83">
            <v>4.0000000000000001E-3</v>
          </cell>
          <cell r="P83">
            <v>0.125</v>
          </cell>
        </row>
        <row r="84">
          <cell r="A84" t="str">
            <v>W00146</v>
          </cell>
          <cell r="B84">
            <v>75</v>
          </cell>
          <cell r="C84" t="str">
            <v>Guwahati Diagnostic Centre</v>
          </cell>
          <cell r="D84">
            <v>1</v>
          </cell>
          <cell r="E84">
            <v>35328</v>
          </cell>
          <cell r="F84">
            <v>1549547</v>
          </cell>
          <cell r="G84">
            <v>20.21</v>
          </cell>
          <cell r="H84" t="str">
            <v>MED SYSTEMS</v>
          </cell>
          <cell r="I84" t="e">
            <v>#REF!</v>
          </cell>
          <cell r="K84">
            <v>19.86</v>
          </cell>
          <cell r="L84">
            <v>14.85</v>
          </cell>
          <cell r="M84">
            <v>0.14849999999999999</v>
          </cell>
          <cell r="N84">
            <v>1.95E-2</v>
          </cell>
          <cell r="O84">
            <v>4.0000000000000001E-3</v>
          </cell>
          <cell r="P84">
            <v>0.125</v>
          </cell>
        </row>
        <row r="85">
          <cell r="A85" t="str">
            <v>W00147</v>
          </cell>
          <cell r="B85">
            <v>76</v>
          </cell>
          <cell r="C85" t="str">
            <v>Hakim Kishori Lal Hospital</v>
          </cell>
          <cell r="D85">
            <v>1</v>
          </cell>
          <cell r="E85">
            <v>35328</v>
          </cell>
          <cell r="F85">
            <v>701269</v>
          </cell>
          <cell r="G85">
            <v>20.21</v>
          </cell>
          <cell r="H85" t="str">
            <v>MED SYSTEMS</v>
          </cell>
          <cell r="I85" t="e">
            <v>#REF!</v>
          </cell>
          <cell r="K85">
            <v>19.86</v>
          </cell>
          <cell r="L85">
            <v>14.85</v>
          </cell>
          <cell r="M85">
            <v>0.14849999999999999</v>
          </cell>
          <cell r="N85">
            <v>1.95E-2</v>
          </cell>
          <cell r="O85">
            <v>4.0000000000000001E-3</v>
          </cell>
          <cell r="P85">
            <v>0.125</v>
          </cell>
        </row>
        <row r="86">
          <cell r="A86" t="str">
            <v>W00173</v>
          </cell>
          <cell r="B86">
            <v>77</v>
          </cell>
          <cell r="C86" t="str">
            <v>J R C Godfrey</v>
          </cell>
          <cell r="D86">
            <v>1</v>
          </cell>
          <cell r="E86">
            <v>35328</v>
          </cell>
          <cell r="F86">
            <v>399998</v>
          </cell>
          <cell r="G86">
            <v>20.21</v>
          </cell>
          <cell r="H86" t="str">
            <v>MED SYSTEMS</v>
          </cell>
          <cell r="I86" t="e">
            <v>#REF!</v>
          </cell>
          <cell r="K86">
            <v>19.86</v>
          </cell>
          <cell r="L86">
            <v>14.85</v>
          </cell>
          <cell r="M86">
            <v>0.14849999999999999</v>
          </cell>
          <cell r="N86">
            <v>1.95E-2</v>
          </cell>
          <cell r="O86">
            <v>4.0000000000000001E-3</v>
          </cell>
          <cell r="P86">
            <v>0.125</v>
          </cell>
        </row>
        <row r="87">
          <cell r="A87" t="str">
            <v>W00070</v>
          </cell>
          <cell r="B87">
            <v>78</v>
          </cell>
          <cell r="C87" t="str">
            <v>Kamala Medico</v>
          </cell>
          <cell r="D87">
            <v>1</v>
          </cell>
          <cell r="E87">
            <v>35328</v>
          </cell>
          <cell r="F87">
            <v>725368</v>
          </cell>
          <cell r="G87">
            <v>20.21</v>
          </cell>
          <cell r="H87" t="str">
            <v>MED SYSTEMS</v>
          </cell>
          <cell r="I87" t="e">
            <v>#REF!</v>
          </cell>
          <cell r="K87">
            <v>19.86</v>
          </cell>
          <cell r="L87">
            <v>14.85</v>
          </cell>
          <cell r="M87">
            <v>0.14849999999999999</v>
          </cell>
          <cell r="N87">
            <v>1.95E-2</v>
          </cell>
          <cell r="O87">
            <v>4.0000000000000001E-3</v>
          </cell>
          <cell r="P87">
            <v>0.125</v>
          </cell>
        </row>
        <row r="88">
          <cell r="A88" t="str">
            <v>W00208</v>
          </cell>
          <cell r="B88">
            <v>79</v>
          </cell>
          <cell r="C88" t="str">
            <v>Kulshreshta</v>
          </cell>
          <cell r="D88">
            <v>1</v>
          </cell>
          <cell r="E88">
            <v>35328</v>
          </cell>
          <cell r="F88">
            <v>448643</v>
          </cell>
          <cell r="G88">
            <v>20.21</v>
          </cell>
          <cell r="H88" t="str">
            <v>MED SYSTEMS</v>
          </cell>
          <cell r="I88" t="e">
            <v>#REF!</v>
          </cell>
          <cell r="K88">
            <v>19.86</v>
          </cell>
          <cell r="L88">
            <v>14.85</v>
          </cell>
          <cell r="M88">
            <v>0.14849999999999999</v>
          </cell>
          <cell r="N88">
            <v>1.95E-2</v>
          </cell>
          <cell r="O88">
            <v>4.0000000000000001E-3</v>
          </cell>
          <cell r="P88">
            <v>0.125</v>
          </cell>
        </row>
        <row r="89">
          <cell r="A89" t="str">
            <v>W00053</v>
          </cell>
          <cell r="B89">
            <v>80</v>
          </cell>
          <cell r="C89" t="str">
            <v>Masih XRay Centre</v>
          </cell>
          <cell r="D89">
            <v>1</v>
          </cell>
          <cell r="E89">
            <v>35328</v>
          </cell>
          <cell r="F89">
            <v>686558</v>
          </cell>
          <cell r="G89">
            <v>20.21</v>
          </cell>
          <cell r="H89" t="str">
            <v>MED SYSTEMS</v>
          </cell>
          <cell r="I89" t="e">
            <v>#REF!</v>
          </cell>
          <cell r="K89">
            <v>19.86</v>
          </cell>
          <cell r="L89">
            <v>14.85</v>
          </cell>
          <cell r="M89">
            <v>0.14849999999999999</v>
          </cell>
          <cell r="N89">
            <v>1.95E-2</v>
          </cell>
          <cell r="O89">
            <v>4.0000000000000001E-3</v>
          </cell>
          <cell r="P89">
            <v>0.125</v>
          </cell>
        </row>
        <row r="90">
          <cell r="A90" t="str">
            <v>W00148</v>
          </cell>
          <cell r="B90">
            <v>81</v>
          </cell>
          <cell r="C90" t="str">
            <v>Medico Research Imaging</v>
          </cell>
          <cell r="D90">
            <v>1</v>
          </cell>
          <cell r="E90">
            <v>35328</v>
          </cell>
          <cell r="F90">
            <v>13235000</v>
          </cell>
          <cell r="G90">
            <v>20.21</v>
          </cell>
          <cell r="H90" t="str">
            <v>MED SYSTEMS</v>
          </cell>
          <cell r="I90" t="e">
            <v>#REF!</v>
          </cell>
          <cell r="K90">
            <v>19.86</v>
          </cell>
          <cell r="L90">
            <v>14.85</v>
          </cell>
          <cell r="M90">
            <v>0.14849999999999999</v>
          </cell>
          <cell r="N90">
            <v>1.95E-2</v>
          </cell>
          <cell r="O90">
            <v>4.0000000000000001E-3</v>
          </cell>
          <cell r="P90">
            <v>0.125</v>
          </cell>
        </row>
        <row r="91">
          <cell r="A91" t="str">
            <v>W00111</v>
          </cell>
          <cell r="B91">
            <v>82</v>
          </cell>
          <cell r="C91" t="str">
            <v>Medinova Diagnostic Services</v>
          </cell>
          <cell r="D91">
            <v>1</v>
          </cell>
          <cell r="E91">
            <v>35328</v>
          </cell>
          <cell r="F91">
            <v>790397</v>
          </cell>
          <cell r="G91">
            <v>20.21</v>
          </cell>
          <cell r="H91" t="str">
            <v>MED SYSTEMS</v>
          </cell>
          <cell r="I91" t="e">
            <v>#REF!</v>
          </cell>
          <cell r="K91">
            <v>19.86</v>
          </cell>
          <cell r="L91">
            <v>14.85</v>
          </cell>
          <cell r="M91">
            <v>0.14849999999999999</v>
          </cell>
          <cell r="N91">
            <v>1.95E-2</v>
          </cell>
          <cell r="O91">
            <v>4.0000000000000001E-3</v>
          </cell>
          <cell r="P91">
            <v>0.125</v>
          </cell>
        </row>
        <row r="92">
          <cell r="A92" t="str">
            <v>W00041</v>
          </cell>
          <cell r="B92">
            <v>83</v>
          </cell>
          <cell r="C92" t="str">
            <v>Medinova Diagnostic Services</v>
          </cell>
          <cell r="D92">
            <v>2</v>
          </cell>
          <cell r="E92">
            <v>35328</v>
          </cell>
          <cell r="F92">
            <v>741610</v>
          </cell>
          <cell r="G92">
            <v>20.21</v>
          </cell>
          <cell r="H92" t="str">
            <v>MED SYSTEMS</v>
          </cell>
          <cell r="I92" t="e">
            <v>#REF!</v>
          </cell>
          <cell r="K92">
            <v>19.86</v>
          </cell>
          <cell r="L92">
            <v>14.85</v>
          </cell>
          <cell r="M92">
            <v>0.14849999999999999</v>
          </cell>
          <cell r="N92">
            <v>1.95E-2</v>
          </cell>
          <cell r="O92">
            <v>4.0000000000000001E-3</v>
          </cell>
          <cell r="P92">
            <v>0.125</v>
          </cell>
        </row>
        <row r="93">
          <cell r="A93" t="str">
            <v>W00023</v>
          </cell>
          <cell r="B93">
            <v>84</v>
          </cell>
          <cell r="C93" t="str">
            <v>Modern Medical Institute</v>
          </cell>
          <cell r="D93">
            <v>1</v>
          </cell>
          <cell r="E93">
            <v>35328</v>
          </cell>
          <cell r="F93">
            <v>5579992</v>
          </cell>
          <cell r="G93">
            <v>20.21</v>
          </cell>
          <cell r="H93" t="str">
            <v>MED SYSTEMS</v>
          </cell>
          <cell r="I93" t="e">
            <v>#REF!</v>
          </cell>
          <cell r="K93">
            <v>19.86</v>
          </cell>
          <cell r="L93">
            <v>14.85</v>
          </cell>
          <cell r="M93">
            <v>0.14849999999999999</v>
          </cell>
          <cell r="N93">
            <v>1.95E-2</v>
          </cell>
          <cell r="O93">
            <v>4.0000000000000001E-3</v>
          </cell>
          <cell r="P93">
            <v>0.125</v>
          </cell>
        </row>
        <row r="94">
          <cell r="A94" t="str">
            <v>W00099</v>
          </cell>
          <cell r="B94">
            <v>85</v>
          </cell>
          <cell r="C94" t="str">
            <v>Modern XRay Clinic</v>
          </cell>
          <cell r="D94">
            <v>1</v>
          </cell>
          <cell r="E94">
            <v>35328</v>
          </cell>
          <cell r="F94">
            <v>684826</v>
          </cell>
          <cell r="G94">
            <v>20.21</v>
          </cell>
          <cell r="H94" t="str">
            <v>MED SYSTEMS</v>
          </cell>
          <cell r="I94" t="e">
            <v>#REF!</v>
          </cell>
          <cell r="K94">
            <v>19.86</v>
          </cell>
          <cell r="L94">
            <v>14.85</v>
          </cell>
          <cell r="M94">
            <v>0.14849999999999999</v>
          </cell>
          <cell r="N94">
            <v>1.95E-2</v>
          </cell>
          <cell r="O94">
            <v>4.0000000000000001E-3</v>
          </cell>
          <cell r="P94">
            <v>0.125</v>
          </cell>
        </row>
        <row r="95">
          <cell r="A95" t="str">
            <v>W00138</v>
          </cell>
          <cell r="B95">
            <v>86</v>
          </cell>
          <cell r="C95" t="str">
            <v>Nirog MR Diagnostic Center ( Foreclosed on 29/02/00 )</v>
          </cell>
          <cell r="D95">
            <v>1</v>
          </cell>
          <cell r="E95">
            <v>35328</v>
          </cell>
          <cell r="F95">
            <v>674435</v>
          </cell>
          <cell r="G95">
            <v>20.21</v>
          </cell>
          <cell r="H95" t="str">
            <v>MED SYSTEMS</v>
          </cell>
          <cell r="I95" t="e">
            <v>#REF!</v>
          </cell>
          <cell r="K95">
            <v>19.86</v>
          </cell>
          <cell r="L95">
            <v>14.85</v>
          </cell>
          <cell r="M95">
            <v>0.14849999999999999</v>
          </cell>
          <cell r="N95">
            <v>1.95E-2</v>
          </cell>
          <cell r="O95">
            <v>4.0000000000000001E-3</v>
          </cell>
          <cell r="P95">
            <v>0.125</v>
          </cell>
        </row>
        <row r="96">
          <cell r="A96" t="str">
            <v>W00042</v>
          </cell>
          <cell r="B96">
            <v>87</v>
          </cell>
          <cell r="C96" t="str">
            <v>Nivedita Nursing Home</v>
          </cell>
          <cell r="D96">
            <v>1</v>
          </cell>
          <cell r="E96">
            <v>35328</v>
          </cell>
          <cell r="F96">
            <v>465878</v>
          </cell>
          <cell r="G96">
            <v>20.21</v>
          </cell>
          <cell r="H96" t="str">
            <v>MED SYSTEMS</v>
          </cell>
          <cell r="I96" t="e">
            <v>#REF!</v>
          </cell>
          <cell r="K96">
            <v>19.86</v>
          </cell>
          <cell r="L96">
            <v>14.85</v>
          </cell>
          <cell r="M96">
            <v>0.14849999999999999</v>
          </cell>
          <cell r="N96">
            <v>1.95E-2</v>
          </cell>
          <cell r="O96">
            <v>4.0000000000000001E-3</v>
          </cell>
          <cell r="P96">
            <v>0.125</v>
          </cell>
        </row>
        <row r="97">
          <cell r="A97" t="str">
            <v>W00017</v>
          </cell>
          <cell r="B97">
            <v>88</v>
          </cell>
          <cell r="C97" t="str">
            <v>NKP Salve Inst of Med Sciences</v>
          </cell>
          <cell r="D97">
            <v>1</v>
          </cell>
          <cell r="E97">
            <v>35328</v>
          </cell>
          <cell r="F97">
            <v>331288</v>
          </cell>
          <cell r="G97">
            <v>20.21</v>
          </cell>
          <cell r="H97" t="str">
            <v>MED SYSTEMS</v>
          </cell>
          <cell r="I97" t="e">
            <v>#REF!</v>
          </cell>
          <cell r="K97">
            <v>19.86</v>
          </cell>
          <cell r="L97">
            <v>14.85</v>
          </cell>
          <cell r="M97">
            <v>0.14849999999999999</v>
          </cell>
          <cell r="N97">
            <v>1.95E-2</v>
          </cell>
          <cell r="O97">
            <v>4.0000000000000001E-3</v>
          </cell>
          <cell r="P97">
            <v>0.125</v>
          </cell>
        </row>
        <row r="98">
          <cell r="A98" t="e">
            <v>#N/A</v>
          </cell>
          <cell r="B98">
            <v>89</v>
          </cell>
          <cell r="C98" t="str">
            <v>Parco Diagnostics &amp; Research</v>
          </cell>
          <cell r="D98">
            <v>1</v>
          </cell>
          <cell r="E98">
            <v>35328</v>
          </cell>
          <cell r="F98">
            <v>29945813</v>
          </cell>
          <cell r="G98">
            <v>0</v>
          </cell>
          <cell r="H98" t="str">
            <v>MED SYSTEMS</v>
          </cell>
          <cell r="I98" t="e">
            <v>#REF!</v>
          </cell>
          <cell r="K98">
            <v>19.86</v>
          </cell>
          <cell r="L98">
            <v>14.85</v>
          </cell>
          <cell r="M98">
            <v>0.14849999999999999</v>
          </cell>
          <cell r="N98">
            <v>1.95E-2</v>
          </cell>
          <cell r="O98">
            <v>4.0000000000000001E-3</v>
          </cell>
          <cell r="P98">
            <v>0.125</v>
          </cell>
        </row>
        <row r="99">
          <cell r="A99" t="str">
            <v>W00127</v>
          </cell>
          <cell r="B99">
            <v>90</v>
          </cell>
          <cell r="C99" t="str">
            <v>Pushp Ultrasound</v>
          </cell>
          <cell r="D99">
            <v>1</v>
          </cell>
          <cell r="E99">
            <v>35328</v>
          </cell>
          <cell r="F99">
            <v>668903</v>
          </cell>
          <cell r="G99">
            <v>20.21</v>
          </cell>
          <cell r="H99" t="str">
            <v>MED SYSTEMS</v>
          </cell>
          <cell r="I99" t="e">
            <v>#REF!</v>
          </cell>
          <cell r="K99">
            <v>19.86</v>
          </cell>
          <cell r="L99">
            <v>14.85</v>
          </cell>
          <cell r="M99">
            <v>0.14849999999999999</v>
          </cell>
          <cell r="N99">
            <v>1.95E-2</v>
          </cell>
          <cell r="O99">
            <v>4.0000000000000001E-3</v>
          </cell>
          <cell r="P99">
            <v>0.125</v>
          </cell>
        </row>
        <row r="100">
          <cell r="A100" t="str">
            <v>W00128</v>
          </cell>
          <cell r="B100">
            <v>91</v>
          </cell>
          <cell r="C100" t="str">
            <v>Pushp XRay</v>
          </cell>
          <cell r="D100">
            <v>1</v>
          </cell>
          <cell r="E100">
            <v>35328</v>
          </cell>
          <cell r="F100">
            <v>483565</v>
          </cell>
          <cell r="G100">
            <v>20.21</v>
          </cell>
          <cell r="H100" t="str">
            <v>MED SYSTEMS</v>
          </cell>
          <cell r="I100" t="e">
            <v>#REF!</v>
          </cell>
          <cell r="K100">
            <v>19.86</v>
          </cell>
          <cell r="L100">
            <v>14.85</v>
          </cell>
          <cell r="M100">
            <v>0.14849999999999999</v>
          </cell>
          <cell r="N100">
            <v>1.95E-2</v>
          </cell>
          <cell r="O100">
            <v>4.0000000000000001E-3</v>
          </cell>
          <cell r="P100">
            <v>0.125</v>
          </cell>
        </row>
        <row r="101">
          <cell r="A101" t="str">
            <v>W00079</v>
          </cell>
          <cell r="B101">
            <v>92</v>
          </cell>
          <cell r="C101" t="str">
            <v>R B Setha Jessa Ram &amp; Bros</v>
          </cell>
          <cell r="D101">
            <v>1</v>
          </cell>
          <cell r="E101">
            <v>35328</v>
          </cell>
          <cell r="F101">
            <v>2035156</v>
          </cell>
          <cell r="G101">
            <v>20.21</v>
          </cell>
          <cell r="H101" t="str">
            <v>MED SYSTEMS</v>
          </cell>
          <cell r="I101" t="e">
            <v>#REF!</v>
          </cell>
          <cell r="K101">
            <v>19.86</v>
          </cell>
          <cell r="L101">
            <v>14.85</v>
          </cell>
          <cell r="M101">
            <v>0.14849999999999999</v>
          </cell>
          <cell r="N101">
            <v>1.95E-2</v>
          </cell>
          <cell r="O101">
            <v>4.0000000000000001E-3</v>
          </cell>
          <cell r="P101">
            <v>0.125</v>
          </cell>
        </row>
        <row r="102">
          <cell r="A102" t="str">
            <v>W00025</v>
          </cell>
          <cell r="B102">
            <v>93</v>
          </cell>
          <cell r="C102" t="str">
            <v>Reliance Clinical Laboratory</v>
          </cell>
          <cell r="D102">
            <v>1</v>
          </cell>
          <cell r="E102">
            <v>35328</v>
          </cell>
          <cell r="F102">
            <v>502019</v>
          </cell>
          <cell r="G102">
            <v>20.21</v>
          </cell>
          <cell r="H102" t="str">
            <v>MED SYSTEMS</v>
          </cell>
          <cell r="I102" t="e">
            <v>#REF!</v>
          </cell>
          <cell r="K102">
            <v>19.86</v>
          </cell>
          <cell r="L102">
            <v>14.85</v>
          </cell>
          <cell r="M102">
            <v>0.14849999999999999</v>
          </cell>
          <cell r="N102">
            <v>1.95E-2</v>
          </cell>
          <cell r="O102">
            <v>4.0000000000000001E-3</v>
          </cell>
          <cell r="P102">
            <v>0.125</v>
          </cell>
        </row>
        <row r="103">
          <cell r="A103" t="str">
            <v>W00093</v>
          </cell>
          <cell r="B103">
            <v>94</v>
          </cell>
          <cell r="C103" t="str">
            <v>Salem Neuro Scan &amp; MRI Pvt Ltd(foreclosed in jan )</v>
          </cell>
          <cell r="D103">
            <v>1</v>
          </cell>
          <cell r="E103">
            <v>35328</v>
          </cell>
          <cell r="F103">
            <v>26535000</v>
          </cell>
          <cell r="G103">
            <v>0</v>
          </cell>
          <cell r="H103" t="str">
            <v>MED SYSTEMS</v>
          </cell>
          <cell r="I103" t="e">
            <v>#REF!</v>
          </cell>
          <cell r="K103">
            <v>19.86</v>
          </cell>
          <cell r="L103">
            <v>14.85</v>
          </cell>
          <cell r="M103">
            <v>0.14849999999999999</v>
          </cell>
          <cell r="N103">
            <v>1.95E-2</v>
          </cell>
          <cell r="O103">
            <v>4.0000000000000001E-3</v>
          </cell>
          <cell r="P103">
            <v>0.125</v>
          </cell>
        </row>
        <row r="104">
          <cell r="A104" t="str">
            <v>W00101</v>
          </cell>
          <cell r="B104">
            <v>95</v>
          </cell>
          <cell r="C104" t="str">
            <v>Tara Hospital-2</v>
          </cell>
          <cell r="D104">
            <v>2</v>
          </cell>
          <cell r="E104">
            <v>35328</v>
          </cell>
          <cell r="F104">
            <v>1821473</v>
          </cell>
          <cell r="G104">
            <v>20.21</v>
          </cell>
          <cell r="H104" t="str">
            <v>MED SYSTEMS</v>
          </cell>
          <cell r="I104" t="e">
            <v>#REF!</v>
          </cell>
          <cell r="K104">
            <v>19.86</v>
          </cell>
          <cell r="L104">
            <v>14.85</v>
          </cell>
          <cell r="M104">
            <v>0.14849999999999999</v>
          </cell>
          <cell r="N104">
            <v>1.95E-2</v>
          </cell>
          <cell r="O104">
            <v>4.0000000000000001E-3</v>
          </cell>
          <cell r="P104">
            <v>0.125</v>
          </cell>
        </row>
        <row r="105">
          <cell r="A105" t="str">
            <v>W00170</v>
          </cell>
          <cell r="B105">
            <v>96</v>
          </cell>
          <cell r="C105" t="str">
            <v>A Chella Sagayaraj</v>
          </cell>
          <cell r="D105">
            <v>1</v>
          </cell>
          <cell r="E105">
            <v>35339</v>
          </cell>
          <cell r="F105">
            <v>398174</v>
          </cell>
          <cell r="G105">
            <v>20.21</v>
          </cell>
          <cell r="H105" t="str">
            <v>MED SYSTEMS</v>
          </cell>
          <cell r="I105" t="e">
            <v>#REF!</v>
          </cell>
          <cell r="K105">
            <v>19.86</v>
          </cell>
          <cell r="L105">
            <v>14.85</v>
          </cell>
          <cell r="M105">
            <v>0.14849999999999999</v>
          </cell>
          <cell r="N105">
            <v>1.95E-2</v>
          </cell>
          <cell r="O105">
            <v>4.0000000000000001E-3</v>
          </cell>
          <cell r="P105">
            <v>0.125</v>
          </cell>
        </row>
        <row r="106">
          <cell r="A106" t="str">
            <v>W00191</v>
          </cell>
          <cell r="B106">
            <v>97</v>
          </cell>
          <cell r="C106" t="str">
            <v>Canray</v>
          </cell>
          <cell r="D106">
            <v>1</v>
          </cell>
          <cell r="E106">
            <v>35339</v>
          </cell>
          <cell r="F106">
            <v>2392608</v>
          </cell>
          <cell r="G106">
            <v>20.21</v>
          </cell>
          <cell r="H106" t="str">
            <v>MED SYSTEMS</v>
          </cell>
          <cell r="I106" t="e">
            <v>#REF!</v>
          </cell>
          <cell r="K106">
            <v>19.86</v>
          </cell>
          <cell r="L106">
            <v>14.85</v>
          </cell>
          <cell r="M106">
            <v>0.14849999999999999</v>
          </cell>
          <cell r="N106">
            <v>1.95E-2</v>
          </cell>
          <cell r="O106">
            <v>4.0000000000000001E-3</v>
          </cell>
          <cell r="P106">
            <v>0.125</v>
          </cell>
        </row>
        <row r="107">
          <cell r="A107" t="str">
            <v>W00016</v>
          </cell>
          <cell r="B107">
            <v>98</v>
          </cell>
          <cell r="C107" t="str">
            <v>CDR Medical</v>
          </cell>
          <cell r="D107">
            <v>1</v>
          </cell>
          <cell r="E107">
            <v>35339</v>
          </cell>
          <cell r="F107">
            <v>8482500</v>
          </cell>
          <cell r="G107">
            <v>20.21</v>
          </cell>
          <cell r="H107" t="str">
            <v>MED SYSTEMS</v>
          </cell>
          <cell r="I107" t="e">
            <v>#REF!</v>
          </cell>
          <cell r="K107">
            <v>19.86</v>
          </cell>
          <cell r="L107">
            <v>14.85</v>
          </cell>
          <cell r="M107">
            <v>0.14849999999999999</v>
          </cell>
          <cell r="N107">
            <v>1.95E-2</v>
          </cell>
          <cell r="O107">
            <v>4.0000000000000001E-3</v>
          </cell>
          <cell r="P107">
            <v>0.125</v>
          </cell>
        </row>
        <row r="108">
          <cell r="A108" t="str">
            <v>W00018</v>
          </cell>
          <cell r="B108">
            <v>99</v>
          </cell>
          <cell r="C108" t="str">
            <v>Dhanvantri</v>
          </cell>
          <cell r="D108">
            <v>1</v>
          </cell>
          <cell r="E108">
            <v>35339</v>
          </cell>
          <cell r="F108">
            <v>592730</v>
          </cell>
          <cell r="G108">
            <v>20.21</v>
          </cell>
          <cell r="H108" t="str">
            <v>MED SYSTEMS</v>
          </cell>
          <cell r="I108" t="e">
            <v>#REF!</v>
          </cell>
          <cell r="K108">
            <v>19.86</v>
          </cell>
          <cell r="L108">
            <v>14.85</v>
          </cell>
          <cell r="M108">
            <v>0.14849999999999999</v>
          </cell>
          <cell r="N108">
            <v>1.95E-2</v>
          </cell>
          <cell r="O108">
            <v>4.0000000000000001E-3</v>
          </cell>
          <cell r="P108">
            <v>0.125</v>
          </cell>
        </row>
        <row r="109">
          <cell r="A109" t="str">
            <v>W00014</v>
          </cell>
          <cell r="B109">
            <v>100</v>
          </cell>
          <cell r="C109" t="str">
            <v>K Pandian</v>
          </cell>
          <cell r="D109">
            <v>1</v>
          </cell>
          <cell r="E109">
            <v>35339</v>
          </cell>
          <cell r="F109">
            <v>164949</v>
          </cell>
          <cell r="G109">
            <v>20.21</v>
          </cell>
          <cell r="H109" t="str">
            <v>MED SYSTEMS</v>
          </cell>
          <cell r="I109" t="e">
            <v>#REF!</v>
          </cell>
          <cell r="J109">
            <v>124428.5095068493</v>
          </cell>
          <cell r="K109">
            <v>19.86</v>
          </cell>
          <cell r="L109">
            <v>14.85</v>
          </cell>
          <cell r="M109">
            <v>0.14849999999999999</v>
          </cell>
          <cell r="N109">
            <v>1.95E-2</v>
          </cell>
          <cell r="O109">
            <v>4.0000000000000001E-3</v>
          </cell>
          <cell r="P109">
            <v>0.125</v>
          </cell>
        </row>
        <row r="110">
          <cell r="A110" t="str">
            <v>W00026</v>
          </cell>
          <cell r="B110">
            <v>101</v>
          </cell>
          <cell r="C110" t="str">
            <v>Sudhir M Neral</v>
          </cell>
          <cell r="D110">
            <v>1</v>
          </cell>
          <cell r="E110">
            <v>35339</v>
          </cell>
          <cell r="F110">
            <v>724270</v>
          </cell>
          <cell r="G110">
            <v>20.21</v>
          </cell>
          <cell r="H110" t="str">
            <v>MED SYSTEMS</v>
          </cell>
          <cell r="I110" t="e">
            <v>#REF!</v>
          </cell>
          <cell r="K110">
            <v>19.86</v>
          </cell>
          <cell r="L110">
            <v>14.85</v>
          </cell>
          <cell r="M110">
            <v>0.14849999999999999</v>
          </cell>
          <cell r="N110">
            <v>1.95E-2</v>
          </cell>
          <cell r="O110">
            <v>4.0000000000000001E-3</v>
          </cell>
          <cell r="P110">
            <v>0.125</v>
          </cell>
        </row>
        <row r="111">
          <cell r="A111" t="str">
            <v>W00069</v>
          </cell>
          <cell r="B111">
            <v>102</v>
          </cell>
          <cell r="C111" t="str">
            <v>Erode CT Scan</v>
          </cell>
          <cell r="D111">
            <v>1</v>
          </cell>
          <cell r="E111">
            <v>35339</v>
          </cell>
          <cell r="F111">
            <v>7923895</v>
          </cell>
          <cell r="G111">
            <v>20.21</v>
          </cell>
          <cell r="H111" t="str">
            <v>MED SYSTEMS</v>
          </cell>
          <cell r="I111" t="e">
            <v>#REF!</v>
          </cell>
          <cell r="K111">
            <v>19.86</v>
          </cell>
          <cell r="L111">
            <v>14.85</v>
          </cell>
          <cell r="M111">
            <v>0.14849999999999999</v>
          </cell>
          <cell r="N111">
            <v>1.95E-2</v>
          </cell>
          <cell r="O111">
            <v>4.0000000000000001E-3</v>
          </cell>
          <cell r="P111">
            <v>0.125</v>
          </cell>
        </row>
        <row r="112">
          <cell r="A112" t="str">
            <v>W00156</v>
          </cell>
          <cell r="B112">
            <v>103</v>
          </cell>
          <cell r="C112" t="str">
            <v>Fernandez Maternity Hospital</v>
          </cell>
          <cell r="D112">
            <v>1</v>
          </cell>
          <cell r="E112">
            <v>35339</v>
          </cell>
          <cell r="F112">
            <v>855000</v>
          </cell>
          <cell r="G112">
            <v>20.21</v>
          </cell>
          <cell r="H112" t="str">
            <v>MED SYSTEMS</v>
          </cell>
          <cell r="I112" t="e">
            <v>#REF!</v>
          </cell>
          <cell r="K112">
            <v>19.86</v>
          </cell>
          <cell r="L112">
            <v>14.85</v>
          </cell>
          <cell r="M112">
            <v>0.14849999999999999</v>
          </cell>
          <cell r="N112">
            <v>1.95E-2</v>
          </cell>
          <cell r="O112">
            <v>4.0000000000000001E-3</v>
          </cell>
          <cell r="P112">
            <v>0.125</v>
          </cell>
        </row>
        <row r="113">
          <cell r="A113" t="str">
            <v>W00013</v>
          </cell>
          <cell r="B113">
            <v>104</v>
          </cell>
          <cell r="C113" t="str">
            <v>Mangal Anand Hospital</v>
          </cell>
          <cell r="D113">
            <v>1</v>
          </cell>
          <cell r="E113">
            <v>35339</v>
          </cell>
          <cell r="F113">
            <v>1615000</v>
          </cell>
          <cell r="G113">
            <v>20.21</v>
          </cell>
          <cell r="H113" t="str">
            <v>MED SYSTEMS</v>
          </cell>
          <cell r="I113" t="e">
            <v>#REF!</v>
          </cell>
          <cell r="K113">
            <v>19.86</v>
          </cell>
          <cell r="L113">
            <v>14.85</v>
          </cell>
          <cell r="M113">
            <v>0.14849999999999999</v>
          </cell>
          <cell r="N113">
            <v>1.95E-2</v>
          </cell>
          <cell r="O113">
            <v>4.0000000000000001E-3</v>
          </cell>
          <cell r="P113">
            <v>0.125</v>
          </cell>
        </row>
        <row r="114">
          <cell r="A114" t="str">
            <v>W00192</v>
          </cell>
          <cell r="B114">
            <v>105</v>
          </cell>
          <cell r="C114" t="str">
            <v>Medinova Diagnostic Services</v>
          </cell>
          <cell r="D114">
            <v>3</v>
          </cell>
          <cell r="E114">
            <v>35339</v>
          </cell>
          <cell r="F114">
            <v>509402</v>
          </cell>
          <cell r="G114">
            <v>20.21</v>
          </cell>
          <cell r="H114" t="str">
            <v>MED SYSTEMS</v>
          </cell>
          <cell r="I114" t="e">
            <v>#REF!</v>
          </cell>
          <cell r="K114">
            <v>19.86</v>
          </cell>
          <cell r="L114">
            <v>14.85</v>
          </cell>
          <cell r="M114">
            <v>0.14849999999999999</v>
          </cell>
          <cell r="N114">
            <v>1.95E-2</v>
          </cell>
          <cell r="O114">
            <v>4.0000000000000001E-3</v>
          </cell>
          <cell r="P114">
            <v>0.125</v>
          </cell>
        </row>
        <row r="115">
          <cell r="A115" t="str">
            <v>W00028</v>
          </cell>
          <cell r="B115">
            <v>106</v>
          </cell>
          <cell r="C115" t="str">
            <v>Sethi Sonoscan</v>
          </cell>
          <cell r="D115">
            <v>1</v>
          </cell>
          <cell r="E115">
            <v>35339</v>
          </cell>
          <cell r="F115">
            <v>473726</v>
          </cell>
          <cell r="G115">
            <v>20.21</v>
          </cell>
          <cell r="H115" t="str">
            <v>MED SYSTEMS</v>
          </cell>
          <cell r="I115" t="e">
            <v>#REF!</v>
          </cell>
          <cell r="K115">
            <v>19.86</v>
          </cell>
          <cell r="L115">
            <v>14.85</v>
          </cell>
          <cell r="M115">
            <v>0.14849999999999999</v>
          </cell>
          <cell r="N115">
            <v>1.95E-2</v>
          </cell>
          <cell r="O115">
            <v>4.0000000000000001E-3</v>
          </cell>
          <cell r="P115">
            <v>0.125</v>
          </cell>
        </row>
        <row r="116">
          <cell r="A116" t="str">
            <v>W00161</v>
          </cell>
          <cell r="B116">
            <v>107</v>
          </cell>
          <cell r="C116" t="str">
            <v>Nandini Devi</v>
          </cell>
          <cell r="D116">
            <v>1</v>
          </cell>
          <cell r="E116">
            <v>35369</v>
          </cell>
          <cell r="F116">
            <v>689613</v>
          </cell>
          <cell r="G116">
            <v>20.21</v>
          </cell>
          <cell r="H116" t="str">
            <v>MED SYSTEMS</v>
          </cell>
          <cell r="I116" t="e">
            <v>#REF!</v>
          </cell>
          <cell r="K116">
            <v>19.86</v>
          </cell>
          <cell r="L116">
            <v>14.85</v>
          </cell>
          <cell r="M116">
            <v>0.14849999999999999</v>
          </cell>
          <cell r="N116">
            <v>1.95E-2</v>
          </cell>
          <cell r="O116">
            <v>4.0000000000000001E-3</v>
          </cell>
          <cell r="P116">
            <v>0.125</v>
          </cell>
        </row>
        <row r="117">
          <cell r="A117" t="str">
            <v>W00184</v>
          </cell>
          <cell r="B117">
            <v>108</v>
          </cell>
          <cell r="C117" t="str">
            <v>Sangeetha Hospital</v>
          </cell>
          <cell r="D117">
            <v>1</v>
          </cell>
          <cell r="E117">
            <v>35369</v>
          </cell>
          <cell r="F117">
            <v>705253</v>
          </cell>
          <cell r="G117">
            <v>20.21</v>
          </cell>
          <cell r="H117" t="str">
            <v>MED SYSTEMS</v>
          </cell>
          <cell r="I117" t="e">
            <v>#REF!</v>
          </cell>
          <cell r="K117">
            <v>19.86</v>
          </cell>
          <cell r="L117">
            <v>14.85</v>
          </cell>
          <cell r="M117">
            <v>0.14849999999999999</v>
          </cell>
          <cell r="N117">
            <v>1.95E-2</v>
          </cell>
          <cell r="O117">
            <v>4.0000000000000001E-3</v>
          </cell>
          <cell r="P117">
            <v>0.125</v>
          </cell>
        </row>
        <row r="118">
          <cell r="A118" t="str">
            <v>W00038</v>
          </cell>
          <cell r="B118">
            <v>109</v>
          </cell>
          <cell r="C118" t="str">
            <v>Baby Memorial</v>
          </cell>
          <cell r="D118">
            <v>1</v>
          </cell>
          <cell r="E118">
            <v>35419</v>
          </cell>
          <cell r="F118">
            <v>1947500</v>
          </cell>
          <cell r="G118">
            <v>19.739999999999998</v>
          </cell>
          <cell r="H118" t="str">
            <v>MED SYSTEMS</v>
          </cell>
          <cell r="I118" t="e">
            <v>#REF!</v>
          </cell>
          <cell r="K118">
            <v>19.39</v>
          </cell>
          <cell r="L118">
            <v>14.35</v>
          </cell>
          <cell r="M118">
            <v>0.14349999999999999</v>
          </cell>
          <cell r="N118">
            <v>1.95E-2</v>
          </cell>
          <cell r="O118">
            <v>4.0000000000000001E-3</v>
          </cell>
          <cell r="P118">
            <v>0.11999999999999998</v>
          </cell>
        </row>
        <row r="119">
          <cell r="A119" t="str">
            <v>W00160</v>
          </cell>
          <cell r="B119">
            <v>110</v>
          </cell>
          <cell r="C119" t="str">
            <v>BMR Imaging(revised in september 98)</v>
          </cell>
          <cell r="D119">
            <v>1</v>
          </cell>
          <cell r="E119">
            <v>35419</v>
          </cell>
          <cell r="F119">
            <v>14630000</v>
          </cell>
          <cell r="G119">
            <v>19.739999999999998</v>
          </cell>
          <cell r="H119" t="str">
            <v>MED SYSTEMS</v>
          </cell>
          <cell r="I119" t="e">
            <v>#REF!</v>
          </cell>
          <cell r="K119">
            <v>19.39</v>
          </cell>
          <cell r="L119">
            <v>14.35</v>
          </cell>
          <cell r="M119">
            <v>0.14349999999999999</v>
          </cell>
          <cell r="N119">
            <v>1.95E-2</v>
          </cell>
          <cell r="O119">
            <v>4.0000000000000001E-3</v>
          </cell>
          <cell r="P119">
            <v>0.11999999999999998</v>
          </cell>
        </row>
        <row r="120">
          <cell r="A120" t="str">
            <v>W00081</v>
          </cell>
          <cell r="B120">
            <v>111</v>
          </cell>
          <cell r="C120" t="str">
            <v>Dhanvantri</v>
          </cell>
          <cell r="D120">
            <v>2</v>
          </cell>
          <cell r="E120">
            <v>35419</v>
          </cell>
          <cell r="F120">
            <v>7226500</v>
          </cell>
          <cell r="G120">
            <v>19.739999999999998</v>
          </cell>
          <cell r="H120" t="str">
            <v>MED SYSTEMS</v>
          </cell>
          <cell r="I120" t="e">
            <v>#REF!</v>
          </cell>
          <cell r="K120">
            <v>19.39</v>
          </cell>
          <cell r="L120">
            <v>14.35</v>
          </cell>
          <cell r="M120">
            <v>0.14349999999999999</v>
          </cell>
          <cell r="N120">
            <v>1.95E-2</v>
          </cell>
          <cell r="O120">
            <v>4.0000000000000001E-3</v>
          </cell>
          <cell r="P120">
            <v>0.11999999999999998</v>
          </cell>
        </row>
        <row r="121">
          <cell r="A121" t="str">
            <v>W00140</v>
          </cell>
          <cell r="B121">
            <v>112</v>
          </cell>
          <cell r="C121" t="str">
            <v>Avudiappan</v>
          </cell>
          <cell r="D121">
            <v>1</v>
          </cell>
          <cell r="E121">
            <v>35419</v>
          </cell>
          <cell r="F121">
            <v>665000</v>
          </cell>
          <cell r="G121">
            <v>19.739999999999998</v>
          </cell>
          <cell r="I121" t="e">
            <v>#REF!</v>
          </cell>
          <cell r="J121">
            <v>22541.261720547947</v>
          </cell>
          <cell r="K121">
            <v>19.39</v>
          </cell>
          <cell r="L121">
            <v>14.35</v>
          </cell>
          <cell r="M121">
            <v>0.14349999999999999</v>
          </cell>
          <cell r="N121">
            <v>1.95E-2</v>
          </cell>
          <cell r="O121">
            <v>4.0000000000000001E-3</v>
          </cell>
          <cell r="P121">
            <v>0.11999999999999998</v>
          </cell>
        </row>
        <row r="122">
          <cell r="A122" t="str">
            <v>W00059</v>
          </cell>
          <cell r="B122">
            <v>113</v>
          </cell>
          <cell r="C122" t="str">
            <v>Kanakasabapathy</v>
          </cell>
          <cell r="D122">
            <v>1</v>
          </cell>
          <cell r="E122">
            <v>35419</v>
          </cell>
          <cell r="F122">
            <v>323000</v>
          </cell>
          <cell r="G122">
            <v>19.739999999999998</v>
          </cell>
          <cell r="I122" t="e">
            <v>#REF!</v>
          </cell>
          <cell r="J122">
            <v>6463.0909720547943</v>
          </cell>
          <cell r="K122">
            <v>19.39</v>
          </cell>
          <cell r="L122">
            <v>14.35</v>
          </cell>
          <cell r="M122">
            <v>0.14349999999999999</v>
          </cell>
          <cell r="N122">
            <v>1.95E-2</v>
          </cell>
          <cell r="O122">
            <v>4.0000000000000001E-3</v>
          </cell>
          <cell r="P122">
            <v>0.11999999999999998</v>
          </cell>
        </row>
        <row r="123">
          <cell r="A123" t="str">
            <v>W00157</v>
          </cell>
          <cell r="B123">
            <v>114</v>
          </cell>
          <cell r="C123" t="str">
            <v>Jessa Ram C Ram</v>
          </cell>
          <cell r="D123">
            <v>1</v>
          </cell>
          <cell r="E123">
            <v>35419</v>
          </cell>
          <cell r="F123">
            <v>1802370</v>
          </cell>
          <cell r="G123">
            <v>19.739999999999998</v>
          </cell>
          <cell r="H123" t="str">
            <v>MED SYSTEMS</v>
          </cell>
          <cell r="I123" t="e">
            <v>#REF!</v>
          </cell>
          <cell r="K123">
            <v>19.39</v>
          </cell>
          <cell r="L123">
            <v>14.35</v>
          </cell>
          <cell r="M123">
            <v>0.14349999999999999</v>
          </cell>
          <cell r="N123">
            <v>1.95E-2</v>
          </cell>
          <cell r="O123">
            <v>4.0000000000000001E-3</v>
          </cell>
          <cell r="P123">
            <v>0.11999999999999998</v>
          </cell>
        </row>
        <row r="124">
          <cell r="A124" t="str">
            <v>W00134</v>
          </cell>
          <cell r="B124">
            <v>115</v>
          </cell>
          <cell r="C124" t="str">
            <v>M.V.Diabetes</v>
          </cell>
          <cell r="D124">
            <v>1</v>
          </cell>
          <cell r="E124">
            <v>35419</v>
          </cell>
          <cell r="F124">
            <v>2149375</v>
          </cell>
          <cell r="G124">
            <v>19.739999999999998</v>
          </cell>
          <cell r="H124" t="str">
            <v>MED SYSTEMS</v>
          </cell>
          <cell r="I124" t="e">
            <v>#REF!</v>
          </cell>
          <cell r="K124">
            <v>19.39</v>
          </cell>
          <cell r="L124">
            <v>14.35</v>
          </cell>
          <cell r="M124">
            <v>0.14349999999999999</v>
          </cell>
          <cell r="N124">
            <v>1.95E-2</v>
          </cell>
          <cell r="O124">
            <v>4.0000000000000001E-3</v>
          </cell>
          <cell r="P124">
            <v>0.11999999999999998</v>
          </cell>
        </row>
        <row r="125">
          <cell r="A125" t="str">
            <v>W00239</v>
          </cell>
          <cell r="B125">
            <v>116</v>
          </cell>
          <cell r="C125" t="str">
            <v>Mangal Anand Hospital(foreclosed in august 99)</v>
          </cell>
          <cell r="D125">
            <v>2</v>
          </cell>
          <cell r="E125">
            <v>35419</v>
          </cell>
          <cell r="F125">
            <v>5470000</v>
          </cell>
          <cell r="G125">
            <v>19.739999999999998</v>
          </cell>
          <cell r="H125" t="str">
            <v>MED SYSTEMS</v>
          </cell>
          <cell r="I125" t="e">
            <v>#REF!</v>
          </cell>
          <cell r="K125">
            <v>19.39</v>
          </cell>
          <cell r="L125">
            <v>14.35</v>
          </cell>
          <cell r="M125">
            <v>0.14349999999999999</v>
          </cell>
          <cell r="N125">
            <v>1.95E-2</v>
          </cell>
          <cell r="O125">
            <v>4.0000000000000001E-3</v>
          </cell>
          <cell r="P125">
            <v>0.11999999999999998</v>
          </cell>
        </row>
        <row r="126">
          <cell r="A126" t="str">
            <v>W00061</v>
          </cell>
          <cell r="B126">
            <v>117</v>
          </cell>
          <cell r="C126" t="str">
            <v>Polylab</v>
          </cell>
          <cell r="D126">
            <v>1</v>
          </cell>
          <cell r="E126">
            <v>35419</v>
          </cell>
          <cell r="F126">
            <v>433376</v>
          </cell>
          <cell r="G126">
            <v>19.739999999999998</v>
          </cell>
          <cell r="H126" t="str">
            <v>MED SYSTEMS</v>
          </cell>
          <cell r="I126" t="e">
            <v>#REF!</v>
          </cell>
          <cell r="K126">
            <v>19.39</v>
          </cell>
          <cell r="L126">
            <v>14.35</v>
          </cell>
          <cell r="M126">
            <v>0.14349999999999999</v>
          </cell>
          <cell r="N126">
            <v>1.95E-2</v>
          </cell>
          <cell r="O126">
            <v>4.0000000000000001E-3</v>
          </cell>
          <cell r="P126">
            <v>0.11999999999999998</v>
          </cell>
        </row>
        <row r="127">
          <cell r="A127" t="str">
            <v>W00060</v>
          </cell>
          <cell r="B127">
            <v>118</v>
          </cell>
          <cell r="C127" t="str">
            <v>AVMM Associates</v>
          </cell>
          <cell r="D127">
            <v>1</v>
          </cell>
          <cell r="E127">
            <v>35510</v>
          </cell>
          <cell r="F127">
            <v>2070000</v>
          </cell>
          <cell r="G127">
            <v>17.8</v>
          </cell>
          <cell r="H127" t="str">
            <v>MED SYSTEMS</v>
          </cell>
          <cell r="I127" t="e">
            <v>#REF!</v>
          </cell>
          <cell r="K127">
            <v>18.37</v>
          </cell>
          <cell r="L127">
            <v>14.35</v>
          </cell>
          <cell r="M127">
            <v>0.14349999999999999</v>
          </cell>
          <cell r="N127">
            <v>1.95E-2</v>
          </cell>
          <cell r="O127">
            <v>4.0000000000000001E-3</v>
          </cell>
          <cell r="P127">
            <v>0.11999999999999998</v>
          </cell>
        </row>
        <row r="128">
          <cell r="A128" t="str">
            <v>W00002</v>
          </cell>
          <cell r="B128">
            <v>119</v>
          </cell>
          <cell r="C128" t="str">
            <v>Devi Scan Pvt Ltd(revised in sep 98)</v>
          </cell>
          <cell r="D128">
            <v>1</v>
          </cell>
          <cell r="E128">
            <v>35510</v>
          </cell>
          <cell r="F128">
            <v>25568100</v>
          </cell>
          <cell r="G128">
            <v>17.8</v>
          </cell>
          <cell r="H128" t="str">
            <v>MED SYSTEMS</v>
          </cell>
          <cell r="I128" t="e">
            <v>#REF!</v>
          </cell>
          <cell r="K128">
            <v>18.37</v>
          </cell>
          <cell r="L128">
            <v>14.35</v>
          </cell>
          <cell r="M128">
            <v>0.14349999999999999</v>
          </cell>
          <cell r="N128">
            <v>1.95E-2</v>
          </cell>
          <cell r="O128">
            <v>4.0000000000000001E-3</v>
          </cell>
          <cell r="P128">
            <v>0.11999999999999998</v>
          </cell>
        </row>
        <row r="129">
          <cell r="A129" t="str">
            <v>W00123</v>
          </cell>
          <cell r="B129">
            <v>120</v>
          </cell>
          <cell r="C129" t="str">
            <v>Doctor's Xray</v>
          </cell>
          <cell r="D129">
            <v>2</v>
          </cell>
          <cell r="E129">
            <v>35510</v>
          </cell>
          <cell r="F129">
            <v>403636</v>
          </cell>
          <cell r="G129">
            <v>17.8</v>
          </cell>
          <cell r="H129" t="str">
            <v>MED SYSTEMS</v>
          </cell>
          <cell r="I129" t="e">
            <v>#REF!</v>
          </cell>
          <cell r="K129">
            <v>18.37</v>
          </cell>
          <cell r="L129">
            <v>14.35</v>
          </cell>
          <cell r="M129">
            <v>0.14349999999999999</v>
          </cell>
          <cell r="N129">
            <v>1.95E-2</v>
          </cell>
          <cell r="O129">
            <v>4.0000000000000001E-3</v>
          </cell>
          <cell r="P129">
            <v>0.11999999999999998</v>
          </cell>
        </row>
        <row r="130">
          <cell r="A130" t="str">
            <v>W00207</v>
          </cell>
          <cell r="B130">
            <v>121</v>
          </cell>
          <cell r="C130" t="str">
            <v>Meenakshi Das-II</v>
          </cell>
          <cell r="D130">
            <v>2</v>
          </cell>
          <cell r="E130">
            <v>35510</v>
          </cell>
          <cell r="F130">
            <v>836000</v>
          </cell>
          <cell r="G130">
            <v>17.8</v>
          </cell>
          <cell r="H130" t="str">
            <v>MED SYSTEMS</v>
          </cell>
          <cell r="I130" t="e">
            <v>#REF!</v>
          </cell>
          <cell r="J130">
            <v>29683.75835068493</v>
          </cell>
          <cell r="K130">
            <v>18.37</v>
          </cell>
          <cell r="L130">
            <v>14.35</v>
          </cell>
          <cell r="M130">
            <v>0.14349999999999999</v>
          </cell>
          <cell r="N130">
            <v>1.95E-2</v>
          </cell>
          <cell r="O130">
            <v>4.0000000000000001E-3</v>
          </cell>
          <cell r="P130">
            <v>0.11999999999999998</v>
          </cell>
        </row>
        <row r="131">
          <cell r="A131" t="str">
            <v>W00031</v>
          </cell>
          <cell r="B131">
            <v>122</v>
          </cell>
          <cell r="C131" t="str">
            <v>Rama Rao</v>
          </cell>
          <cell r="D131">
            <v>1</v>
          </cell>
          <cell r="E131">
            <v>35510</v>
          </cell>
          <cell r="F131">
            <v>697437</v>
          </cell>
          <cell r="G131">
            <v>17.8</v>
          </cell>
          <cell r="H131" t="str">
            <v>MED SYSTEMS</v>
          </cell>
          <cell r="I131" t="e">
            <v>#REF!</v>
          </cell>
          <cell r="J131">
            <v>19606.109804109587</v>
          </cell>
          <cell r="K131">
            <v>18.37</v>
          </cell>
          <cell r="L131">
            <v>14.35</v>
          </cell>
          <cell r="M131">
            <v>0.14349999999999999</v>
          </cell>
          <cell r="N131">
            <v>1.95E-2</v>
          </cell>
          <cell r="O131">
            <v>4.0000000000000001E-3</v>
          </cell>
          <cell r="P131">
            <v>0.11999999999999998</v>
          </cell>
        </row>
        <row r="132">
          <cell r="A132" t="str">
            <v>W00212</v>
          </cell>
          <cell r="B132">
            <v>123</v>
          </cell>
          <cell r="C132" t="str">
            <v>Karthik Scan &amp; Diagnostics</v>
          </cell>
          <cell r="D132">
            <v>1</v>
          </cell>
          <cell r="E132">
            <v>35510</v>
          </cell>
          <cell r="F132">
            <v>8500000</v>
          </cell>
          <cell r="G132">
            <v>17.8</v>
          </cell>
          <cell r="H132" t="str">
            <v>MED SYSTEMS</v>
          </cell>
          <cell r="I132" t="e">
            <v>#REF!</v>
          </cell>
          <cell r="K132">
            <v>18.37</v>
          </cell>
          <cell r="L132">
            <v>14.35</v>
          </cell>
          <cell r="M132">
            <v>0.14349999999999999</v>
          </cell>
          <cell r="N132">
            <v>1.95E-2</v>
          </cell>
          <cell r="O132">
            <v>4.0000000000000001E-3</v>
          </cell>
          <cell r="P132">
            <v>0.11999999999999998</v>
          </cell>
        </row>
        <row r="133">
          <cell r="A133" t="str">
            <v>W00085</v>
          </cell>
          <cell r="B133">
            <v>124</v>
          </cell>
          <cell r="C133" t="str">
            <v>Kishore Diagnostics Pvt Ltd</v>
          </cell>
          <cell r="D133">
            <v>1</v>
          </cell>
          <cell r="E133">
            <v>35510</v>
          </cell>
          <cell r="F133">
            <v>683800</v>
          </cell>
          <cell r="G133">
            <v>17.8</v>
          </cell>
          <cell r="H133" t="str">
            <v>MED SYSTEMS</v>
          </cell>
          <cell r="I133" t="e">
            <v>#REF!</v>
          </cell>
          <cell r="K133">
            <v>18.37</v>
          </cell>
          <cell r="L133">
            <v>14.35</v>
          </cell>
          <cell r="M133">
            <v>0.14349999999999999</v>
          </cell>
          <cell r="N133">
            <v>1.95E-2</v>
          </cell>
          <cell r="O133">
            <v>4.0000000000000001E-3</v>
          </cell>
          <cell r="P133">
            <v>0.11999999999999998</v>
          </cell>
        </row>
        <row r="134">
          <cell r="A134" t="str">
            <v>W00152</v>
          </cell>
          <cell r="B134">
            <v>125</v>
          </cell>
          <cell r="C134" t="str">
            <v>Parul Dewan</v>
          </cell>
          <cell r="D134">
            <v>1</v>
          </cell>
          <cell r="E134">
            <v>35510</v>
          </cell>
          <cell r="F134">
            <v>688750</v>
          </cell>
          <cell r="G134">
            <v>17.8</v>
          </cell>
          <cell r="H134" t="str">
            <v>MED SYSTEMS</v>
          </cell>
          <cell r="I134" t="e">
            <v>#REF!</v>
          </cell>
          <cell r="K134">
            <v>18.37</v>
          </cell>
          <cell r="L134">
            <v>14.35</v>
          </cell>
          <cell r="M134">
            <v>0.14349999999999999</v>
          </cell>
          <cell r="N134">
            <v>1.95E-2</v>
          </cell>
          <cell r="O134">
            <v>4.0000000000000001E-3</v>
          </cell>
          <cell r="P134">
            <v>0.11999999999999998</v>
          </cell>
        </row>
        <row r="135">
          <cell r="A135" t="str">
            <v>W00143</v>
          </cell>
          <cell r="B135">
            <v>126</v>
          </cell>
          <cell r="C135" t="str">
            <v>Sethuraman</v>
          </cell>
          <cell r="D135">
            <v>1</v>
          </cell>
          <cell r="E135">
            <v>35510</v>
          </cell>
          <cell r="F135">
            <v>4275000</v>
          </cell>
          <cell r="G135">
            <v>17.8</v>
          </cell>
          <cell r="H135" t="str">
            <v>MED SYSTEMS</v>
          </cell>
          <cell r="I135" t="e">
            <v>#REF!</v>
          </cell>
          <cell r="K135">
            <v>18.37</v>
          </cell>
          <cell r="L135">
            <v>14.35</v>
          </cell>
          <cell r="M135">
            <v>0.14349999999999999</v>
          </cell>
          <cell r="N135">
            <v>1.95E-2</v>
          </cell>
          <cell r="O135">
            <v>4.0000000000000001E-3</v>
          </cell>
          <cell r="P135">
            <v>0.11999999999999998</v>
          </cell>
        </row>
        <row r="136">
          <cell r="A136" t="str">
            <v>W00185</v>
          </cell>
          <cell r="B136">
            <v>127</v>
          </cell>
          <cell r="C136" t="str">
            <v>X Labs</v>
          </cell>
          <cell r="D136">
            <v>1</v>
          </cell>
          <cell r="E136">
            <v>35510</v>
          </cell>
          <cell r="F136">
            <v>400000</v>
          </cell>
          <cell r="G136">
            <v>17.8</v>
          </cell>
          <cell r="H136" t="str">
            <v>MED SYSTEMS</v>
          </cell>
          <cell r="I136" t="e">
            <v>#REF!</v>
          </cell>
          <cell r="K136">
            <v>18.37</v>
          </cell>
          <cell r="L136">
            <v>14.35</v>
          </cell>
          <cell r="M136">
            <v>0.14349999999999999</v>
          </cell>
          <cell r="N136">
            <v>1.95E-2</v>
          </cell>
          <cell r="O136">
            <v>4.0000000000000001E-3</v>
          </cell>
          <cell r="P136">
            <v>0.11999999999999998</v>
          </cell>
        </row>
        <row r="137">
          <cell r="A137" t="str">
            <v>W00030</v>
          </cell>
          <cell r="B137">
            <v>128</v>
          </cell>
          <cell r="C137" t="str">
            <v>Y Mohan Reddy</v>
          </cell>
          <cell r="D137">
            <v>1</v>
          </cell>
          <cell r="E137">
            <v>35510</v>
          </cell>
          <cell r="F137">
            <v>692455</v>
          </cell>
          <cell r="G137">
            <v>17.8</v>
          </cell>
          <cell r="H137" t="str">
            <v>MED SYSTEMS</v>
          </cell>
          <cell r="I137" t="e">
            <v>#REF!</v>
          </cell>
          <cell r="K137">
            <v>18.37</v>
          </cell>
          <cell r="L137">
            <v>14.35</v>
          </cell>
          <cell r="M137">
            <v>0.14349999999999999</v>
          </cell>
          <cell r="N137">
            <v>1.95E-2</v>
          </cell>
          <cell r="O137">
            <v>4.0000000000000001E-3</v>
          </cell>
          <cell r="P137">
            <v>0.11999999999999998</v>
          </cell>
        </row>
        <row r="138">
          <cell r="A138" t="str">
            <v>W00121</v>
          </cell>
          <cell r="B138">
            <v>129</v>
          </cell>
          <cell r="C138" t="str">
            <v>A Saritha</v>
          </cell>
          <cell r="D138">
            <v>1</v>
          </cell>
          <cell r="E138">
            <v>35520</v>
          </cell>
          <cell r="F138">
            <v>437000</v>
          </cell>
          <cell r="G138">
            <v>17.8</v>
          </cell>
          <cell r="H138" t="str">
            <v>MED SYSTEMS</v>
          </cell>
          <cell r="I138" t="e">
            <v>#REF!</v>
          </cell>
          <cell r="K138">
            <v>18.37</v>
          </cell>
          <cell r="L138">
            <v>14.35</v>
          </cell>
          <cell r="M138">
            <v>0.14349999999999999</v>
          </cell>
          <cell r="N138">
            <v>1.95E-2</v>
          </cell>
          <cell r="O138">
            <v>4.0000000000000001E-3</v>
          </cell>
          <cell r="P138">
            <v>0.11999999999999998</v>
          </cell>
        </row>
        <row r="139">
          <cell r="A139" t="str">
            <v>W00166</v>
          </cell>
          <cell r="B139">
            <v>130</v>
          </cell>
          <cell r="C139" t="str">
            <v>Apex Hospital</v>
          </cell>
          <cell r="D139">
            <v>1</v>
          </cell>
          <cell r="E139">
            <v>35520</v>
          </cell>
          <cell r="F139">
            <v>712500</v>
          </cell>
          <cell r="G139">
            <v>17.8</v>
          </cell>
          <cell r="H139" t="str">
            <v>MED SYSTEMS</v>
          </cell>
          <cell r="I139" t="e">
            <v>#REF!</v>
          </cell>
          <cell r="K139">
            <v>18.37</v>
          </cell>
          <cell r="L139">
            <v>14.35</v>
          </cell>
          <cell r="M139">
            <v>0.14349999999999999</v>
          </cell>
          <cell r="N139">
            <v>1.95E-2</v>
          </cell>
          <cell r="O139">
            <v>4.0000000000000001E-3</v>
          </cell>
          <cell r="P139">
            <v>0.11999999999999998</v>
          </cell>
        </row>
        <row r="140">
          <cell r="A140" t="str">
            <v>W00082</v>
          </cell>
          <cell r="B140">
            <v>131</v>
          </cell>
          <cell r="C140" t="str">
            <v>Diagnostics Lab &amp; Xray</v>
          </cell>
          <cell r="D140">
            <v>1</v>
          </cell>
          <cell r="E140">
            <v>35520</v>
          </cell>
          <cell r="F140">
            <v>665000</v>
          </cell>
          <cell r="G140">
            <v>17.8</v>
          </cell>
          <cell r="H140" t="str">
            <v>MED SYSTEMS</v>
          </cell>
          <cell r="I140" t="e">
            <v>#REF!</v>
          </cell>
          <cell r="K140">
            <v>18.37</v>
          </cell>
          <cell r="L140">
            <v>14.35</v>
          </cell>
          <cell r="M140">
            <v>0.14349999999999999</v>
          </cell>
          <cell r="N140">
            <v>1.95E-2</v>
          </cell>
          <cell r="O140">
            <v>4.0000000000000001E-3</v>
          </cell>
          <cell r="P140">
            <v>0.11999999999999998</v>
          </cell>
        </row>
        <row r="141">
          <cell r="A141" t="str">
            <v>W00073</v>
          </cell>
          <cell r="B141">
            <v>132</v>
          </cell>
          <cell r="C141" t="str">
            <v>Jeyasekharan</v>
          </cell>
          <cell r="D141">
            <v>1</v>
          </cell>
          <cell r="E141">
            <v>35520</v>
          </cell>
          <cell r="F141">
            <v>2636250</v>
          </cell>
          <cell r="G141">
            <v>17.8</v>
          </cell>
          <cell r="H141" t="str">
            <v>MED SYSTEMS</v>
          </cell>
          <cell r="I141" t="e">
            <v>#REF!</v>
          </cell>
          <cell r="J141">
            <v>4859.8092986301372</v>
          </cell>
          <cell r="K141">
            <v>18.37</v>
          </cell>
          <cell r="L141">
            <v>14.35</v>
          </cell>
          <cell r="M141">
            <v>0.14349999999999999</v>
          </cell>
          <cell r="N141">
            <v>1.95E-2</v>
          </cell>
          <cell r="O141">
            <v>4.0000000000000001E-3</v>
          </cell>
          <cell r="P141">
            <v>0.11999999999999998</v>
          </cell>
        </row>
        <row r="142">
          <cell r="A142" t="str">
            <v>W00164</v>
          </cell>
          <cell r="B142">
            <v>133</v>
          </cell>
          <cell r="C142" t="str">
            <v>Maya Shenoy</v>
          </cell>
          <cell r="D142">
            <v>1</v>
          </cell>
          <cell r="E142">
            <v>35520</v>
          </cell>
          <cell r="F142">
            <v>340500</v>
          </cell>
          <cell r="G142">
            <v>17.8</v>
          </cell>
          <cell r="H142" t="str">
            <v>MED SYSTEMS</v>
          </cell>
          <cell r="I142" t="e">
            <v>#REF!</v>
          </cell>
          <cell r="K142">
            <v>18.37</v>
          </cell>
          <cell r="L142">
            <v>14.35</v>
          </cell>
          <cell r="M142">
            <v>0.14349999999999999</v>
          </cell>
          <cell r="N142">
            <v>1.95E-2</v>
          </cell>
          <cell r="O142">
            <v>4.0000000000000001E-3</v>
          </cell>
          <cell r="P142">
            <v>0.11999999999999998</v>
          </cell>
        </row>
        <row r="143">
          <cell r="A143" t="str">
            <v>W00155</v>
          </cell>
          <cell r="B143">
            <v>134</v>
          </cell>
          <cell r="C143" t="str">
            <v>Neet Hospital</v>
          </cell>
          <cell r="D143">
            <v>1</v>
          </cell>
          <cell r="E143">
            <v>35520</v>
          </cell>
          <cell r="F143">
            <v>3420000</v>
          </cell>
          <cell r="G143">
            <v>17.8</v>
          </cell>
          <cell r="H143" t="str">
            <v>MED SYSTEMS</v>
          </cell>
          <cell r="I143" t="e">
            <v>#REF!</v>
          </cell>
          <cell r="K143">
            <v>18.37</v>
          </cell>
          <cell r="L143">
            <v>14.35</v>
          </cell>
          <cell r="M143">
            <v>0.14349999999999999</v>
          </cell>
          <cell r="N143">
            <v>1.95E-2</v>
          </cell>
          <cell r="O143">
            <v>4.0000000000000001E-3</v>
          </cell>
          <cell r="P143">
            <v>0.11999999999999998</v>
          </cell>
        </row>
        <row r="144">
          <cell r="A144" t="str">
            <v>W00011</v>
          </cell>
          <cell r="B144">
            <v>135</v>
          </cell>
          <cell r="C144" t="str">
            <v>Ratanada Xray</v>
          </cell>
          <cell r="D144">
            <v>1</v>
          </cell>
          <cell r="E144">
            <v>35520</v>
          </cell>
          <cell r="F144">
            <v>638466</v>
          </cell>
          <cell r="G144">
            <v>17.8</v>
          </cell>
          <cell r="H144" t="str">
            <v>MED SYSTEMS</v>
          </cell>
          <cell r="I144" t="e">
            <v>#REF!</v>
          </cell>
          <cell r="K144">
            <v>18.37</v>
          </cell>
          <cell r="L144">
            <v>14.35</v>
          </cell>
          <cell r="M144">
            <v>0.14349999999999999</v>
          </cell>
          <cell r="N144">
            <v>1.95E-2</v>
          </cell>
          <cell r="O144">
            <v>4.0000000000000001E-3</v>
          </cell>
          <cell r="P144">
            <v>0.11999999999999998</v>
          </cell>
        </row>
        <row r="145">
          <cell r="A145" t="str">
            <v>W00071</v>
          </cell>
          <cell r="B145">
            <v>136</v>
          </cell>
          <cell r="C145" t="str">
            <v>Sathya Sai Baba Hospital</v>
          </cell>
          <cell r="D145">
            <v>1</v>
          </cell>
          <cell r="E145">
            <v>35520</v>
          </cell>
          <cell r="F145">
            <v>1425000</v>
          </cell>
          <cell r="G145">
            <v>17.8</v>
          </cell>
          <cell r="H145" t="str">
            <v>MED SYSTEMS</v>
          </cell>
          <cell r="I145" t="e">
            <v>#REF!</v>
          </cell>
          <cell r="K145">
            <v>18.37</v>
          </cell>
          <cell r="L145">
            <v>14.35</v>
          </cell>
          <cell r="M145">
            <v>0.14349999999999999</v>
          </cell>
          <cell r="N145">
            <v>1.95E-2</v>
          </cell>
          <cell r="O145">
            <v>4.0000000000000001E-3</v>
          </cell>
          <cell r="P145">
            <v>0.11999999999999998</v>
          </cell>
        </row>
        <row r="146">
          <cell r="A146" t="str">
            <v>W00162</v>
          </cell>
          <cell r="B146">
            <v>137</v>
          </cell>
          <cell r="C146" t="str">
            <v>Valsangkar</v>
          </cell>
          <cell r="D146">
            <v>1</v>
          </cell>
          <cell r="E146">
            <v>35537</v>
          </cell>
          <cell r="F146">
            <v>4550000</v>
          </cell>
          <cell r="G146">
            <v>0</v>
          </cell>
          <cell r="H146" t="str">
            <v>MED SYSTEMS</v>
          </cell>
          <cell r="I146" t="e">
            <v>#REF!</v>
          </cell>
          <cell r="K146">
            <v>18.190000000000001</v>
          </cell>
          <cell r="L146">
            <v>13.85</v>
          </cell>
          <cell r="M146">
            <v>0.13849999999999998</v>
          </cell>
          <cell r="N146">
            <v>1.95E-2</v>
          </cell>
          <cell r="O146">
            <v>4.0000000000000001E-3</v>
          </cell>
          <cell r="P146">
            <v>0.11499999999999998</v>
          </cell>
        </row>
        <row r="147">
          <cell r="A147" t="str">
            <v>W00167</v>
          </cell>
          <cell r="B147">
            <v>138</v>
          </cell>
          <cell r="C147" t="str">
            <v>Mary Calvert Holdsworth</v>
          </cell>
          <cell r="D147">
            <v>1</v>
          </cell>
          <cell r="E147">
            <v>35537</v>
          </cell>
          <cell r="F147">
            <v>1425000</v>
          </cell>
          <cell r="G147">
            <v>17.600000000000001</v>
          </cell>
          <cell r="H147" t="str">
            <v>MED SYSTEMS</v>
          </cell>
          <cell r="I147" t="e">
            <v>#REF!</v>
          </cell>
          <cell r="K147">
            <v>18.190000000000001</v>
          </cell>
          <cell r="L147">
            <v>13.85</v>
          </cell>
          <cell r="M147">
            <v>0.13849999999999998</v>
          </cell>
          <cell r="N147">
            <v>1.95E-2</v>
          </cell>
          <cell r="O147">
            <v>4.0000000000000001E-3</v>
          </cell>
          <cell r="P147">
            <v>0.11499999999999998</v>
          </cell>
        </row>
        <row r="148">
          <cell r="A148" t="str">
            <v>W00020</v>
          </cell>
          <cell r="B148">
            <v>139</v>
          </cell>
          <cell r="C148" t="str">
            <v>R K Diagnostics</v>
          </cell>
          <cell r="D148">
            <v>1</v>
          </cell>
          <cell r="E148">
            <v>35537</v>
          </cell>
          <cell r="F148">
            <v>4806439</v>
          </cell>
          <cell r="G148">
            <v>17.600000000000001</v>
          </cell>
          <cell r="H148" t="str">
            <v>MED SYSTEMS</v>
          </cell>
          <cell r="I148" t="e">
            <v>#REF!</v>
          </cell>
          <cell r="K148">
            <v>18.190000000000001</v>
          </cell>
          <cell r="L148">
            <v>13.85</v>
          </cell>
          <cell r="M148">
            <v>0.13849999999999998</v>
          </cell>
          <cell r="N148">
            <v>1.95E-2</v>
          </cell>
          <cell r="O148">
            <v>4.0000000000000001E-3</v>
          </cell>
          <cell r="P148">
            <v>0.11499999999999998</v>
          </cell>
        </row>
        <row r="149">
          <cell r="A149" t="str">
            <v>W00169</v>
          </cell>
          <cell r="B149">
            <v>140</v>
          </cell>
          <cell r="C149" t="str">
            <v>S Suja</v>
          </cell>
          <cell r="D149">
            <v>1</v>
          </cell>
          <cell r="E149">
            <v>35537</v>
          </cell>
          <cell r="F149">
            <v>665000</v>
          </cell>
          <cell r="G149">
            <v>17.600000000000001</v>
          </cell>
          <cell r="H149" t="str">
            <v>MED SYSTEMS</v>
          </cell>
          <cell r="I149" t="e">
            <v>#REF!</v>
          </cell>
          <cell r="K149">
            <v>18.190000000000001</v>
          </cell>
          <cell r="L149">
            <v>13.85</v>
          </cell>
          <cell r="M149">
            <v>0.13849999999999998</v>
          </cell>
          <cell r="N149">
            <v>1.95E-2</v>
          </cell>
          <cell r="O149">
            <v>4.0000000000000001E-3</v>
          </cell>
          <cell r="P149">
            <v>0.11499999999999998</v>
          </cell>
        </row>
        <row r="150">
          <cell r="A150" t="str">
            <v>W00168</v>
          </cell>
          <cell r="B150">
            <v>141</v>
          </cell>
          <cell r="C150" t="str">
            <v>Tuticorin Medical Imaging</v>
          </cell>
          <cell r="D150">
            <v>1</v>
          </cell>
          <cell r="E150">
            <v>35537</v>
          </cell>
          <cell r="F150">
            <v>641250</v>
          </cell>
          <cell r="G150">
            <v>17.600000000000001</v>
          </cell>
          <cell r="H150" t="str">
            <v>MED SYSTEMS</v>
          </cell>
          <cell r="I150" t="e">
            <v>#REF!</v>
          </cell>
          <cell r="K150">
            <v>18.190000000000001</v>
          </cell>
          <cell r="L150">
            <v>13.85</v>
          </cell>
          <cell r="M150">
            <v>0.13849999999999998</v>
          </cell>
          <cell r="N150">
            <v>1.95E-2</v>
          </cell>
          <cell r="O150">
            <v>4.0000000000000001E-3</v>
          </cell>
          <cell r="P150">
            <v>0.11499999999999998</v>
          </cell>
        </row>
        <row r="151">
          <cell r="A151" t="str">
            <v>W00027</v>
          </cell>
          <cell r="B151">
            <v>142</v>
          </cell>
          <cell r="C151" t="str">
            <v>Welcome X-Ray</v>
          </cell>
          <cell r="D151">
            <v>1</v>
          </cell>
          <cell r="E151">
            <v>35537</v>
          </cell>
          <cell r="F151">
            <v>669750</v>
          </cell>
          <cell r="G151">
            <v>17.600000000000001</v>
          </cell>
          <cell r="H151" t="str">
            <v>MED SYSTEMS</v>
          </cell>
          <cell r="I151" t="e">
            <v>#REF!</v>
          </cell>
          <cell r="K151">
            <v>18.190000000000001</v>
          </cell>
          <cell r="L151">
            <v>13.85</v>
          </cell>
          <cell r="M151">
            <v>0.13849999999999998</v>
          </cell>
          <cell r="N151">
            <v>1.95E-2</v>
          </cell>
          <cell r="O151">
            <v>4.0000000000000001E-3</v>
          </cell>
          <cell r="P151">
            <v>0.11499999999999998</v>
          </cell>
        </row>
        <row r="152">
          <cell r="A152" t="str">
            <v>W00076</v>
          </cell>
          <cell r="B152">
            <v>143</v>
          </cell>
          <cell r="C152" t="str">
            <v>Apollo Medical Investigation</v>
          </cell>
          <cell r="D152">
            <v>2</v>
          </cell>
          <cell r="E152">
            <v>35576</v>
          </cell>
          <cell r="F152">
            <v>22325000</v>
          </cell>
          <cell r="G152">
            <v>0</v>
          </cell>
          <cell r="H152" t="str">
            <v>MED SYSTEMS</v>
          </cell>
          <cell r="I152" t="e">
            <v>#REF!</v>
          </cell>
          <cell r="K152">
            <v>17.38</v>
          </cell>
          <cell r="L152">
            <v>13.85</v>
          </cell>
          <cell r="M152">
            <v>0.13849999999999998</v>
          </cell>
          <cell r="N152">
            <v>1.95E-2</v>
          </cell>
          <cell r="O152">
            <v>4.0000000000000001E-3</v>
          </cell>
          <cell r="P152">
            <v>0.11499999999999998</v>
          </cell>
        </row>
        <row r="153">
          <cell r="A153" t="str">
            <v>W00075</v>
          </cell>
          <cell r="B153">
            <v>144</v>
          </cell>
          <cell r="C153" t="str">
            <v>R K Chakrabarthi</v>
          </cell>
          <cell r="D153">
            <v>1</v>
          </cell>
          <cell r="E153">
            <v>35576</v>
          </cell>
          <cell r="F153">
            <v>684000</v>
          </cell>
          <cell r="G153">
            <v>17.68</v>
          </cell>
          <cell r="H153" t="str">
            <v>MED SYSTEMS</v>
          </cell>
          <cell r="I153" t="e">
            <v>#REF!</v>
          </cell>
          <cell r="J153">
            <v>28920.29579178082</v>
          </cell>
          <cell r="K153">
            <v>17.38</v>
          </cell>
          <cell r="L153">
            <v>13.85</v>
          </cell>
          <cell r="M153">
            <v>0.13849999999999998</v>
          </cell>
          <cell r="N153">
            <v>1.95E-2</v>
          </cell>
          <cell r="O153">
            <v>4.0000000000000001E-3</v>
          </cell>
          <cell r="P153">
            <v>0.11499999999999998</v>
          </cell>
        </row>
        <row r="154">
          <cell r="A154" t="str">
            <v>W00078</v>
          </cell>
          <cell r="B154">
            <v>145</v>
          </cell>
          <cell r="C154" t="str">
            <v>GG Hospital</v>
          </cell>
          <cell r="D154">
            <v>1</v>
          </cell>
          <cell r="E154">
            <v>35576</v>
          </cell>
          <cell r="F154">
            <v>1603430</v>
          </cell>
          <cell r="G154">
            <v>17.68</v>
          </cell>
          <cell r="H154" t="str">
            <v>MED SYSTEMS</v>
          </cell>
          <cell r="I154" t="e">
            <v>#REF!</v>
          </cell>
          <cell r="K154">
            <v>17.38</v>
          </cell>
          <cell r="L154">
            <v>13.85</v>
          </cell>
          <cell r="M154">
            <v>0.13849999999999998</v>
          </cell>
          <cell r="N154">
            <v>1.95E-2</v>
          </cell>
          <cell r="O154">
            <v>4.0000000000000001E-3</v>
          </cell>
          <cell r="P154">
            <v>0.11499999999999998</v>
          </cell>
        </row>
        <row r="155">
          <cell r="A155" t="str">
            <v>W00181</v>
          </cell>
          <cell r="B155">
            <v>146</v>
          </cell>
          <cell r="C155" t="str">
            <v>Medinova Diagnostics Services</v>
          </cell>
          <cell r="D155">
            <v>4</v>
          </cell>
          <cell r="E155">
            <v>35576</v>
          </cell>
          <cell r="F155">
            <v>1313804</v>
          </cell>
          <cell r="G155">
            <v>17.68</v>
          </cell>
          <cell r="H155" t="str">
            <v>MED SYSTEMS</v>
          </cell>
          <cell r="I155" t="e">
            <v>#REF!</v>
          </cell>
          <cell r="K155">
            <v>17.38</v>
          </cell>
          <cell r="L155">
            <v>13.85</v>
          </cell>
          <cell r="M155">
            <v>0.13849999999999998</v>
          </cell>
          <cell r="N155">
            <v>1.95E-2</v>
          </cell>
          <cell r="O155">
            <v>4.0000000000000001E-3</v>
          </cell>
          <cell r="P155">
            <v>0.11499999999999998</v>
          </cell>
        </row>
        <row r="156">
          <cell r="A156" t="str">
            <v>W00149</v>
          </cell>
          <cell r="B156">
            <v>147</v>
          </cell>
          <cell r="C156" t="str">
            <v xml:space="preserve">BHILAI SCANS </v>
          </cell>
          <cell r="D156">
            <v>1</v>
          </cell>
          <cell r="E156">
            <v>35611</v>
          </cell>
          <cell r="F156">
            <v>15200000</v>
          </cell>
          <cell r="G156">
            <v>17.28</v>
          </cell>
          <cell r="H156" t="str">
            <v>MED SYSTEMS</v>
          </cell>
          <cell r="I156" t="e">
            <v>#REF!</v>
          </cell>
          <cell r="K156">
            <v>16.97</v>
          </cell>
          <cell r="L156">
            <v>13.85</v>
          </cell>
          <cell r="M156">
            <v>0.13849999999999998</v>
          </cell>
          <cell r="N156">
            <v>1.95E-2</v>
          </cell>
          <cell r="O156">
            <v>4.0000000000000001E-3</v>
          </cell>
          <cell r="P156">
            <v>0.11499999999999998</v>
          </cell>
        </row>
        <row r="157">
          <cell r="A157" t="str">
            <v>W00010</v>
          </cell>
          <cell r="B157">
            <v>148</v>
          </cell>
          <cell r="C157" t="str">
            <v>BHILAI SCANS MR</v>
          </cell>
          <cell r="D157">
            <v>1</v>
          </cell>
          <cell r="E157">
            <v>35611</v>
          </cell>
          <cell r="F157">
            <v>560500</v>
          </cell>
          <cell r="G157">
            <v>17.28</v>
          </cell>
          <cell r="H157" t="str">
            <v>MED SYSTEMS</v>
          </cell>
          <cell r="I157" t="e">
            <v>#REF!</v>
          </cell>
          <cell r="K157">
            <v>16.97</v>
          </cell>
          <cell r="L157">
            <v>13.85</v>
          </cell>
          <cell r="M157">
            <v>0.13849999999999998</v>
          </cell>
          <cell r="N157">
            <v>1.95E-2</v>
          </cell>
          <cell r="O157">
            <v>4.0000000000000001E-3</v>
          </cell>
          <cell r="P157">
            <v>0.11499999999999998</v>
          </cell>
        </row>
        <row r="158">
          <cell r="A158" t="str">
            <v>W00172</v>
          </cell>
          <cell r="B158">
            <v>149</v>
          </cell>
          <cell r="C158" t="str">
            <v>SHARAD JAIN</v>
          </cell>
          <cell r="D158">
            <v>1</v>
          </cell>
          <cell r="E158">
            <v>35611</v>
          </cell>
          <cell r="F158">
            <v>361000</v>
          </cell>
          <cell r="G158">
            <v>17.28</v>
          </cell>
          <cell r="H158" t="str">
            <v>MED SYSTEMS</v>
          </cell>
          <cell r="I158" t="e">
            <v>#REF!</v>
          </cell>
          <cell r="K158">
            <v>16.97</v>
          </cell>
          <cell r="L158">
            <v>13.85</v>
          </cell>
          <cell r="M158">
            <v>0.13849999999999998</v>
          </cell>
          <cell r="N158">
            <v>1.95E-2</v>
          </cell>
          <cell r="O158">
            <v>4.0000000000000001E-3</v>
          </cell>
          <cell r="P158">
            <v>0.11499999999999998</v>
          </cell>
        </row>
        <row r="159">
          <cell r="A159" t="str">
            <v>W00086</v>
          </cell>
          <cell r="B159">
            <v>150</v>
          </cell>
          <cell r="C159" t="str">
            <v>SRINIVASA RAO</v>
          </cell>
          <cell r="D159">
            <v>1</v>
          </cell>
          <cell r="E159">
            <v>35611</v>
          </cell>
          <cell r="F159">
            <v>996500</v>
          </cell>
          <cell r="G159">
            <v>17.28</v>
          </cell>
          <cell r="H159" t="str">
            <v>MED SYSTEMS</v>
          </cell>
          <cell r="I159" t="e">
            <v>#REF!</v>
          </cell>
          <cell r="K159">
            <v>16.97</v>
          </cell>
          <cell r="L159">
            <v>13.85</v>
          </cell>
          <cell r="M159">
            <v>0.13849999999999998</v>
          </cell>
          <cell r="N159">
            <v>1.95E-2</v>
          </cell>
          <cell r="O159">
            <v>4.0000000000000001E-3</v>
          </cell>
          <cell r="P159">
            <v>0.11499999999999998</v>
          </cell>
        </row>
        <row r="160">
          <cell r="A160" t="str">
            <v>W00021</v>
          </cell>
          <cell r="B160">
            <v>151</v>
          </cell>
          <cell r="C160" t="str">
            <v>GEETANJALI XRAYS</v>
          </cell>
          <cell r="D160">
            <v>1</v>
          </cell>
          <cell r="E160">
            <v>35611</v>
          </cell>
          <cell r="F160">
            <v>446500</v>
          </cell>
          <cell r="G160">
            <v>17.28</v>
          </cell>
          <cell r="H160" t="str">
            <v>MED SYSTEMS</v>
          </cell>
          <cell r="I160" t="e">
            <v>#REF!</v>
          </cell>
          <cell r="K160">
            <v>16.97</v>
          </cell>
          <cell r="L160">
            <v>13.85</v>
          </cell>
          <cell r="M160">
            <v>0.13849999999999998</v>
          </cell>
          <cell r="N160">
            <v>1.95E-2</v>
          </cell>
          <cell r="O160">
            <v>4.0000000000000001E-3</v>
          </cell>
          <cell r="P160">
            <v>0.11499999999999998</v>
          </cell>
        </row>
        <row r="161">
          <cell r="A161" t="str">
            <v>W00200</v>
          </cell>
          <cell r="B161">
            <v>152</v>
          </cell>
          <cell r="C161" t="str">
            <v>NEW NIGHTINGALE NURSING</v>
          </cell>
          <cell r="D161">
            <v>1</v>
          </cell>
          <cell r="E161">
            <v>35611</v>
          </cell>
          <cell r="F161">
            <v>172378</v>
          </cell>
          <cell r="G161">
            <v>17.28</v>
          </cell>
          <cell r="H161" t="str">
            <v>MED SYSTEMS</v>
          </cell>
          <cell r="I161" t="e">
            <v>#REF!</v>
          </cell>
          <cell r="K161">
            <v>16.97</v>
          </cell>
          <cell r="L161">
            <v>13.85</v>
          </cell>
          <cell r="M161">
            <v>0.13849999999999998</v>
          </cell>
          <cell r="N161">
            <v>1.95E-2</v>
          </cell>
          <cell r="O161">
            <v>4.0000000000000001E-3</v>
          </cell>
          <cell r="P161">
            <v>0.11499999999999998</v>
          </cell>
        </row>
        <row r="162">
          <cell r="A162" t="str">
            <v>W00215</v>
          </cell>
          <cell r="B162">
            <v>153</v>
          </cell>
          <cell r="C162" t="str">
            <v>PRAYAG SCANNING</v>
          </cell>
          <cell r="D162">
            <v>1</v>
          </cell>
          <cell r="E162">
            <v>35611</v>
          </cell>
          <cell r="F162">
            <v>7192000</v>
          </cell>
          <cell r="G162">
            <v>17.28</v>
          </cell>
          <cell r="H162" t="str">
            <v>MED SYSTEMS</v>
          </cell>
          <cell r="I162" t="e">
            <v>#REF!</v>
          </cell>
          <cell r="K162">
            <v>16.97</v>
          </cell>
          <cell r="L162">
            <v>13.85</v>
          </cell>
          <cell r="M162">
            <v>0.13849999999999998</v>
          </cell>
          <cell r="N162">
            <v>1.95E-2</v>
          </cell>
          <cell r="O162">
            <v>4.0000000000000001E-3</v>
          </cell>
          <cell r="P162">
            <v>0.11499999999999998</v>
          </cell>
        </row>
        <row r="163">
          <cell r="A163" t="str">
            <v>W00223</v>
          </cell>
          <cell r="B163">
            <v>154</v>
          </cell>
          <cell r="C163" t="str">
            <v>PRIYA SCANS</v>
          </cell>
          <cell r="D163">
            <v>1</v>
          </cell>
          <cell r="E163">
            <v>35611</v>
          </cell>
          <cell r="F163">
            <v>665000</v>
          </cell>
          <cell r="G163">
            <v>17.28</v>
          </cell>
          <cell r="H163" t="str">
            <v>MED SYSTEMS</v>
          </cell>
          <cell r="I163" t="e">
            <v>#REF!</v>
          </cell>
          <cell r="K163">
            <v>16.97</v>
          </cell>
          <cell r="L163">
            <v>13.85</v>
          </cell>
          <cell r="M163">
            <v>0.13849999999999998</v>
          </cell>
          <cell r="N163">
            <v>1.95E-2</v>
          </cell>
          <cell r="O163">
            <v>4.0000000000000001E-3</v>
          </cell>
          <cell r="P163">
            <v>0.11499999999999998</v>
          </cell>
        </row>
        <row r="164">
          <cell r="A164" t="str">
            <v>W00067</v>
          </cell>
          <cell r="B164">
            <v>155</v>
          </cell>
          <cell r="C164" t="str">
            <v>SEWA NURSING HOME</v>
          </cell>
          <cell r="D164">
            <v>1</v>
          </cell>
          <cell r="E164">
            <v>35611</v>
          </cell>
          <cell r="F164">
            <v>494000</v>
          </cell>
          <cell r="G164">
            <v>17.28</v>
          </cell>
          <cell r="H164" t="str">
            <v>MED SYSTEMS</v>
          </cell>
          <cell r="I164" t="e">
            <v>#REF!</v>
          </cell>
          <cell r="K164">
            <v>16.97</v>
          </cell>
          <cell r="L164">
            <v>13.85</v>
          </cell>
          <cell r="M164">
            <v>0.13849999999999998</v>
          </cell>
          <cell r="N164">
            <v>1.95E-2</v>
          </cell>
          <cell r="O164">
            <v>4.0000000000000001E-3</v>
          </cell>
          <cell r="P164">
            <v>0.11499999999999998</v>
          </cell>
        </row>
        <row r="165">
          <cell r="A165" t="str">
            <v>W00022</v>
          </cell>
          <cell r="B165">
            <v>156</v>
          </cell>
          <cell r="C165" t="str">
            <v>SUNDARAM ARULRAJ</v>
          </cell>
          <cell r="D165">
            <v>1</v>
          </cell>
          <cell r="E165">
            <v>35611</v>
          </cell>
          <cell r="F165">
            <v>641250</v>
          </cell>
          <cell r="G165">
            <v>17.28</v>
          </cell>
          <cell r="H165" t="str">
            <v>MED SYSTEMS</v>
          </cell>
          <cell r="I165" t="e">
            <v>#REF!</v>
          </cell>
          <cell r="K165">
            <v>16.97</v>
          </cell>
          <cell r="L165">
            <v>13.85</v>
          </cell>
          <cell r="M165">
            <v>0.13849999999999998</v>
          </cell>
          <cell r="N165">
            <v>1.95E-2</v>
          </cell>
          <cell r="O165">
            <v>4.0000000000000001E-3</v>
          </cell>
          <cell r="P165">
            <v>0.11499999999999998</v>
          </cell>
        </row>
        <row r="166">
          <cell r="A166" t="str">
            <v>W00062</v>
          </cell>
          <cell r="B166">
            <v>157</v>
          </cell>
          <cell r="C166" t="str">
            <v>SUMANTH SHARMA(amended in may)</v>
          </cell>
          <cell r="D166">
            <v>1</v>
          </cell>
          <cell r="E166">
            <v>35641</v>
          </cell>
          <cell r="F166">
            <v>622250</v>
          </cell>
          <cell r="G166">
            <v>17.28</v>
          </cell>
          <cell r="H166" t="str">
            <v>MED SYSTEMS</v>
          </cell>
          <cell r="I166" t="e">
            <v>#REF!</v>
          </cell>
          <cell r="K166">
            <v>16.97</v>
          </cell>
          <cell r="M166">
            <v>0.16969999999999999</v>
          </cell>
          <cell r="N166">
            <v>1.95E-2</v>
          </cell>
          <cell r="O166">
            <v>4.0000000000000001E-3</v>
          </cell>
          <cell r="P166">
            <v>0.1462</v>
          </cell>
        </row>
        <row r="167">
          <cell r="A167" t="str">
            <v>W00112</v>
          </cell>
          <cell r="B167">
            <v>158</v>
          </cell>
          <cell r="C167" t="str">
            <v>PRIME MRI CENTRE</v>
          </cell>
          <cell r="D167">
            <v>1</v>
          </cell>
          <cell r="E167">
            <v>35646</v>
          </cell>
          <cell r="F167">
            <v>21733000</v>
          </cell>
          <cell r="G167">
            <v>0</v>
          </cell>
          <cell r="H167" t="str">
            <v>MED SYSTEMS</v>
          </cell>
          <cell r="I167" t="e">
            <v>#REF!</v>
          </cell>
          <cell r="K167">
            <v>16.97</v>
          </cell>
          <cell r="M167">
            <v>0.16969999999999999</v>
          </cell>
          <cell r="N167">
            <v>1.95E-2</v>
          </cell>
          <cell r="O167">
            <v>4.0000000000000001E-3</v>
          </cell>
          <cell r="P167">
            <v>0.1462</v>
          </cell>
        </row>
        <row r="168">
          <cell r="A168" t="str">
            <v>W00032</v>
          </cell>
          <cell r="B168">
            <v>159</v>
          </cell>
          <cell r="C168" t="str">
            <v>ST JAMES HOSPITAL</v>
          </cell>
          <cell r="D168">
            <v>1</v>
          </cell>
          <cell r="E168">
            <v>35646</v>
          </cell>
          <cell r="F168">
            <v>810000</v>
          </cell>
          <cell r="G168">
            <v>17.28</v>
          </cell>
          <cell r="H168" t="str">
            <v>MED SYSTEMS</v>
          </cell>
          <cell r="I168" t="e">
            <v>#REF!</v>
          </cell>
          <cell r="K168">
            <v>16.97</v>
          </cell>
          <cell r="M168">
            <v>0.16969999999999999</v>
          </cell>
          <cell r="N168">
            <v>1.95E-2</v>
          </cell>
          <cell r="O168">
            <v>4.0000000000000001E-3</v>
          </cell>
          <cell r="P168">
            <v>0.1462</v>
          </cell>
        </row>
        <row r="169">
          <cell r="A169" t="str">
            <v>W00109</v>
          </cell>
          <cell r="B169">
            <v>160</v>
          </cell>
          <cell r="C169" t="str">
            <v>VIJAYA MEDICAL CENTRE (amended in nov )</v>
          </cell>
          <cell r="D169">
            <v>1</v>
          </cell>
          <cell r="E169">
            <v>35647</v>
          </cell>
          <cell r="F169">
            <v>14328670</v>
          </cell>
          <cell r="G169">
            <v>17.28</v>
          </cell>
          <cell r="H169" t="str">
            <v>MED SYSTEMS</v>
          </cell>
          <cell r="I169" t="e">
            <v>#REF!</v>
          </cell>
          <cell r="K169">
            <v>16.97</v>
          </cell>
          <cell r="M169">
            <v>0.16969999999999999</v>
          </cell>
          <cell r="N169">
            <v>1.95E-2</v>
          </cell>
          <cell r="O169">
            <v>4.0000000000000001E-3</v>
          </cell>
          <cell r="P169">
            <v>0.1462</v>
          </cell>
        </row>
        <row r="170">
          <cell r="A170" t="str">
            <v>W00072</v>
          </cell>
          <cell r="B170">
            <v>161</v>
          </cell>
          <cell r="C170" t="str">
            <v>BABY MEMORIAL-II</v>
          </cell>
          <cell r="D170">
            <v>2</v>
          </cell>
          <cell r="E170">
            <v>35703</v>
          </cell>
          <cell r="F170">
            <v>720000</v>
          </cell>
          <cell r="G170">
            <v>16.16</v>
          </cell>
          <cell r="H170" t="str">
            <v>MED SYSTEMS</v>
          </cell>
          <cell r="I170" t="e">
            <v>#REF!</v>
          </cell>
          <cell r="K170">
            <v>15.85</v>
          </cell>
          <cell r="L170">
            <v>13.85</v>
          </cell>
          <cell r="M170">
            <v>0.13849999999999998</v>
          </cell>
          <cell r="N170">
            <v>1.95E-2</v>
          </cell>
          <cell r="O170">
            <v>4.0000000000000001E-3</v>
          </cell>
          <cell r="P170">
            <v>0.11499999999999998</v>
          </cell>
        </row>
        <row r="171">
          <cell r="A171" t="str">
            <v>W00077</v>
          </cell>
          <cell r="B171">
            <v>162</v>
          </cell>
          <cell r="C171" t="str">
            <v>MADHU SCAN</v>
          </cell>
          <cell r="D171">
            <v>1</v>
          </cell>
          <cell r="E171">
            <v>35703</v>
          </cell>
          <cell r="F171">
            <v>665000</v>
          </cell>
          <cell r="G171">
            <v>16.16</v>
          </cell>
          <cell r="H171" t="str">
            <v>MED SYSTEMS</v>
          </cell>
          <cell r="I171" t="e">
            <v>#REF!</v>
          </cell>
          <cell r="K171">
            <v>15.85</v>
          </cell>
          <cell r="L171">
            <v>13.85</v>
          </cell>
          <cell r="M171">
            <v>0.13849999999999998</v>
          </cell>
          <cell r="N171">
            <v>1.95E-2</v>
          </cell>
          <cell r="O171">
            <v>4.0000000000000001E-3</v>
          </cell>
          <cell r="P171">
            <v>0.11499999999999998</v>
          </cell>
        </row>
        <row r="172">
          <cell r="A172" t="str">
            <v>W00214</v>
          </cell>
          <cell r="B172">
            <v>163</v>
          </cell>
          <cell r="C172" t="str">
            <v>MOULANA HOSPITAL</v>
          </cell>
          <cell r="D172">
            <v>1</v>
          </cell>
          <cell r="E172">
            <v>35703</v>
          </cell>
          <cell r="F172">
            <v>652500</v>
          </cell>
          <cell r="G172">
            <v>16.16</v>
          </cell>
          <cell r="H172" t="str">
            <v>MED SYSTEMS</v>
          </cell>
          <cell r="I172" t="e">
            <v>#REF!</v>
          </cell>
          <cell r="K172">
            <v>15.85</v>
          </cell>
          <cell r="L172">
            <v>13.85</v>
          </cell>
          <cell r="M172">
            <v>0.13849999999999998</v>
          </cell>
          <cell r="N172">
            <v>1.95E-2</v>
          </cell>
          <cell r="O172">
            <v>4.0000000000000001E-3</v>
          </cell>
          <cell r="P172">
            <v>0.11499999999999998</v>
          </cell>
        </row>
        <row r="173">
          <cell r="A173" t="str">
            <v>W00119</v>
          </cell>
          <cell r="B173">
            <v>164</v>
          </cell>
          <cell r="C173" t="str">
            <v>QUEST DIAGNOSTICS</v>
          </cell>
          <cell r="D173">
            <v>1</v>
          </cell>
          <cell r="E173">
            <v>35703</v>
          </cell>
          <cell r="F173">
            <v>391500</v>
          </cell>
          <cell r="G173">
            <v>16.16</v>
          </cell>
          <cell r="H173" t="str">
            <v>MED SYSTEMS</v>
          </cell>
          <cell r="I173" t="e">
            <v>#REF!</v>
          </cell>
          <cell r="K173">
            <v>15.85</v>
          </cell>
          <cell r="L173">
            <v>13.85</v>
          </cell>
          <cell r="M173">
            <v>0.13849999999999998</v>
          </cell>
          <cell r="N173">
            <v>1.95E-2</v>
          </cell>
          <cell r="O173">
            <v>4.0000000000000001E-3</v>
          </cell>
          <cell r="P173">
            <v>0.11499999999999998</v>
          </cell>
        </row>
        <row r="174">
          <cell r="A174" t="str">
            <v>W00057</v>
          </cell>
          <cell r="B174">
            <v>165</v>
          </cell>
          <cell r="C174" t="str">
            <v>BABY MEMORIAL-III</v>
          </cell>
          <cell r="D174">
            <v>3</v>
          </cell>
          <cell r="E174">
            <v>35734</v>
          </cell>
          <cell r="F174">
            <v>3339000</v>
          </cell>
          <cell r="G174">
            <v>15.91</v>
          </cell>
          <cell r="H174" t="str">
            <v>MED SYSTEMS</v>
          </cell>
          <cell r="I174" t="e">
            <v>#REF!</v>
          </cell>
          <cell r="K174">
            <v>15.6</v>
          </cell>
          <cell r="L174">
            <v>14.1</v>
          </cell>
          <cell r="M174">
            <v>0.14099999999999999</v>
          </cell>
          <cell r="N174">
            <v>1.95E-2</v>
          </cell>
          <cell r="O174">
            <v>4.0000000000000001E-3</v>
          </cell>
          <cell r="P174">
            <v>0.11749999999999998</v>
          </cell>
        </row>
        <row r="175">
          <cell r="A175" t="str">
            <v>W00019</v>
          </cell>
          <cell r="B175">
            <v>166</v>
          </cell>
          <cell r="C175" t="str">
            <v>HOSPITA INDIA MEDICAL</v>
          </cell>
          <cell r="D175">
            <v>1</v>
          </cell>
          <cell r="E175">
            <v>35734</v>
          </cell>
          <cell r="F175">
            <v>2548840</v>
          </cell>
          <cell r="G175">
            <v>15.91</v>
          </cell>
          <cell r="H175" t="str">
            <v>MED SYSTEMS</v>
          </cell>
          <cell r="I175" t="e">
            <v>#REF!</v>
          </cell>
          <cell r="K175">
            <v>15.6</v>
          </cell>
          <cell r="L175">
            <v>14.1</v>
          </cell>
          <cell r="M175">
            <v>0.14099999999999999</v>
          </cell>
          <cell r="N175">
            <v>1.95E-2</v>
          </cell>
          <cell r="O175">
            <v>4.0000000000000001E-3</v>
          </cell>
          <cell r="P175">
            <v>0.11749999999999998</v>
          </cell>
        </row>
        <row r="176">
          <cell r="A176" t="str">
            <v>W00205</v>
          </cell>
          <cell r="B176">
            <v>167</v>
          </cell>
          <cell r="C176" t="str">
            <v>KALPANA NURSING HOME</v>
          </cell>
          <cell r="D176">
            <v>1</v>
          </cell>
          <cell r="E176">
            <v>35734</v>
          </cell>
          <cell r="F176">
            <v>1662350</v>
          </cell>
          <cell r="G176">
            <v>15.91</v>
          </cell>
          <cell r="H176" t="str">
            <v>MED SYSTEMS</v>
          </cell>
          <cell r="I176" t="e">
            <v>#REF!</v>
          </cell>
          <cell r="K176">
            <v>15.6</v>
          </cell>
          <cell r="L176">
            <v>14.1</v>
          </cell>
          <cell r="M176">
            <v>0.14099999999999999</v>
          </cell>
          <cell r="N176">
            <v>1.95E-2</v>
          </cell>
          <cell r="O176">
            <v>4.0000000000000001E-3</v>
          </cell>
          <cell r="P176">
            <v>0.11749999999999998</v>
          </cell>
        </row>
        <row r="177">
          <cell r="A177" t="str">
            <v>W00050</v>
          </cell>
          <cell r="B177">
            <v>168</v>
          </cell>
          <cell r="C177" t="str">
            <v>HOSPITA INDIA MEDICAL</v>
          </cell>
          <cell r="D177">
            <v>2</v>
          </cell>
          <cell r="E177">
            <v>35740</v>
          </cell>
          <cell r="F177">
            <v>20998848</v>
          </cell>
          <cell r="G177">
            <v>15.41</v>
          </cell>
          <cell r="H177" t="str">
            <v>MED SYSTEMS</v>
          </cell>
          <cell r="I177" t="e">
            <v>#REF!</v>
          </cell>
          <cell r="K177">
            <v>15.1</v>
          </cell>
          <cell r="L177">
            <v>14.1</v>
          </cell>
          <cell r="M177">
            <v>0.14099999999999999</v>
          </cell>
          <cell r="N177">
            <v>1.95E-2</v>
          </cell>
          <cell r="O177">
            <v>4.0000000000000001E-3</v>
          </cell>
          <cell r="P177">
            <v>0.11749999999999998</v>
          </cell>
        </row>
        <row r="178">
          <cell r="A178" t="str">
            <v>W00080</v>
          </cell>
          <cell r="B178">
            <v>169</v>
          </cell>
          <cell r="C178" t="str">
            <v>CARDIOVASCULAR</v>
          </cell>
          <cell r="D178">
            <v>1</v>
          </cell>
          <cell r="E178">
            <v>35754</v>
          </cell>
          <cell r="F178">
            <v>31717805</v>
          </cell>
          <cell r="G178">
            <v>15.41</v>
          </cell>
          <cell r="H178" t="str">
            <v>MED SYSTEMS</v>
          </cell>
          <cell r="I178" t="e">
            <v>#REF!</v>
          </cell>
          <cell r="K178">
            <v>15.1</v>
          </cell>
          <cell r="L178">
            <v>14.1</v>
          </cell>
          <cell r="M178">
            <v>0.14099999999999999</v>
          </cell>
          <cell r="N178">
            <v>1.95E-2</v>
          </cell>
          <cell r="O178">
            <v>4.0000000000000001E-3</v>
          </cell>
          <cell r="P178">
            <v>0.11749999999999998</v>
          </cell>
        </row>
        <row r="179">
          <cell r="A179" t="str">
            <v>W00190</v>
          </cell>
          <cell r="B179">
            <v>170</v>
          </cell>
          <cell r="C179" t="str">
            <v>MEDICAVE</v>
          </cell>
          <cell r="D179">
            <v>1</v>
          </cell>
          <cell r="E179">
            <v>35754</v>
          </cell>
          <cell r="F179">
            <v>2385240</v>
          </cell>
          <cell r="G179">
            <v>15.41</v>
          </cell>
          <cell r="H179" t="str">
            <v>MED SYSTEMS</v>
          </cell>
          <cell r="I179" t="e">
            <v>#REF!</v>
          </cell>
          <cell r="K179">
            <v>15.1</v>
          </cell>
          <cell r="L179">
            <v>14.1</v>
          </cell>
          <cell r="M179">
            <v>0.14099999999999999</v>
          </cell>
          <cell r="N179">
            <v>1.95E-2</v>
          </cell>
          <cell r="O179">
            <v>4.0000000000000001E-3</v>
          </cell>
          <cell r="P179">
            <v>0.11749999999999998</v>
          </cell>
        </row>
        <row r="180">
          <cell r="A180" t="str">
            <v>W00137</v>
          </cell>
          <cell r="B180">
            <v>171</v>
          </cell>
          <cell r="C180" t="str">
            <v>P V N MURTHY</v>
          </cell>
          <cell r="D180">
            <v>1</v>
          </cell>
          <cell r="E180">
            <v>35754</v>
          </cell>
          <cell r="F180">
            <v>661500</v>
          </cell>
          <cell r="G180">
            <v>15.41</v>
          </cell>
          <cell r="H180" t="str">
            <v>MED SYSTEMS</v>
          </cell>
          <cell r="I180" t="e">
            <v>#REF!</v>
          </cell>
          <cell r="K180">
            <v>15.1</v>
          </cell>
          <cell r="L180">
            <v>14.1</v>
          </cell>
          <cell r="M180">
            <v>0.14099999999999999</v>
          </cell>
          <cell r="N180">
            <v>1.95E-2</v>
          </cell>
          <cell r="O180">
            <v>4.0000000000000001E-3</v>
          </cell>
          <cell r="P180">
            <v>0.11749999999999998</v>
          </cell>
        </row>
        <row r="181">
          <cell r="A181" t="str">
            <v>W00043</v>
          </cell>
          <cell r="B181">
            <v>172</v>
          </cell>
          <cell r="C181" t="str">
            <v>EKO DIAGNOSTICS</v>
          </cell>
          <cell r="D181">
            <v>1</v>
          </cell>
          <cell r="E181">
            <v>35756</v>
          </cell>
          <cell r="F181">
            <v>11020000</v>
          </cell>
          <cell r="G181">
            <v>15.41</v>
          </cell>
          <cell r="H181" t="str">
            <v>MED SYSTEMS</v>
          </cell>
          <cell r="I181" t="e">
            <v>#REF!</v>
          </cell>
          <cell r="K181">
            <v>15.1</v>
          </cell>
          <cell r="L181">
            <v>14.1</v>
          </cell>
          <cell r="M181">
            <v>0.14099999999999999</v>
          </cell>
          <cell r="N181">
            <v>1.95E-2</v>
          </cell>
          <cell r="O181">
            <v>4.0000000000000001E-3</v>
          </cell>
          <cell r="P181">
            <v>0.11749999999999998</v>
          </cell>
        </row>
        <row r="182">
          <cell r="A182" t="str">
            <v>W00195</v>
          </cell>
          <cell r="B182">
            <v>173</v>
          </cell>
          <cell r="C182" t="str">
            <v>EKO PROSPEED CT</v>
          </cell>
          <cell r="D182">
            <v>1</v>
          </cell>
          <cell r="E182">
            <v>35756</v>
          </cell>
          <cell r="F182">
            <v>16497540</v>
          </cell>
          <cell r="G182">
            <v>15.41</v>
          </cell>
          <cell r="H182" t="str">
            <v>MED SYSTEMS</v>
          </cell>
          <cell r="I182" t="e">
            <v>#REF!</v>
          </cell>
          <cell r="K182">
            <v>15.1</v>
          </cell>
          <cell r="L182">
            <v>14.1</v>
          </cell>
          <cell r="M182">
            <v>0.14099999999999999</v>
          </cell>
          <cell r="N182">
            <v>1.95E-2</v>
          </cell>
          <cell r="O182">
            <v>4.0000000000000001E-3</v>
          </cell>
          <cell r="P182">
            <v>0.11749999999999998</v>
          </cell>
        </row>
        <row r="183">
          <cell r="A183" t="str">
            <v>W00163</v>
          </cell>
          <cell r="B183">
            <v>174</v>
          </cell>
          <cell r="C183" t="str">
            <v>K L ANAND(revised in sep 98)</v>
          </cell>
          <cell r="D183">
            <v>1</v>
          </cell>
          <cell r="E183">
            <v>35756</v>
          </cell>
          <cell r="F183">
            <v>21500000</v>
          </cell>
          <cell r="G183">
            <v>15.41</v>
          </cell>
          <cell r="H183" t="str">
            <v>MED SYSTEMS</v>
          </cell>
          <cell r="I183" t="e">
            <v>#REF!</v>
          </cell>
          <cell r="K183">
            <v>15.1</v>
          </cell>
          <cell r="L183">
            <v>14.1</v>
          </cell>
          <cell r="M183">
            <v>0.14099999999999999</v>
          </cell>
          <cell r="N183">
            <v>1.95E-2</v>
          </cell>
          <cell r="O183">
            <v>4.0000000000000001E-3</v>
          </cell>
          <cell r="P183">
            <v>0.11749999999999998</v>
          </cell>
        </row>
        <row r="184">
          <cell r="A184" t="str">
            <v>W00196</v>
          </cell>
          <cell r="B184">
            <v>175</v>
          </cell>
          <cell r="C184" t="str">
            <v>Masih XRay Centre</v>
          </cell>
          <cell r="D184">
            <v>2</v>
          </cell>
          <cell r="E184">
            <v>35756</v>
          </cell>
          <cell r="F184">
            <v>459000</v>
          </cell>
          <cell r="G184">
            <v>15.41</v>
          </cell>
          <cell r="H184" t="str">
            <v>MED SYSTEMS</v>
          </cell>
          <cell r="I184" t="e">
            <v>#REF!</v>
          </cell>
          <cell r="K184">
            <v>15.1</v>
          </cell>
          <cell r="L184">
            <v>14.1</v>
          </cell>
          <cell r="M184">
            <v>0.14099999999999999</v>
          </cell>
          <cell r="N184">
            <v>1.95E-2</v>
          </cell>
          <cell r="O184">
            <v>4.0000000000000001E-3</v>
          </cell>
          <cell r="P184">
            <v>0.11749999999999998</v>
          </cell>
        </row>
        <row r="185">
          <cell r="A185" t="str">
            <v>W00012</v>
          </cell>
          <cell r="B185">
            <v>176</v>
          </cell>
          <cell r="C185" t="str">
            <v>COMPUTER RADIODIAGNOSTICS</v>
          </cell>
          <cell r="D185">
            <v>1</v>
          </cell>
          <cell r="E185">
            <v>35770</v>
          </cell>
          <cell r="F185">
            <v>6624000</v>
          </cell>
          <cell r="G185">
            <v>0</v>
          </cell>
          <cell r="H185" t="str">
            <v>MED SYSTEMS</v>
          </cell>
          <cell r="I185" t="e">
            <v>#REF!</v>
          </cell>
          <cell r="K185">
            <v>15.1</v>
          </cell>
          <cell r="L185">
            <v>14.1</v>
          </cell>
          <cell r="M185">
            <v>0.14099999999999999</v>
          </cell>
          <cell r="N185">
            <v>1.95E-2</v>
          </cell>
          <cell r="O185">
            <v>4.0000000000000001E-3</v>
          </cell>
          <cell r="P185">
            <v>0.11749999999999998</v>
          </cell>
        </row>
        <row r="186">
          <cell r="A186" t="str">
            <v>W00131</v>
          </cell>
          <cell r="B186">
            <v>177</v>
          </cell>
          <cell r="C186" t="str">
            <v>EKO DIAGNOSTICS</v>
          </cell>
          <cell r="D186">
            <v>2</v>
          </cell>
          <cell r="E186">
            <v>35770</v>
          </cell>
          <cell r="F186">
            <v>1943460</v>
          </cell>
          <cell r="G186">
            <v>15.41</v>
          </cell>
          <cell r="H186" t="str">
            <v>MED SYSTEMS</v>
          </cell>
          <cell r="I186" t="e">
            <v>#REF!</v>
          </cell>
          <cell r="K186">
            <v>15.1</v>
          </cell>
          <cell r="L186">
            <v>14.1</v>
          </cell>
          <cell r="M186">
            <v>0.14099999999999999</v>
          </cell>
          <cell r="N186">
            <v>1.95E-2</v>
          </cell>
          <cell r="O186">
            <v>4.0000000000000001E-3</v>
          </cell>
          <cell r="P186">
            <v>0.11749999999999998</v>
          </cell>
        </row>
        <row r="187">
          <cell r="A187" t="str">
            <v>W00100</v>
          </cell>
          <cell r="B187">
            <v>178</v>
          </cell>
          <cell r="C187" t="str">
            <v>MEDICAVE DIAGNOSTICS</v>
          </cell>
          <cell r="D187">
            <v>2</v>
          </cell>
          <cell r="E187">
            <v>35780</v>
          </cell>
          <cell r="F187">
            <v>11487454</v>
          </cell>
          <cell r="G187">
            <v>15.41</v>
          </cell>
          <cell r="H187" t="str">
            <v>MED SYSTEMS</v>
          </cell>
          <cell r="I187" t="e">
            <v>#REF!</v>
          </cell>
          <cell r="K187">
            <v>15.1</v>
          </cell>
          <cell r="L187">
            <v>14.1</v>
          </cell>
          <cell r="M187">
            <v>0.14099999999999999</v>
          </cell>
          <cell r="N187">
            <v>1.95E-2</v>
          </cell>
          <cell r="O187">
            <v>4.0000000000000001E-3</v>
          </cell>
          <cell r="P187">
            <v>0.11749999999999998</v>
          </cell>
        </row>
        <row r="188">
          <cell r="A188" t="str">
            <v>W00502</v>
          </cell>
          <cell r="B188">
            <v>179</v>
          </cell>
          <cell r="C188" t="str">
            <v>BHUVAN XRAY(foreclosed in august 99)</v>
          </cell>
          <cell r="D188">
            <v>1</v>
          </cell>
          <cell r="E188">
            <v>35788</v>
          </cell>
          <cell r="F188">
            <v>3860000</v>
          </cell>
          <cell r="G188">
            <v>15.41</v>
          </cell>
          <cell r="H188" t="str">
            <v>MED SYSTEMS</v>
          </cell>
          <cell r="I188" t="e">
            <v>#REF!</v>
          </cell>
          <cell r="K188">
            <v>15.1</v>
          </cell>
          <cell r="L188">
            <v>14.1</v>
          </cell>
          <cell r="M188">
            <v>0.14099999999999999</v>
          </cell>
          <cell r="N188">
            <v>1.95E-2</v>
          </cell>
          <cell r="O188">
            <v>4.0000000000000001E-3</v>
          </cell>
          <cell r="P188">
            <v>0.11749999999999998</v>
          </cell>
        </row>
        <row r="189">
          <cell r="A189" t="str">
            <v>W00505</v>
          </cell>
          <cell r="B189">
            <v>180</v>
          </cell>
          <cell r="C189" t="str">
            <v>HOSPITA INDIA MEDICAL</v>
          </cell>
          <cell r="D189">
            <v>3</v>
          </cell>
          <cell r="E189">
            <v>35788</v>
          </cell>
          <cell r="F189">
            <v>8122752</v>
          </cell>
          <cell r="G189">
            <v>15.41</v>
          </cell>
          <cell r="H189" t="str">
            <v>MED SYSTEMS</v>
          </cell>
          <cell r="I189" t="e">
            <v>#REF!</v>
          </cell>
          <cell r="K189">
            <v>15.1</v>
          </cell>
          <cell r="L189">
            <v>14.1</v>
          </cell>
          <cell r="M189">
            <v>0.14099999999999999</v>
          </cell>
          <cell r="N189">
            <v>1.95E-2</v>
          </cell>
          <cell r="O189">
            <v>4.0000000000000001E-3</v>
          </cell>
          <cell r="P189">
            <v>0.11749999999999998</v>
          </cell>
        </row>
        <row r="190">
          <cell r="A190" t="str">
            <v>W00506</v>
          </cell>
          <cell r="B190">
            <v>181</v>
          </cell>
          <cell r="C190" t="str">
            <v>MOIDU'S MEDICARE</v>
          </cell>
          <cell r="D190">
            <v>2</v>
          </cell>
          <cell r="E190">
            <v>35788</v>
          </cell>
          <cell r="F190">
            <v>2082500</v>
          </cell>
          <cell r="G190">
            <v>15.41</v>
          </cell>
          <cell r="H190" t="str">
            <v>MED SYSTEMS</v>
          </cell>
          <cell r="I190" t="e">
            <v>#REF!</v>
          </cell>
          <cell r="K190">
            <v>15.1</v>
          </cell>
          <cell r="L190">
            <v>14.1</v>
          </cell>
          <cell r="M190">
            <v>0.14099999999999999</v>
          </cell>
          <cell r="N190">
            <v>1.95E-2</v>
          </cell>
          <cell r="O190">
            <v>4.0000000000000001E-3</v>
          </cell>
          <cell r="P190">
            <v>0.11749999999999998</v>
          </cell>
        </row>
        <row r="191">
          <cell r="A191" t="str">
            <v>W00501</v>
          </cell>
          <cell r="B191">
            <v>182</v>
          </cell>
          <cell r="C191" t="str">
            <v>POSITIVE HEALTH CARE</v>
          </cell>
          <cell r="D191">
            <v>1</v>
          </cell>
          <cell r="E191">
            <v>35788</v>
          </cell>
          <cell r="F191">
            <v>693500</v>
          </cell>
          <cell r="G191">
            <v>15.41</v>
          </cell>
          <cell r="H191" t="str">
            <v>MED SYSTEMS</v>
          </cell>
          <cell r="I191" t="e">
            <v>#REF!</v>
          </cell>
          <cell r="K191">
            <v>15.1</v>
          </cell>
          <cell r="L191">
            <v>14.1</v>
          </cell>
          <cell r="M191">
            <v>0.14099999999999999</v>
          </cell>
          <cell r="N191">
            <v>1.95E-2</v>
          </cell>
          <cell r="O191">
            <v>4.0000000000000001E-3</v>
          </cell>
          <cell r="P191">
            <v>0.11749999999999998</v>
          </cell>
        </row>
        <row r="192">
          <cell r="A192" t="str">
            <v>W00047</v>
          </cell>
          <cell r="B192">
            <v>183</v>
          </cell>
          <cell r="C192" t="str">
            <v>BELLARY HEALTH CARE</v>
          </cell>
          <cell r="D192">
            <v>1</v>
          </cell>
          <cell r="E192">
            <v>35794</v>
          </cell>
          <cell r="F192">
            <v>4600000</v>
          </cell>
          <cell r="G192">
            <v>15.41</v>
          </cell>
          <cell r="H192" t="str">
            <v>MED SYSTEMS</v>
          </cell>
          <cell r="I192" t="e">
            <v>#REF!</v>
          </cell>
          <cell r="K192">
            <v>15.1</v>
          </cell>
          <cell r="L192">
            <v>14.1</v>
          </cell>
          <cell r="M192">
            <v>0.14099999999999999</v>
          </cell>
          <cell r="N192">
            <v>1.95E-2</v>
          </cell>
          <cell r="O192">
            <v>4.0000000000000001E-3</v>
          </cell>
          <cell r="P192">
            <v>0.11749999999999998</v>
          </cell>
        </row>
        <row r="193">
          <cell r="A193" t="e">
            <v>#N/A</v>
          </cell>
          <cell r="B193">
            <v>184</v>
          </cell>
          <cell r="C193" t="str">
            <v>THOMAS CHANDY</v>
          </cell>
          <cell r="D193">
            <v>1</v>
          </cell>
          <cell r="E193">
            <v>35794</v>
          </cell>
          <cell r="F193">
            <v>1045000</v>
          </cell>
          <cell r="G193">
            <v>0</v>
          </cell>
          <cell r="H193" t="str">
            <v>MED SYSTEMS</v>
          </cell>
          <cell r="I193" t="e">
            <v>#REF!</v>
          </cell>
          <cell r="K193">
            <v>15.1</v>
          </cell>
          <cell r="L193">
            <v>14.1</v>
          </cell>
          <cell r="M193">
            <v>0.14099999999999999</v>
          </cell>
          <cell r="N193">
            <v>1.95E-2</v>
          </cell>
          <cell r="O193">
            <v>4.0000000000000001E-3</v>
          </cell>
          <cell r="P193">
            <v>0.11749999999999998</v>
          </cell>
        </row>
        <row r="194">
          <cell r="A194" t="str">
            <v>W00105</v>
          </cell>
          <cell r="B194">
            <v>185</v>
          </cell>
          <cell r="C194" t="str">
            <v>I S VIRDI</v>
          </cell>
          <cell r="D194">
            <v>1</v>
          </cell>
          <cell r="E194">
            <v>35794</v>
          </cell>
          <cell r="F194">
            <v>2070000</v>
          </cell>
          <cell r="G194">
            <v>15.41</v>
          </cell>
          <cell r="H194" t="str">
            <v>MED SYSTEMS</v>
          </cell>
          <cell r="I194" t="e">
            <v>#REF!</v>
          </cell>
          <cell r="K194">
            <v>15.1</v>
          </cell>
          <cell r="L194">
            <v>14.1</v>
          </cell>
          <cell r="M194">
            <v>0.14099999999999999</v>
          </cell>
          <cell r="N194">
            <v>1.95E-2</v>
          </cell>
          <cell r="O194">
            <v>4.0000000000000001E-3</v>
          </cell>
          <cell r="P194">
            <v>0.11749999999999998</v>
          </cell>
        </row>
        <row r="195">
          <cell r="A195" t="str">
            <v>W00106</v>
          </cell>
          <cell r="B195">
            <v>186</v>
          </cell>
          <cell r="C195" t="str">
            <v>MEENAKSHI DAS</v>
          </cell>
          <cell r="D195">
            <v>3</v>
          </cell>
          <cell r="E195">
            <v>35794</v>
          </cell>
          <cell r="F195">
            <v>2397500</v>
          </cell>
          <cell r="G195">
            <v>15.41</v>
          </cell>
          <cell r="H195" t="str">
            <v>MED SYSTEMS</v>
          </cell>
          <cell r="I195" t="e">
            <v>#REF!</v>
          </cell>
          <cell r="K195">
            <v>15.1</v>
          </cell>
          <cell r="L195">
            <v>14.1</v>
          </cell>
          <cell r="M195">
            <v>0.14099999999999999</v>
          </cell>
          <cell r="N195">
            <v>1.95E-2</v>
          </cell>
          <cell r="O195">
            <v>4.0000000000000001E-3</v>
          </cell>
          <cell r="P195">
            <v>0.11749999999999998</v>
          </cell>
        </row>
        <row r="196">
          <cell r="A196" t="str">
            <v>W00107</v>
          </cell>
          <cell r="B196">
            <v>187</v>
          </cell>
          <cell r="C196" t="str">
            <v>NORTH BENGAL NURSING</v>
          </cell>
          <cell r="D196">
            <v>1</v>
          </cell>
          <cell r="E196">
            <v>35794</v>
          </cell>
          <cell r="F196">
            <v>565250</v>
          </cell>
          <cell r="G196">
            <v>15.41</v>
          </cell>
          <cell r="H196" t="str">
            <v>MED SYSTEMS</v>
          </cell>
          <cell r="I196" t="e">
            <v>#REF!</v>
          </cell>
          <cell r="K196">
            <v>15.1</v>
          </cell>
          <cell r="L196">
            <v>14.1</v>
          </cell>
          <cell r="M196">
            <v>0.14099999999999999</v>
          </cell>
          <cell r="N196">
            <v>1.95E-2</v>
          </cell>
          <cell r="O196">
            <v>4.0000000000000001E-3</v>
          </cell>
          <cell r="P196">
            <v>0.11749999999999998</v>
          </cell>
        </row>
        <row r="197">
          <cell r="A197" t="str">
            <v>W00058</v>
          </cell>
          <cell r="B197">
            <v>188</v>
          </cell>
          <cell r="C197" t="str">
            <v>TRICHY PREMIER CT SCANS( Forcl. In Jan00)</v>
          </cell>
          <cell r="D197">
            <v>1</v>
          </cell>
          <cell r="E197">
            <v>35794</v>
          </cell>
          <cell r="F197">
            <v>20000000</v>
          </cell>
          <cell r="G197">
            <v>15.41</v>
          </cell>
          <cell r="H197" t="str">
            <v>MED SYSTEMS</v>
          </cell>
          <cell r="I197" t="e">
            <v>#REF!</v>
          </cell>
          <cell r="K197">
            <v>15.1</v>
          </cell>
          <cell r="L197">
            <v>14.1</v>
          </cell>
          <cell r="M197">
            <v>0.14099999999999999</v>
          </cell>
          <cell r="N197">
            <v>1.95E-2</v>
          </cell>
          <cell r="O197">
            <v>4.0000000000000001E-3</v>
          </cell>
          <cell r="P197">
            <v>0.11749999999999998</v>
          </cell>
        </row>
        <row r="198">
          <cell r="A198" t="str">
            <v>W00503</v>
          </cell>
          <cell r="B198">
            <v>189</v>
          </cell>
          <cell r="C198" t="str">
            <v>GALAV SCAN CENTRE</v>
          </cell>
          <cell r="D198">
            <v>1</v>
          </cell>
          <cell r="E198">
            <v>35815</v>
          </cell>
          <cell r="F198">
            <v>5177500</v>
          </cell>
          <cell r="G198">
            <v>15.66</v>
          </cell>
          <cell r="H198" t="str">
            <v>MED SYSTEMS</v>
          </cell>
          <cell r="I198" t="e">
            <v>#REF!</v>
          </cell>
          <cell r="K198">
            <v>15.35</v>
          </cell>
          <cell r="M198">
            <v>0.1535</v>
          </cell>
          <cell r="N198">
            <v>1.95E-2</v>
          </cell>
          <cell r="O198">
            <v>4.0000000000000001E-3</v>
          </cell>
          <cell r="P198">
            <v>0.13</v>
          </cell>
        </row>
        <row r="199">
          <cell r="A199" t="str">
            <v>W00154</v>
          </cell>
          <cell r="B199">
            <v>190</v>
          </cell>
          <cell r="C199" t="str">
            <v>MOIDU'S MEDICARE PVT LTD</v>
          </cell>
          <cell r="D199">
            <v>3</v>
          </cell>
          <cell r="E199">
            <v>35857</v>
          </cell>
          <cell r="F199">
            <v>19579000</v>
          </cell>
          <cell r="G199">
            <v>15.91</v>
          </cell>
          <cell r="H199" t="str">
            <v>MED SYSTEMS</v>
          </cell>
          <cell r="I199" t="e">
            <v>#REF!</v>
          </cell>
          <cell r="K199">
            <v>15.6</v>
          </cell>
          <cell r="M199">
            <v>0.156</v>
          </cell>
          <cell r="N199">
            <v>1.95E-2</v>
          </cell>
          <cell r="O199">
            <v>4.0000000000000001E-3</v>
          </cell>
          <cell r="P199">
            <v>0.13250000000000001</v>
          </cell>
        </row>
        <row r="200">
          <cell r="A200" t="str">
            <v>W00153</v>
          </cell>
          <cell r="B200">
            <v>191</v>
          </cell>
          <cell r="C200" t="str">
            <v>SUBURBAN SONO CLINIC</v>
          </cell>
          <cell r="D200">
            <v>1</v>
          </cell>
          <cell r="E200">
            <v>35857</v>
          </cell>
          <cell r="F200">
            <v>2340000</v>
          </cell>
          <cell r="G200">
            <v>15.91</v>
          </cell>
          <cell r="H200" t="str">
            <v>MED SYSTEMS</v>
          </cell>
          <cell r="I200" t="e">
            <v>#REF!</v>
          </cell>
          <cell r="K200">
            <v>15.6</v>
          </cell>
          <cell r="M200">
            <v>0.156</v>
          </cell>
          <cell r="N200">
            <v>1.95E-2</v>
          </cell>
          <cell r="O200">
            <v>4.0000000000000001E-3</v>
          </cell>
          <cell r="P200">
            <v>0.13250000000000001</v>
          </cell>
        </row>
        <row r="201">
          <cell r="A201" t="str">
            <v>W00126</v>
          </cell>
          <cell r="B201">
            <v>192</v>
          </cell>
          <cell r="C201" t="str">
            <v>ULTRASOUND CENTRE</v>
          </cell>
          <cell r="D201">
            <v>1</v>
          </cell>
          <cell r="E201">
            <v>35857</v>
          </cell>
          <cell r="F201">
            <v>1593000</v>
          </cell>
          <cell r="G201">
            <v>0</v>
          </cell>
          <cell r="H201" t="str">
            <v>MED SYSTEMS</v>
          </cell>
          <cell r="I201" t="e">
            <v>#REF!</v>
          </cell>
          <cell r="K201">
            <v>15.6</v>
          </cell>
          <cell r="M201">
            <v>0.156</v>
          </cell>
          <cell r="N201">
            <v>1.95E-2</v>
          </cell>
          <cell r="O201">
            <v>4.0000000000000001E-3</v>
          </cell>
          <cell r="P201">
            <v>0.13250000000000001</v>
          </cell>
        </row>
        <row r="202">
          <cell r="A202" t="str">
            <v>W00074</v>
          </cell>
          <cell r="B202">
            <v>193</v>
          </cell>
          <cell r="C202" t="str">
            <v>VIJAYA MEDICAL CENTRE</v>
          </cell>
          <cell r="D202">
            <v>2</v>
          </cell>
          <cell r="E202">
            <v>35857</v>
          </cell>
          <cell r="F202">
            <v>1722000</v>
          </cell>
          <cell r="G202">
            <v>15.91</v>
          </cell>
          <cell r="H202" t="str">
            <v>MED SYSTEMS</v>
          </cell>
          <cell r="I202" t="e">
            <v>#REF!</v>
          </cell>
          <cell r="K202">
            <v>15.6</v>
          </cell>
          <cell r="M202">
            <v>0.156</v>
          </cell>
          <cell r="N202">
            <v>1.95E-2</v>
          </cell>
          <cell r="O202">
            <v>4.0000000000000001E-3</v>
          </cell>
          <cell r="P202">
            <v>0.13250000000000001</v>
          </cell>
        </row>
        <row r="203">
          <cell r="A203" t="str">
            <v>W00001</v>
          </cell>
          <cell r="B203">
            <v>194</v>
          </cell>
          <cell r="C203" t="str">
            <v>BAHULEYAN CHARITABLE HOSPITAL</v>
          </cell>
          <cell r="D203">
            <v>1</v>
          </cell>
          <cell r="E203">
            <v>35881</v>
          </cell>
          <cell r="F203">
            <v>2604547</v>
          </cell>
          <cell r="G203">
            <v>0</v>
          </cell>
          <cell r="H203" t="str">
            <v>MED SYSTEMS</v>
          </cell>
          <cell r="I203" t="e">
            <v>#REF!</v>
          </cell>
          <cell r="K203">
            <v>15.6</v>
          </cell>
          <cell r="M203">
            <v>0.156</v>
          </cell>
          <cell r="N203">
            <v>1.95E-2</v>
          </cell>
          <cell r="O203">
            <v>4.0000000000000001E-3</v>
          </cell>
          <cell r="P203">
            <v>0.13250000000000001</v>
          </cell>
        </row>
        <row r="204">
          <cell r="A204" t="str">
            <v>W00009</v>
          </cell>
          <cell r="B204">
            <v>195</v>
          </cell>
          <cell r="C204" t="str">
            <v>COCOON MARKETING</v>
          </cell>
          <cell r="D204">
            <v>1</v>
          </cell>
          <cell r="E204">
            <v>35881</v>
          </cell>
          <cell r="F204">
            <v>516150</v>
          </cell>
          <cell r="G204">
            <v>0</v>
          </cell>
          <cell r="H204" t="str">
            <v>MED SYSTEMS</v>
          </cell>
          <cell r="I204" t="e">
            <v>#REF!</v>
          </cell>
          <cell r="K204">
            <v>15.6</v>
          </cell>
          <cell r="M204">
            <v>0.156</v>
          </cell>
          <cell r="N204">
            <v>1.95E-2</v>
          </cell>
          <cell r="O204">
            <v>4.0000000000000001E-3</v>
          </cell>
          <cell r="P204">
            <v>0.13250000000000001</v>
          </cell>
        </row>
        <row r="205">
          <cell r="A205" t="str">
            <v>W00006</v>
          </cell>
          <cell r="B205">
            <v>196</v>
          </cell>
          <cell r="C205" t="str">
            <v>COCOON MARKETING</v>
          </cell>
          <cell r="D205">
            <v>2</v>
          </cell>
          <cell r="E205">
            <v>35881</v>
          </cell>
          <cell r="F205">
            <v>381150</v>
          </cell>
          <cell r="G205">
            <v>0</v>
          </cell>
          <cell r="H205" t="str">
            <v>MED SYSTEMS</v>
          </cell>
          <cell r="I205" t="e">
            <v>#REF!</v>
          </cell>
          <cell r="K205">
            <v>15.6</v>
          </cell>
          <cell r="M205">
            <v>0.156</v>
          </cell>
          <cell r="N205">
            <v>1.95E-2</v>
          </cell>
          <cell r="O205">
            <v>4.0000000000000001E-3</v>
          </cell>
          <cell r="P205">
            <v>0.13250000000000001</v>
          </cell>
        </row>
        <row r="206">
          <cell r="A206" t="str">
            <v>W00007</v>
          </cell>
          <cell r="B206">
            <v>197</v>
          </cell>
          <cell r="C206" t="str">
            <v>COCOON MARKETING</v>
          </cell>
          <cell r="D206">
            <v>3</v>
          </cell>
          <cell r="E206">
            <v>35881</v>
          </cell>
          <cell r="F206">
            <v>346500</v>
          </cell>
          <cell r="G206">
            <v>0</v>
          </cell>
          <cell r="H206" t="str">
            <v>MED SYSTEMS</v>
          </cell>
          <cell r="I206" t="e">
            <v>#REF!</v>
          </cell>
          <cell r="K206">
            <v>15.6</v>
          </cell>
          <cell r="M206">
            <v>0.156</v>
          </cell>
          <cell r="N206">
            <v>1.95E-2</v>
          </cell>
          <cell r="O206">
            <v>4.0000000000000001E-3</v>
          </cell>
          <cell r="P206">
            <v>0.13250000000000001</v>
          </cell>
        </row>
        <row r="207">
          <cell r="A207" t="str">
            <v>W00007</v>
          </cell>
          <cell r="B207">
            <v>198</v>
          </cell>
          <cell r="C207" t="str">
            <v>COCOON MARKETING</v>
          </cell>
          <cell r="D207">
            <v>4</v>
          </cell>
          <cell r="E207">
            <v>35881</v>
          </cell>
          <cell r="F207">
            <v>346500</v>
          </cell>
          <cell r="G207">
            <v>0</v>
          </cell>
          <cell r="H207" t="str">
            <v>MED SYSTEMS</v>
          </cell>
          <cell r="I207" t="e">
            <v>#REF!</v>
          </cell>
          <cell r="K207">
            <v>15.6</v>
          </cell>
          <cell r="M207">
            <v>0.156</v>
          </cell>
          <cell r="N207">
            <v>1.95E-2</v>
          </cell>
          <cell r="O207">
            <v>4.0000000000000001E-3</v>
          </cell>
          <cell r="P207">
            <v>0.13250000000000001</v>
          </cell>
        </row>
        <row r="208">
          <cell r="A208" t="str">
            <v>W00052</v>
          </cell>
          <cell r="B208">
            <v>199</v>
          </cell>
          <cell r="C208" t="str">
            <v>AJIT BARUAH</v>
          </cell>
          <cell r="D208">
            <v>1</v>
          </cell>
          <cell r="E208">
            <v>35881</v>
          </cell>
          <cell r="F208">
            <v>609300</v>
          </cell>
          <cell r="G208">
            <v>0</v>
          </cell>
          <cell r="H208" t="str">
            <v>MED SYSTEMS</v>
          </cell>
          <cell r="I208" t="e">
            <v>#REF!</v>
          </cell>
          <cell r="K208">
            <v>15.6</v>
          </cell>
          <cell r="M208">
            <v>0.156</v>
          </cell>
          <cell r="N208">
            <v>1.95E-2</v>
          </cell>
          <cell r="O208">
            <v>4.0000000000000001E-3</v>
          </cell>
          <cell r="P208">
            <v>0.13250000000000001</v>
          </cell>
        </row>
        <row r="209">
          <cell r="A209" t="str">
            <v>W00129</v>
          </cell>
          <cell r="B209">
            <v>200</v>
          </cell>
          <cell r="C209" t="str">
            <v>GHODKE</v>
          </cell>
          <cell r="D209">
            <v>1</v>
          </cell>
          <cell r="E209">
            <v>35881</v>
          </cell>
          <cell r="F209">
            <v>468730</v>
          </cell>
          <cell r="G209">
            <v>15.91</v>
          </cell>
          <cell r="H209" t="str">
            <v>MED SYSTEMS</v>
          </cell>
          <cell r="I209" t="e">
            <v>#REF!</v>
          </cell>
          <cell r="J209">
            <v>10420.31792219178</v>
          </cell>
          <cell r="K209">
            <v>15.6</v>
          </cell>
          <cell r="M209">
            <v>0.156</v>
          </cell>
          <cell r="N209">
            <v>1.95E-2</v>
          </cell>
          <cell r="O209">
            <v>4.0000000000000001E-3</v>
          </cell>
          <cell r="P209">
            <v>0.13250000000000001</v>
          </cell>
        </row>
        <row r="210">
          <cell r="A210" t="str">
            <v>W00211</v>
          </cell>
          <cell r="B210">
            <v>201</v>
          </cell>
          <cell r="C210" t="str">
            <v>JAYARAM NAIDU</v>
          </cell>
          <cell r="D210">
            <v>1</v>
          </cell>
          <cell r="E210">
            <v>35881</v>
          </cell>
          <cell r="F210">
            <v>171026</v>
          </cell>
          <cell r="G210">
            <v>15.91</v>
          </cell>
          <cell r="H210" t="str">
            <v>MED SYSTEMS</v>
          </cell>
          <cell r="I210" t="e">
            <v>#REF!</v>
          </cell>
          <cell r="J210">
            <v>5465.8693041095894</v>
          </cell>
          <cell r="K210">
            <v>15.6</v>
          </cell>
          <cell r="M210">
            <v>0.156</v>
          </cell>
          <cell r="N210">
            <v>1.95E-2</v>
          </cell>
          <cell r="O210">
            <v>4.0000000000000001E-3</v>
          </cell>
          <cell r="P210">
            <v>0.13250000000000001</v>
          </cell>
        </row>
        <row r="211">
          <cell r="A211" t="str">
            <v>W00159</v>
          </cell>
          <cell r="B211">
            <v>202</v>
          </cell>
          <cell r="C211" t="str">
            <v>S KALAVATHI</v>
          </cell>
          <cell r="D211">
            <v>1</v>
          </cell>
          <cell r="E211">
            <v>35881</v>
          </cell>
          <cell r="F211">
            <v>700000</v>
          </cell>
          <cell r="G211">
            <v>15.91</v>
          </cell>
          <cell r="H211" t="str">
            <v>MED SYSTEMS</v>
          </cell>
          <cell r="I211" t="e">
            <v>#REF!</v>
          </cell>
          <cell r="K211">
            <v>15.6</v>
          </cell>
          <cell r="M211">
            <v>0.156</v>
          </cell>
          <cell r="N211">
            <v>1.95E-2</v>
          </cell>
          <cell r="O211">
            <v>4.0000000000000001E-3</v>
          </cell>
          <cell r="P211">
            <v>0.13250000000000001</v>
          </cell>
        </row>
        <row r="212">
          <cell r="A212" t="str">
            <v>W00097</v>
          </cell>
          <cell r="B212">
            <v>203</v>
          </cell>
          <cell r="C212" t="str">
            <v>GANGA SCANS</v>
          </cell>
          <cell r="D212">
            <v>1</v>
          </cell>
          <cell r="E212">
            <v>35881</v>
          </cell>
          <cell r="F212">
            <v>6251280</v>
          </cell>
          <cell r="G212">
            <v>15.91</v>
          </cell>
          <cell r="H212" t="str">
            <v>MED SYSTEMS</v>
          </cell>
          <cell r="I212" t="e">
            <v>#REF!</v>
          </cell>
          <cell r="K212">
            <v>15.6</v>
          </cell>
          <cell r="M212">
            <v>0.156</v>
          </cell>
          <cell r="N212">
            <v>1.95E-2</v>
          </cell>
          <cell r="O212">
            <v>4.0000000000000001E-3</v>
          </cell>
          <cell r="P212">
            <v>0.13250000000000001</v>
          </cell>
        </row>
        <row r="213">
          <cell r="A213" t="str">
            <v>W00055</v>
          </cell>
          <cell r="B213">
            <v>204</v>
          </cell>
          <cell r="C213" t="str">
            <v xml:space="preserve">MANIPAL </v>
          </cell>
          <cell r="D213">
            <v>1</v>
          </cell>
          <cell r="E213">
            <v>35881</v>
          </cell>
          <cell r="F213">
            <v>40792000</v>
          </cell>
          <cell r="G213">
            <v>0</v>
          </cell>
          <cell r="H213" t="str">
            <v>MED SYSTEMS</v>
          </cell>
          <cell r="I213" t="e">
            <v>#REF!</v>
          </cell>
          <cell r="K213">
            <v>15.6</v>
          </cell>
          <cell r="M213">
            <v>0.156</v>
          </cell>
          <cell r="N213">
            <v>1.95E-2</v>
          </cell>
          <cell r="O213">
            <v>4.0000000000000001E-3</v>
          </cell>
          <cell r="P213">
            <v>0.13250000000000001</v>
          </cell>
        </row>
        <row r="214">
          <cell r="A214" t="str">
            <v>W00118</v>
          </cell>
          <cell r="B214">
            <v>205</v>
          </cell>
          <cell r="C214" t="str">
            <v>RADICAL XRAY</v>
          </cell>
          <cell r="D214">
            <v>1</v>
          </cell>
          <cell r="E214">
            <v>35881</v>
          </cell>
          <cell r="F214">
            <v>636683</v>
          </cell>
          <cell r="G214">
            <v>15.91</v>
          </cell>
          <cell r="H214" t="str">
            <v>MED SYSTEMS</v>
          </cell>
          <cell r="I214" t="e">
            <v>#REF!</v>
          </cell>
          <cell r="K214">
            <v>15.6</v>
          </cell>
          <cell r="M214">
            <v>0.156</v>
          </cell>
          <cell r="N214">
            <v>1.95E-2</v>
          </cell>
          <cell r="O214">
            <v>4.0000000000000001E-3</v>
          </cell>
          <cell r="P214">
            <v>0.13250000000000001</v>
          </cell>
        </row>
        <row r="215">
          <cell r="A215" t="str">
            <v>W00039</v>
          </cell>
          <cell r="B215">
            <v>206</v>
          </cell>
          <cell r="C215" t="str">
            <v>SAI MAHIMA SHUKLA</v>
          </cell>
          <cell r="D215">
            <v>1</v>
          </cell>
          <cell r="E215">
            <v>35881</v>
          </cell>
          <cell r="F215">
            <v>441885</v>
          </cell>
          <cell r="G215">
            <v>15.91</v>
          </cell>
          <cell r="H215" t="str">
            <v>MED SYSTEMS</v>
          </cell>
          <cell r="I215" t="e">
            <v>#REF!</v>
          </cell>
          <cell r="K215">
            <v>15.6</v>
          </cell>
          <cell r="M215">
            <v>0.156</v>
          </cell>
          <cell r="N215">
            <v>1.95E-2</v>
          </cell>
          <cell r="O215">
            <v>4.0000000000000001E-3</v>
          </cell>
          <cell r="P215">
            <v>0.13250000000000001</v>
          </cell>
        </row>
        <row r="216">
          <cell r="A216" t="str">
            <v>W00117</v>
          </cell>
          <cell r="B216">
            <v>207</v>
          </cell>
          <cell r="C216" t="str">
            <v>SOLAPUR SCANS(foreclosed in dec 1998)</v>
          </cell>
          <cell r="D216">
            <v>1</v>
          </cell>
          <cell r="E216">
            <v>35881</v>
          </cell>
          <cell r="F216">
            <v>18589116</v>
          </cell>
          <cell r="G216">
            <v>0</v>
          </cell>
          <cell r="H216" t="str">
            <v>MED SYSTEMS</v>
          </cell>
          <cell r="I216" t="e">
            <v>#REF!</v>
          </cell>
          <cell r="K216">
            <v>15.6</v>
          </cell>
          <cell r="M216">
            <v>0.156</v>
          </cell>
          <cell r="N216">
            <v>1.95E-2</v>
          </cell>
          <cell r="O216">
            <v>4.0000000000000001E-3</v>
          </cell>
          <cell r="P216">
            <v>0.13250000000000001</v>
          </cell>
        </row>
        <row r="217">
          <cell r="A217" t="str">
            <v>W00066</v>
          </cell>
          <cell r="B217">
            <v>208</v>
          </cell>
          <cell r="C217" t="str">
            <v>SRINIVASA NURSING HOME</v>
          </cell>
          <cell r="D217">
            <v>1</v>
          </cell>
          <cell r="E217">
            <v>35881</v>
          </cell>
          <cell r="F217">
            <v>638278</v>
          </cell>
          <cell r="G217">
            <v>15.91</v>
          </cell>
          <cell r="H217" t="str">
            <v>MED SYSTEMS</v>
          </cell>
          <cell r="I217" t="e">
            <v>#REF!</v>
          </cell>
          <cell r="K217">
            <v>15.6</v>
          </cell>
          <cell r="M217">
            <v>0.156</v>
          </cell>
          <cell r="N217">
            <v>1.95E-2</v>
          </cell>
          <cell r="O217">
            <v>4.0000000000000001E-3</v>
          </cell>
          <cell r="P217">
            <v>0.13250000000000001</v>
          </cell>
        </row>
        <row r="218">
          <cell r="A218" t="str">
            <v>W00193</v>
          </cell>
          <cell r="B218">
            <v>209</v>
          </cell>
          <cell r="C218" t="str">
            <v>TRAVANCORE SCANS</v>
          </cell>
          <cell r="D218">
            <v>1</v>
          </cell>
          <cell r="E218">
            <v>35881</v>
          </cell>
          <cell r="F218">
            <v>5175000</v>
          </cell>
          <cell r="G218">
            <v>15.91</v>
          </cell>
          <cell r="H218" t="str">
            <v>MED SYSTEMS</v>
          </cell>
          <cell r="I218" t="e">
            <v>#REF!</v>
          </cell>
          <cell r="K218">
            <v>15.6</v>
          </cell>
          <cell r="M218">
            <v>0.156</v>
          </cell>
          <cell r="N218">
            <v>1.95E-2</v>
          </cell>
          <cell r="O218">
            <v>4.0000000000000001E-3</v>
          </cell>
          <cell r="P218">
            <v>0.13250000000000001</v>
          </cell>
        </row>
        <row r="219">
          <cell r="A219" t="str">
            <v>W00095</v>
          </cell>
          <cell r="B219">
            <v>210</v>
          </cell>
          <cell r="C219" t="str">
            <v>ULTRALAB</v>
          </cell>
          <cell r="D219">
            <v>1</v>
          </cell>
          <cell r="E219">
            <v>35881</v>
          </cell>
          <cell r="F219">
            <v>476175</v>
          </cell>
          <cell r="G219">
            <v>15.91</v>
          </cell>
          <cell r="H219" t="str">
            <v>MED SYSTEMS</v>
          </cell>
          <cell r="I219" t="e">
            <v>#REF!</v>
          </cell>
          <cell r="K219">
            <v>15.6</v>
          </cell>
          <cell r="M219">
            <v>0.156</v>
          </cell>
          <cell r="N219">
            <v>1.95E-2</v>
          </cell>
          <cell r="O219">
            <v>4.0000000000000001E-3</v>
          </cell>
          <cell r="P219">
            <v>0.13250000000000001</v>
          </cell>
        </row>
        <row r="220">
          <cell r="A220" t="str">
            <v>W00049</v>
          </cell>
          <cell r="B220">
            <v>211</v>
          </cell>
          <cell r="C220" t="str">
            <v>VIRDI HOSPITAL(foreclosed in july 99)</v>
          </cell>
          <cell r="D220">
            <v>2</v>
          </cell>
          <cell r="E220">
            <v>35881</v>
          </cell>
          <cell r="F220">
            <v>4270000</v>
          </cell>
          <cell r="G220">
            <v>0</v>
          </cell>
          <cell r="H220" t="str">
            <v>MED SYSTEMS</v>
          </cell>
          <cell r="I220" t="e">
            <v>#REF!</v>
          </cell>
          <cell r="K220">
            <v>15.6</v>
          </cell>
          <cell r="M220">
            <v>0.156</v>
          </cell>
          <cell r="N220">
            <v>1.95E-2</v>
          </cell>
          <cell r="O220">
            <v>4.0000000000000001E-3</v>
          </cell>
          <cell r="P220">
            <v>0.13250000000000001</v>
          </cell>
        </row>
        <row r="221">
          <cell r="A221" t="str">
            <v>W00210</v>
          </cell>
          <cell r="B221">
            <v>212</v>
          </cell>
          <cell r="C221" t="str">
            <v>SEWA NURSING HOME</v>
          </cell>
          <cell r="D221">
            <v>2</v>
          </cell>
          <cell r="E221">
            <v>35885</v>
          </cell>
          <cell r="F221">
            <v>425000</v>
          </cell>
          <cell r="G221">
            <v>15.91</v>
          </cell>
          <cell r="H221" t="str">
            <v>MED SYSTEMS</v>
          </cell>
          <cell r="I221" t="e">
            <v>#REF!</v>
          </cell>
          <cell r="K221">
            <v>15.6</v>
          </cell>
          <cell r="M221">
            <v>0.156</v>
          </cell>
          <cell r="N221">
            <v>1.95E-2</v>
          </cell>
          <cell r="O221">
            <v>4.0000000000000001E-3</v>
          </cell>
          <cell r="P221">
            <v>0.13250000000000001</v>
          </cell>
        </row>
        <row r="222">
          <cell r="A222" t="str">
            <v>W00165</v>
          </cell>
          <cell r="B222">
            <v>213</v>
          </cell>
          <cell r="C222" t="str">
            <v>SHANKAR MEDICAL STORE(foreclosed in dec 99)</v>
          </cell>
          <cell r="D222">
            <v>1</v>
          </cell>
          <cell r="E222">
            <v>35885</v>
          </cell>
          <cell r="F222">
            <v>664017</v>
          </cell>
          <cell r="G222">
            <v>15.91</v>
          </cell>
          <cell r="H222" t="str">
            <v>MED SYSTEMS</v>
          </cell>
          <cell r="I222" t="e">
            <v>#REF!</v>
          </cell>
          <cell r="K222">
            <v>15.6</v>
          </cell>
          <cell r="M222">
            <v>0.156</v>
          </cell>
          <cell r="N222">
            <v>1.95E-2</v>
          </cell>
          <cell r="O222">
            <v>4.0000000000000001E-3</v>
          </cell>
          <cell r="P222">
            <v>0.13250000000000001</v>
          </cell>
        </row>
        <row r="223">
          <cell r="A223" t="str">
            <v>W00044</v>
          </cell>
          <cell r="B223">
            <v>214</v>
          </cell>
          <cell r="C223" t="str">
            <v>PALIWAL HOSPITAL</v>
          </cell>
          <cell r="D223">
            <v>1</v>
          </cell>
          <cell r="E223">
            <v>35915</v>
          </cell>
          <cell r="F223">
            <v>1375000</v>
          </cell>
          <cell r="G223">
            <v>15.91</v>
          </cell>
          <cell r="H223" t="str">
            <v>MED SYSTEMS</v>
          </cell>
          <cell r="I223" t="e">
            <v>#REF!</v>
          </cell>
          <cell r="K223">
            <v>14.35</v>
          </cell>
          <cell r="M223">
            <v>0.14349999999999999</v>
          </cell>
          <cell r="N223">
            <v>1.95E-2</v>
          </cell>
          <cell r="O223">
            <v>4.0000000000000001E-3</v>
          </cell>
          <cell r="P223">
            <v>0.11999999999999998</v>
          </cell>
        </row>
        <row r="224">
          <cell r="A224" t="str">
            <v>W00091</v>
          </cell>
          <cell r="B224">
            <v>215</v>
          </cell>
          <cell r="C224" t="str">
            <v>BALAJI NURSING HOME</v>
          </cell>
          <cell r="D224">
            <v>1</v>
          </cell>
          <cell r="E224">
            <v>35942</v>
          </cell>
          <cell r="F224">
            <v>840000</v>
          </cell>
          <cell r="G224">
            <v>15.16</v>
          </cell>
          <cell r="H224" t="str">
            <v>MED SYSTEMS</v>
          </cell>
          <cell r="I224" t="e">
            <v>#REF!</v>
          </cell>
          <cell r="K224">
            <v>14.85</v>
          </cell>
          <cell r="M224">
            <v>0.14849999999999999</v>
          </cell>
          <cell r="N224">
            <v>1.95E-2</v>
          </cell>
          <cell r="O224">
            <v>4.0000000000000001E-3</v>
          </cell>
          <cell r="P224">
            <v>0.125</v>
          </cell>
        </row>
        <row r="225">
          <cell r="A225" t="str">
            <v>W00098</v>
          </cell>
          <cell r="B225">
            <v>216</v>
          </cell>
          <cell r="C225" t="str">
            <v>R  SHANKAR</v>
          </cell>
          <cell r="D225">
            <v>1</v>
          </cell>
          <cell r="E225">
            <v>35942</v>
          </cell>
          <cell r="F225">
            <v>333739</v>
          </cell>
          <cell r="G225">
            <v>15.16</v>
          </cell>
          <cell r="H225" t="str">
            <v>MED SYSTEMS</v>
          </cell>
          <cell r="I225" t="e">
            <v>#REF!</v>
          </cell>
          <cell r="J225">
            <v>167671.88015780819</v>
          </cell>
          <cell r="K225">
            <v>14.85</v>
          </cell>
          <cell r="M225">
            <v>0.14849999999999999</v>
          </cell>
          <cell r="N225">
            <v>1.95E-2</v>
          </cell>
          <cell r="O225">
            <v>4.0000000000000001E-3</v>
          </cell>
          <cell r="P225">
            <v>0.125</v>
          </cell>
        </row>
        <row r="226">
          <cell r="A226" t="str">
            <v>W00122</v>
          </cell>
          <cell r="B226">
            <v>217</v>
          </cell>
          <cell r="C226" t="str">
            <v>SHAFI MULLAH BASHA</v>
          </cell>
          <cell r="D226">
            <v>1</v>
          </cell>
          <cell r="E226">
            <v>35942</v>
          </cell>
          <cell r="F226">
            <v>375173</v>
          </cell>
          <cell r="G226">
            <v>15.16</v>
          </cell>
          <cell r="H226" t="str">
            <v>MED SYSTEMS</v>
          </cell>
          <cell r="I226" t="e">
            <v>#REF!</v>
          </cell>
          <cell r="K226">
            <v>14.85</v>
          </cell>
          <cell r="M226">
            <v>0.14849999999999999</v>
          </cell>
          <cell r="N226">
            <v>1.95E-2</v>
          </cell>
          <cell r="O226">
            <v>4.0000000000000001E-3</v>
          </cell>
          <cell r="P226">
            <v>0.125</v>
          </cell>
        </row>
        <row r="227">
          <cell r="A227" t="str">
            <v>W00087</v>
          </cell>
          <cell r="B227">
            <v>218</v>
          </cell>
          <cell r="C227" t="str">
            <v>G NEUROMED DIAGNOSTICS</v>
          </cell>
          <cell r="D227">
            <v>1</v>
          </cell>
          <cell r="E227">
            <v>35942</v>
          </cell>
          <cell r="F227">
            <v>1647750</v>
          </cell>
          <cell r="G227">
            <v>15.16</v>
          </cell>
          <cell r="H227" t="str">
            <v>MED SYSTEMS</v>
          </cell>
          <cell r="I227" t="e">
            <v>#REF!</v>
          </cell>
          <cell r="K227">
            <v>14.85</v>
          </cell>
          <cell r="M227">
            <v>0.14849999999999999</v>
          </cell>
          <cell r="N227">
            <v>1.95E-2</v>
          </cell>
          <cell r="O227">
            <v>4.0000000000000001E-3</v>
          </cell>
          <cell r="P227">
            <v>0.125</v>
          </cell>
        </row>
        <row r="228">
          <cell r="A228" t="str">
            <v>W00084</v>
          </cell>
          <cell r="B228">
            <v>219</v>
          </cell>
          <cell r="C228" t="str">
            <v>AMBALA CT SCAN</v>
          </cell>
          <cell r="D228">
            <v>2</v>
          </cell>
          <cell r="E228">
            <v>35969</v>
          </cell>
          <cell r="F228">
            <v>5500000</v>
          </cell>
          <cell r="G228">
            <v>15.16</v>
          </cell>
          <cell r="H228" t="str">
            <v>MED SYSTEMS</v>
          </cell>
          <cell r="I228" t="e">
            <v>#REF!</v>
          </cell>
          <cell r="K228">
            <v>14.85</v>
          </cell>
          <cell r="M228">
            <v>0.14849999999999999</v>
          </cell>
          <cell r="N228">
            <v>1.95E-2</v>
          </cell>
          <cell r="O228">
            <v>4.0000000000000001E-3</v>
          </cell>
          <cell r="P228">
            <v>0.125</v>
          </cell>
        </row>
        <row r="229">
          <cell r="A229" t="str">
            <v>W00004</v>
          </cell>
          <cell r="B229">
            <v>220</v>
          </cell>
          <cell r="C229" t="str">
            <v>CDR MEDICAL</v>
          </cell>
          <cell r="D229">
            <v>2</v>
          </cell>
          <cell r="E229">
            <v>35973</v>
          </cell>
          <cell r="F229">
            <v>2970000</v>
          </cell>
          <cell r="G229">
            <v>15.16</v>
          </cell>
          <cell r="H229" t="str">
            <v>MED SYSTEMS</v>
          </cell>
          <cell r="I229" t="e">
            <v>#REF!</v>
          </cell>
          <cell r="K229">
            <v>14.85</v>
          </cell>
          <cell r="M229">
            <v>0.14849999999999999</v>
          </cell>
          <cell r="N229">
            <v>1.95E-2</v>
          </cell>
          <cell r="O229">
            <v>4.0000000000000001E-3</v>
          </cell>
          <cell r="P229">
            <v>0.125</v>
          </cell>
        </row>
        <row r="230">
          <cell r="A230" t="str">
            <v>W00088</v>
          </cell>
          <cell r="B230">
            <v>221</v>
          </cell>
          <cell r="C230" t="str">
            <v>ARPUTHAMARY</v>
          </cell>
          <cell r="D230">
            <v>1</v>
          </cell>
          <cell r="E230">
            <v>35985</v>
          </cell>
          <cell r="F230">
            <v>407000</v>
          </cell>
          <cell r="G230">
            <v>15.41</v>
          </cell>
          <cell r="H230" t="str">
            <v>MED SYSTEMS</v>
          </cell>
          <cell r="I230" t="e">
            <v>#REF!</v>
          </cell>
          <cell r="K230">
            <v>15.1</v>
          </cell>
          <cell r="M230">
            <v>0.151</v>
          </cell>
          <cell r="N230">
            <v>1.95E-2</v>
          </cell>
          <cell r="O230">
            <v>4.0000000000000001E-3</v>
          </cell>
          <cell r="P230">
            <v>0.1275</v>
          </cell>
        </row>
        <row r="231">
          <cell r="A231" t="str">
            <v>W00089</v>
          </cell>
          <cell r="B231">
            <v>222</v>
          </cell>
          <cell r="C231" t="str">
            <v>BHARATHI</v>
          </cell>
          <cell r="D231">
            <v>1</v>
          </cell>
          <cell r="E231">
            <v>35985</v>
          </cell>
          <cell r="F231">
            <v>432000</v>
          </cell>
          <cell r="G231">
            <v>0</v>
          </cell>
          <cell r="H231" t="str">
            <v>MED SYSTEMS</v>
          </cell>
          <cell r="I231" t="e">
            <v>#REF!</v>
          </cell>
          <cell r="K231">
            <v>15.1</v>
          </cell>
          <cell r="M231">
            <v>0.151</v>
          </cell>
          <cell r="N231">
            <v>1.95E-2</v>
          </cell>
          <cell r="O231">
            <v>4.0000000000000001E-3</v>
          </cell>
          <cell r="P231">
            <v>0.1275</v>
          </cell>
        </row>
        <row r="232">
          <cell r="A232">
            <v>0</v>
          </cell>
          <cell r="B232">
            <v>223</v>
          </cell>
          <cell r="C232" t="str">
            <v>COMPUTER RADIODIAGNOSTICS(amended)</v>
          </cell>
          <cell r="D232">
            <v>1</v>
          </cell>
          <cell r="E232">
            <v>35992</v>
          </cell>
          <cell r="F232">
            <v>1900000</v>
          </cell>
          <cell r="G232">
            <v>15.41</v>
          </cell>
          <cell r="H232" t="str">
            <v>MED SYSTEMS</v>
          </cell>
          <cell r="I232" t="e">
            <v>#REF!</v>
          </cell>
          <cell r="K232">
            <v>15.1</v>
          </cell>
          <cell r="M232">
            <v>0.151</v>
          </cell>
          <cell r="N232">
            <v>1.95E-2</v>
          </cell>
          <cell r="O232">
            <v>4.0000000000000001E-3</v>
          </cell>
          <cell r="P232">
            <v>0.1275</v>
          </cell>
        </row>
        <row r="233">
          <cell r="A233" t="str">
            <v>W00229</v>
          </cell>
          <cell r="B233">
            <v>224</v>
          </cell>
          <cell r="C233" t="str">
            <v>CARE NURSING HOME</v>
          </cell>
          <cell r="D233">
            <v>1</v>
          </cell>
          <cell r="E233">
            <v>36025</v>
          </cell>
          <cell r="F233">
            <v>495860</v>
          </cell>
          <cell r="G233">
            <v>15.16</v>
          </cell>
          <cell r="H233" t="str">
            <v>MED SYSTEMS</v>
          </cell>
          <cell r="I233" t="e">
            <v>#REF!</v>
          </cell>
          <cell r="K233">
            <v>14.85</v>
          </cell>
          <cell r="M233">
            <v>0.14849999999999999</v>
          </cell>
          <cell r="N233">
            <v>1.95E-2</v>
          </cell>
          <cell r="O233">
            <v>4.0000000000000001E-3</v>
          </cell>
          <cell r="P233">
            <v>0.125</v>
          </cell>
        </row>
        <row r="234">
          <cell r="A234" t="str">
            <v>W00213</v>
          </cell>
          <cell r="B234">
            <v>225</v>
          </cell>
          <cell r="C234" t="str">
            <v>POPULAR XRAY</v>
          </cell>
          <cell r="D234">
            <v>1</v>
          </cell>
          <cell r="E234">
            <v>36025</v>
          </cell>
          <cell r="F234">
            <v>309966</v>
          </cell>
          <cell r="G234">
            <v>15.16</v>
          </cell>
          <cell r="H234" t="str">
            <v>MED SYSTEMS</v>
          </cell>
          <cell r="I234" t="e">
            <v>#REF!</v>
          </cell>
          <cell r="K234">
            <v>14.85</v>
          </cell>
          <cell r="M234">
            <v>0.14849999999999999</v>
          </cell>
          <cell r="N234">
            <v>1.95E-2</v>
          </cell>
          <cell r="O234">
            <v>4.0000000000000001E-3</v>
          </cell>
          <cell r="P234">
            <v>0.125</v>
          </cell>
        </row>
        <row r="235">
          <cell r="A235" t="str">
            <v>W00194</v>
          </cell>
          <cell r="B235">
            <v>226</v>
          </cell>
          <cell r="C235" t="str">
            <v>MEDWIN DIAGNOSTICS(foreclosed in mar 99)</v>
          </cell>
          <cell r="D235">
            <v>1</v>
          </cell>
          <cell r="E235">
            <v>36033</v>
          </cell>
          <cell r="F235">
            <v>4275000</v>
          </cell>
          <cell r="G235">
            <v>0</v>
          </cell>
          <cell r="H235" t="str">
            <v>MED SYSTEMS</v>
          </cell>
          <cell r="I235" t="e">
            <v>#REF!</v>
          </cell>
          <cell r="K235">
            <v>14.85</v>
          </cell>
          <cell r="M235">
            <v>0.14849999999999999</v>
          </cell>
          <cell r="N235">
            <v>1.95E-2</v>
          </cell>
          <cell r="O235">
            <v>4.0000000000000001E-3</v>
          </cell>
          <cell r="P235">
            <v>0.125</v>
          </cell>
        </row>
        <row r="236">
          <cell r="A236" t="str">
            <v>W00232</v>
          </cell>
          <cell r="B236">
            <v>227</v>
          </cell>
          <cell r="C236" t="str">
            <v>O S RAJENDRAN</v>
          </cell>
          <cell r="D236">
            <v>1</v>
          </cell>
          <cell r="E236">
            <v>36039</v>
          </cell>
          <cell r="F236">
            <v>1240000</v>
          </cell>
          <cell r="G236">
            <v>15.16</v>
          </cell>
          <cell r="H236" t="str">
            <v>MED SYSTEMS</v>
          </cell>
          <cell r="I236" t="e">
            <v>#REF!</v>
          </cell>
          <cell r="J236">
            <v>42050.852776986299</v>
          </cell>
          <cell r="K236">
            <v>14.85</v>
          </cell>
          <cell r="M236">
            <v>0.14849999999999999</v>
          </cell>
          <cell r="N236">
            <v>1.95E-2</v>
          </cell>
          <cell r="O236">
            <v>4.0000000000000001E-3</v>
          </cell>
          <cell r="P236">
            <v>0.125</v>
          </cell>
        </row>
        <row r="237">
          <cell r="A237" t="str">
            <v>W00228</v>
          </cell>
          <cell r="B237">
            <v>228</v>
          </cell>
          <cell r="C237" t="str">
            <v>USMANPURA CT SCAN</v>
          </cell>
          <cell r="D237">
            <v>1</v>
          </cell>
          <cell r="E237">
            <v>36039</v>
          </cell>
          <cell r="F237">
            <v>16867000</v>
          </cell>
          <cell r="G237">
            <v>0</v>
          </cell>
          <cell r="H237" t="str">
            <v>MED SYSTEMS</v>
          </cell>
          <cell r="I237" t="e">
            <v>#REF!</v>
          </cell>
          <cell r="K237">
            <v>14.85</v>
          </cell>
          <cell r="M237">
            <v>0.14849999999999999</v>
          </cell>
          <cell r="N237">
            <v>1.95E-2</v>
          </cell>
          <cell r="O237">
            <v>4.0000000000000001E-3</v>
          </cell>
          <cell r="P237">
            <v>0.125</v>
          </cell>
        </row>
        <row r="238">
          <cell r="A238" t="str">
            <v>W00226</v>
          </cell>
          <cell r="B238">
            <v>229</v>
          </cell>
          <cell r="C238" t="str">
            <v>SETHURAMAN</v>
          </cell>
          <cell r="D238">
            <v>2</v>
          </cell>
          <cell r="E238">
            <v>36063</v>
          </cell>
          <cell r="F238">
            <v>4376000</v>
          </cell>
          <cell r="G238">
            <v>15.41</v>
          </cell>
          <cell r="H238" t="str">
            <v>MED SYSTEMS</v>
          </cell>
          <cell r="I238" t="e">
            <v>#REF!</v>
          </cell>
          <cell r="K238">
            <v>14.85</v>
          </cell>
          <cell r="M238">
            <v>0.14849999999999999</v>
          </cell>
          <cell r="N238">
            <v>1.95E-2</v>
          </cell>
          <cell r="O238">
            <v>4.0000000000000001E-3</v>
          </cell>
          <cell r="P238">
            <v>0.125</v>
          </cell>
        </row>
        <row r="239">
          <cell r="A239" t="str">
            <v>W00227</v>
          </cell>
          <cell r="B239">
            <v>230</v>
          </cell>
          <cell r="C239" t="str">
            <v>SETHURAMAN</v>
          </cell>
          <cell r="D239">
            <v>3</v>
          </cell>
          <cell r="E239">
            <v>36063</v>
          </cell>
          <cell r="F239">
            <v>1980000</v>
          </cell>
          <cell r="G239">
            <v>15.41</v>
          </cell>
          <cell r="H239" t="str">
            <v>MED SYSTEMS</v>
          </cell>
          <cell r="I239" t="e">
            <v>#REF!</v>
          </cell>
          <cell r="K239">
            <v>14.85</v>
          </cell>
          <cell r="M239">
            <v>0.14849999999999999</v>
          </cell>
          <cell r="N239">
            <v>1.95E-2</v>
          </cell>
          <cell r="O239">
            <v>4.0000000000000001E-3</v>
          </cell>
          <cell r="P239">
            <v>0.125</v>
          </cell>
        </row>
        <row r="240">
          <cell r="A240" t="str">
            <v>W00220</v>
          </cell>
          <cell r="B240">
            <v>231</v>
          </cell>
          <cell r="C240" t="str">
            <v>FORT SCANS</v>
          </cell>
          <cell r="D240">
            <v>1</v>
          </cell>
          <cell r="E240">
            <v>36066</v>
          </cell>
          <cell r="F240">
            <v>4000000</v>
          </cell>
          <cell r="G240">
            <v>0</v>
          </cell>
          <cell r="H240" t="str">
            <v>MED SYSTEMS</v>
          </cell>
          <cell r="I240" t="e">
            <v>#REF!</v>
          </cell>
          <cell r="K240">
            <v>14.85</v>
          </cell>
          <cell r="M240">
            <v>0.14849999999999999</v>
          </cell>
          <cell r="N240">
            <v>1.95E-2</v>
          </cell>
          <cell r="O240">
            <v>4.0000000000000001E-3</v>
          </cell>
          <cell r="P240">
            <v>0.125</v>
          </cell>
        </row>
        <row r="241">
          <cell r="A241" t="str">
            <v>W00221</v>
          </cell>
          <cell r="B241">
            <v>232</v>
          </cell>
          <cell r="C241" t="str">
            <v>MEDINOVA DIAGNOSTICS</v>
          </cell>
          <cell r="D241">
            <v>5</v>
          </cell>
          <cell r="E241">
            <v>36066</v>
          </cell>
          <cell r="F241">
            <v>705644</v>
          </cell>
          <cell r="G241">
            <v>15.41</v>
          </cell>
          <cell r="H241" t="str">
            <v>MED SYSTEMS</v>
          </cell>
          <cell r="I241" t="e">
            <v>#REF!</v>
          </cell>
          <cell r="K241">
            <v>14.85</v>
          </cell>
          <cell r="M241">
            <v>0.14849999999999999</v>
          </cell>
          <cell r="N241">
            <v>1.95E-2</v>
          </cell>
          <cell r="O241">
            <v>4.0000000000000001E-3</v>
          </cell>
          <cell r="P241">
            <v>0.125</v>
          </cell>
        </row>
        <row r="242">
          <cell r="A242" t="str">
            <v>W00230</v>
          </cell>
          <cell r="B242">
            <v>233</v>
          </cell>
          <cell r="C242" t="str">
            <v>SIDDAYYA KUDLAMATH</v>
          </cell>
          <cell r="D242">
            <v>1</v>
          </cell>
          <cell r="E242">
            <v>36075</v>
          </cell>
          <cell r="F242">
            <v>1498736</v>
          </cell>
          <cell r="G242">
            <v>15.41</v>
          </cell>
          <cell r="H242" t="str">
            <v>MED SYSTEMS</v>
          </cell>
          <cell r="I242" t="e">
            <v>#REF!</v>
          </cell>
          <cell r="K242">
            <v>15.1</v>
          </cell>
          <cell r="M242">
            <v>0.151</v>
          </cell>
          <cell r="N242">
            <v>1.95E-2</v>
          </cell>
          <cell r="O242">
            <v>4.0000000000000001E-3</v>
          </cell>
          <cell r="P242">
            <v>0.1275</v>
          </cell>
        </row>
        <row r="243">
          <cell r="A243" t="str">
            <v>W00225</v>
          </cell>
          <cell r="B243">
            <v>234</v>
          </cell>
          <cell r="C243" t="str">
            <v>G NEUROMED DIAGNOSTICS</v>
          </cell>
          <cell r="D243">
            <v>2</v>
          </cell>
          <cell r="E243">
            <v>36075</v>
          </cell>
          <cell r="F243">
            <v>6422000</v>
          </cell>
          <cell r="G243">
            <v>15.41</v>
          </cell>
          <cell r="H243" t="str">
            <v>MED SYSTEMS</v>
          </cell>
          <cell r="I243" t="e">
            <v>#REF!</v>
          </cell>
          <cell r="K243">
            <v>15.1</v>
          </cell>
          <cell r="M243">
            <v>0.151</v>
          </cell>
          <cell r="N243">
            <v>1.95E-2</v>
          </cell>
          <cell r="O243">
            <v>4.0000000000000001E-3</v>
          </cell>
          <cell r="P243">
            <v>0.1275</v>
          </cell>
        </row>
        <row r="244">
          <cell r="A244" t="str">
            <v>W00231</v>
          </cell>
          <cell r="B244">
            <v>235</v>
          </cell>
          <cell r="C244" t="str">
            <v>MURARI PRASAD MISHRA</v>
          </cell>
          <cell r="D244">
            <v>1</v>
          </cell>
          <cell r="E244">
            <v>36075</v>
          </cell>
          <cell r="F244">
            <v>451250</v>
          </cell>
          <cell r="G244">
            <v>15.41</v>
          </cell>
          <cell r="H244" t="str">
            <v>MED SYSTEMS</v>
          </cell>
          <cell r="I244" t="e">
            <v>#REF!</v>
          </cell>
          <cell r="K244">
            <v>15.1</v>
          </cell>
          <cell r="M244">
            <v>0.151</v>
          </cell>
          <cell r="N244">
            <v>1.95E-2</v>
          </cell>
          <cell r="O244">
            <v>4.0000000000000001E-3</v>
          </cell>
          <cell r="P244">
            <v>0.1275</v>
          </cell>
        </row>
        <row r="245">
          <cell r="A245" t="str">
            <v>W00233</v>
          </cell>
          <cell r="B245">
            <v>236</v>
          </cell>
          <cell r="C245" t="str">
            <v>KALPANA JHAKU</v>
          </cell>
          <cell r="D245">
            <v>1</v>
          </cell>
          <cell r="E245">
            <v>36091</v>
          </cell>
          <cell r="F245">
            <v>317136</v>
          </cell>
          <cell r="G245">
            <v>14.91</v>
          </cell>
          <cell r="H245" t="str">
            <v>MED SYSTEMS</v>
          </cell>
          <cell r="I245" t="e">
            <v>#REF!</v>
          </cell>
          <cell r="K245">
            <v>15.1</v>
          </cell>
          <cell r="M245">
            <v>0.151</v>
          </cell>
          <cell r="N245">
            <v>1.95E-2</v>
          </cell>
          <cell r="O245">
            <v>4.0000000000000001E-3</v>
          </cell>
          <cell r="P245">
            <v>0.1275</v>
          </cell>
        </row>
        <row r="246">
          <cell r="A246" t="str">
            <v>W00236</v>
          </cell>
          <cell r="B246">
            <v>237</v>
          </cell>
          <cell r="C246" t="str">
            <v>B I JAFFERY</v>
          </cell>
          <cell r="D246">
            <v>1</v>
          </cell>
          <cell r="E246">
            <v>36104</v>
          </cell>
          <cell r="F246">
            <v>2030000</v>
          </cell>
          <cell r="G246">
            <v>14.91</v>
          </cell>
          <cell r="H246" t="str">
            <v>MED SYSTEMS</v>
          </cell>
          <cell r="I246" t="e">
            <v>#REF!</v>
          </cell>
          <cell r="K246">
            <v>14.6</v>
          </cell>
          <cell r="M246">
            <v>0.14599999999999999</v>
          </cell>
          <cell r="N246">
            <v>1.95E-2</v>
          </cell>
          <cell r="O246">
            <v>4.0000000000000001E-3</v>
          </cell>
          <cell r="P246">
            <v>0.1225</v>
          </cell>
        </row>
        <row r="247">
          <cell r="A247" t="str">
            <v>w00237</v>
          </cell>
          <cell r="B247">
            <v>238</v>
          </cell>
          <cell r="C247" t="str">
            <v>VERDICT DIAGNOSTICS</v>
          </cell>
          <cell r="D247">
            <v>1</v>
          </cell>
          <cell r="E247">
            <v>36122</v>
          </cell>
          <cell r="F247">
            <v>3960000</v>
          </cell>
          <cell r="G247">
            <v>14.91</v>
          </cell>
          <cell r="H247" t="str">
            <v>MED SYSTEMS</v>
          </cell>
          <cell r="I247" t="e">
            <v>#REF!</v>
          </cell>
          <cell r="K247">
            <v>14.6</v>
          </cell>
          <cell r="M247">
            <v>0.14599999999999999</v>
          </cell>
          <cell r="N247">
            <v>1.95E-2</v>
          </cell>
          <cell r="O247">
            <v>4.0000000000000001E-3</v>
          </cell>
          <cell r="P247">
            <v>0.1225</v>
          </cell>
        </row>
        <row r="248">
          <cell r="A248" t="str">
            <v>W00242</v>
          </cell>
          <cell r="B248">
            <v>239</v>
          </cell>
          <cell r="C248" t="str">
            <v>BHARAT SCANS</v>
          </cell>
          <cell r="D248">
            <v>1</v>
          </cell>
          <cell r="E248">
            <v>36138</v>
          </cell>
          <cell r="F248">
            <v>10650000</v>
          </cell>
          <cell r="G248">
            <v>14.91</v>
          </cell>
          <cell r="H248" t="str">
            <v>MED SYSTEMS</v>
          </cell>
          <cell r="I248" t="e">
            <v>#REF!</v>
          </cell>
          <cell r="K248">
            <v>14.6</v>
          </cell>
          <cell r="M248">
            <v>0.14599999999999999</v>
          </cell>
          <cell r="N248">
            <v>1.95E-2</v>
          </cell>
          <cell r="O248">
            <v>4.0000000000000001E-3</v>
          </cell>
          <cell r="P248">
            <v>0.1225</v>
          </cell>
        </row>
        <row r="249">
          <cell r="A249" t="str">
            <v>W00241</v>
          </cell>
          <cell r="B249">
            <v>240</v>
          </cell>
          <cell r="C249" t="str">
            <v>D C PARIJA</v>
          </cell>
          <cell r="D249">
            <v>1</v>
          </cell>
          <cell r="E249">
            <v>36138</v>
          </cell>
          <cell r="F249">
            <v>512000</v>
          </cell>
          <cell r="G249">
            <v>14.91</v>
          </cell>
          <cell r="H249" t="str">
            <v>MED SYSTEMS</v>
          </cell>
          <cell r="I249" t="e">
            <v>#REF!</v>
          </cell>
          <cell r="J249">
            <v>223613.47822136988</v>
          </cell>
          <cell r="K249">
            <v>14.6</v>
          </cell>
          <cell r="M249">
            <v>0.14599999999999999</v>
          </cell>
          <cell r="N249">
            <v>1.95E-2</v>
          </cell>
          <cell r="O249">
            <v>4.0000000000000001E-3</v>
          </cell>
          <cell r="P249">
            <v>0.1225</v>
          </cell>
        </row>
        <row r="250">
          <cell r="A250" t="str">
            <v>W00240</v>
          </cell>
          <cell r="B250">
            <v>241</v>
          </cell>
          <cell r="C250" t="str">
            <v>KAMAL NARAIN</v>
          </cell>
          <cell r="D250">
            <v>1</v>
          </cell>
          <cell r="E250">
            <v>36138</v>
          </cell>
          <cell r="F250">
            <v>406400</v>
          </cell>
          <cell r="G250">
            <v>14.91</v>
          </cell>
          <cell r="H250" t="str">
            <v>MED SYSTEMS</v>
          </cell>
          <cell r="I250" t="e">
            <v>#REF!</v>
          </cell>
          <cell r="J250">
            <v>1501.0058684931507</v>
          </cell>
          <cell r="K250">
            <v>14.6</v>
          </cell>
          <cell r="M250">
            <v>0.14599999999999999</v>
          </cell>
          <cell r="N250">
            <v>1.95E-2</v>
          </cell>
          <cell r="O250">
            <v>4.0000000000000001E-3</v>
          </cell>
          <cell r="P250">
            <v>0.1225</v>
          </cell>
        </row>
        <row r="251">
          <cell r="A251" t="str">
            <v>W00243</v>
          </cell>
          <cell r="B251">
            <v>242</v>
          </cell>
          <cell r="C251" t="str">
            <v>ZIA UL HASAN RIZVI</v>
          </cell>
          <cell r="D251">
            <v>1</v>
          </cell>
          <cell r="E251">
            <v>36138</v>
          </cell>
          <cell r="F251">
            <v>344000</v>
          </cell>
          <cell r="G251">
            <v>14.91</v>
          </cell>
          <cell r="H251" t="str">
            <v>MED SYSTEMS</v>
          </cell>
          <cell r="I251" t="e">
            <v>#REF!</v>
          </cell>
          <cell r="K251">
            <v>14.6</v>
          </cell>
          <cell r="M251">
            <v>0.14599999999999999</v>
          </cell>
          <cell r="N251">
            <v>1.95E-2</v>
          </cell>
          <cell r="O251">
            <v>4.0000000000000001E-3</v>
          </cell>
          <cell r="P251">
            <v>0.1225</v>
          </cell>
        </row>
        <row r="252">
          <cell r="A252" t="str">
            <v>W00245</v>
          </cell>
          <cell r="B252">
            <v>243</v>
          </cell>
          <cell r="C252" t="str">
            <v>G. Bhakthavatsalam</v>
          </cell>
          <cell r="D252">
            <v>1</v>
          </cell>
          <cell r="E252">
            <v>36138</v>
          </cell>
          <cell r="F252">
            <v>1125000</v>
          </cell>
          <cell r="G252">
            <v>14.91</v>
          </cell>
          <cell r="H252" t="str">
            <v>MED SYSTEMS</v>
          </cell>
          <cell r="I252" t="e">
            <v>#REF!</v>
          </cell>
          <cell r="K252">
            <v>14.6</v>
          </cell>
          <cell r="M252">
            <v>0.14599999999999999</v>
          </cell>
          <cell r="N252">
            <v>1.95E-2</v>
          </cell>
          <cell r="O252">
            <v>4.0000000000000001E-3</v>
          </cell>
          <cell r="P252">
            <v>0.1225</v>
          </cell>
        </row>
        <row r="253">
          <cell r="A253" t="str">
            <v>W00244</v>
          </cell>
          <cell r="B253">
            <v>244</v>
          </cell>
          <cell r="C253" t="str">
            <v>REKHA MISHRA</v>
          </cell>
          <cell r="D253">
            <v>1</v>
          </cell>
          <cell r="E253">
            <v>36138</v>
          </cell>
          <cell r="F253">
            <v>372000</v>
          </cell>
          <cell r="G253">
            <v>14.91</v>
          </cell>
          <cell r="H253" t="str">
            <v>MED SYSTEMS</v>
          </cell>
          <cell r="I253" t="e">
            <v>#REF!</v>
          </cell>
          <cell r="K253">
            <v>14.6</v>
          </cell>
          <cell r="M253">
            <v>0.14599999999999999</v>
          </cell>
          <cell r="N253">
            <v>1.95E-2</v>
          </cell>
          <cell r="O253">
            <v>4.0000000000000001E-3</v>
          </cell>
          <cell r="P253">
            <v>0.1225</v>
          </cell>
        </row>
        <row r="254">
          <cell r="A254" t="str">
            <v>W00246</v>
          </cell>
          <cell r="B254">
            <v>245</v>
          </cell>
          <cell r="C254" t="str">
            <v>VIJAYA MEDICAL CENTRE</v>
          </cell>
          <cell r="D254">
            <v>3</v>
          </cell>
          <cell r="E254">
            <v>36150</v>
          </cell>
          <cell r="F254">
            <v>20900000</v>
          </cell>
          <cell r="G254">
            <v>14.91</v>
          </cell>
          <cell r="I254" t="e">
            <v>#REF!</v>
          </cell>
          <cell r="K254">
            <v>14.6</v>
          </cell>
          <cell r="M254">
            <v>0.14599999999999999</v>
          </cell>
          <cell r="N254">
            <v>1.95E-2</v>
          </cell>
          <cell r="O254">
            <v>4.0000000000000001E-3</v>
          </cell>
          <cell r="P254">
            <v>0.1225</v>
          </cell>
        </row>
        <row r="255">
          <cell r="A255" t="str">
            <v>W00247</v>
          </cell>
          <cell r="B255">
            <v>246</v>
          </cell>
          <cell r="C255" t="str">
            <v>SRI VENKATESWARA DIAGNOSTICS</v>
          </cell>
          <cell r="D255">
            <v>1</v>
          </cell>
          <cell r="E255">
            <v>36157</v>
          </cell>
          <cell r="F255">
            <v>5760000</v>
          </cell>
          <cell r="G255">
            <v>14.91</v>
          </cell>
          <cell r="I255" t="e">
            <v>#REF!</v>
          </cell>
          <cell r="K255">
            <v>14.6</v>
          </cell>
          <cell r="M255">
            <v>0.14599999999999999</v>
          </cell>
          <cell r="N255">
            <v>1.95E-2</v>
          </cell>
          <cell r="O255">
            <v>4.0000000000000001E-3</v>
          </cell>
          <cell r="P255">
            <v>0.1225</v>
          </cell>
        </row>
        <row r="256">
          <cell r="A256" t="str">
            <v>W00248</v>
          </cell>
          <cell r="B256">
            <v>247</v>
          </cell>
          <cell r="C256" t="str">
            <v>TELICHERY COOPERATIVE</v>
          </cell>
          <cell r="D256">
            <v>1</v>
          </cell>
          <cell r="E256">
            <v>36157</v>
          </cell>
          <cell r="F256">
            <v>1397584</v>
          </cell>
          <cell r="G256">
            <v>0</v>
          </cell>
          <cell r="I256" t="e">
            <v>#REF!</v>
          </cell>
          <cell r="K256">
            <v>14.6</v>
          </cell>
          <cell r="M256">
            <v>0.14599999999999999</v>
          </cell>
          <cell r="N256">
            <v>1.95E-2</v>
          </cell>
          <cell r="O256">
            <v>4.0000000000000001E-3</v>
          </cell>
          <cell r="P256">
            <v>0.1225</v>
          </cell>
        </row>
        <row r="257">
          <cell r="A257" t="str">
            <v>W00253</v>
          </cell>
          <cell r="B257">
            <v>248</v>
          </cell>
          <cell r="C257" t="str">
            <v>AJIT K TYAGI</v>
          </cell>
          <cell r="D257">
            <v>1</v>
          </cell>
          <cell r="E257">
            <v>36159</v>
          </cell>
          <cell r="F257">
            <v>4410000</v>
          </cell>
          <cell r="G257">
            <v>14.91</v>
          </cell>
          <cell r="I257" t="e">
            <v>#REF!</v>
          </cell>
          <cell r="K257">
            <v>14.6</v>
          </cell>
          <cell r="M257">
            <v>0.14599999999999999</v>
          </cell>
          <cell r="N257">
            <v>1.95E-2</v>
          </cell>
          <cell r="O257">
            <v>4.0000000000000001E-3</v>
          </cell>
          <cell r="P257">
            <v>0.1225</v>
          </cell>
        </row>
        <row r="258">
          <cell r="A258" t="str">
            <v>W00251</v>
          </cell>
          <cell r="B258">
            <v>249</v>
          </cell>
          <cell r="C258" t="str">
            <v>ASSAM HOSPITAL CFM</v>
          </cell>
          <cell r="D258">
            <v>1</v>
          </cell>
          <cell r="E258">
            <v>36159</v>
          </cell>
          <cell r="F258">
            <v>1944800</v>
          </cell>
          <cell r="G258">
            <v>14.91</v>
          </cell>
          <cell r="I258" t="e">
            <v>#REF!</v>
          </cell>
          <cell r="K258">
            <v>14.6</v>
          </cell>
          <cell r="M258">
            <v>0.14599999999999999</v>
          </cell>
          <cell r="N258">
            <v>1.95E-2</v>
          </cell>
          <cell r="O258">
            <v>4.0000000000000001E-3</v>
          </cell>
          <cell r="P258">
            <v>0.1225</v>
          </cell>
        </row>
        <row r="259">
          <cell r="A259" t="str">
            <v>W00252</v>
          </cell>
          <cell r="B259">
            <v>250</v>
          </cell>
          <cell r="C259" t="str">
            <v>ASSAM HOSPITAL CT</v>
          </cell>
          <cell r="D259">
            <v>1</v>
          </cell>
          <cell r="E259">
            <v>36159</v>
          </cell>
          <cell r="F259">
            <v>6086400</v>
          </cell>
          <cell r="G259">
            <v>14.91</v>
          </cell>
          <cell r="I259" t="e">
            <v>#REF!</v>
          </cell>
          <cell r="K259">
            <v>14.6</v>
          </cell>
          <cell r="M259">
            <v>0.14599999999999999</v>
          </cell>
          <cell r="N259">
            <v>1.95E-2</v>
          </cell>
          <cell r="O259">
            <v>4.0000000000000001E-3</v>
          </cell>
          <cell r="P259">
            <v>0.1225</v>
          </cell>
        </row>
        <row r="260">
          <cell r="A260" t="str">
            <v>W00250</v>
          </cell>
          <cell r="B260">
            <v>251</v>
          </cell>
          <cell r="C260" t="str">
            <v>ASSAM HOSPITAL XRAY</v>
          </cell>
          <cell r="D260">
            <v>1</v>
          </cell>
          <cell r="E260">
            <v>36159</v>
          </cell>
          <cell r="F260">
            <v>1888800</v>
          </cell>
          <cell r="G260">
            <v>14.91</v>
          </cell>
          <cell r="I260" t="e">
            <v>#REF!</v>
          </cell>
          <cell r="K260">
            <v>14.6</v>
          </cell>
          <cell r="M260">
            <v>0.14599999999999999</v>
          </cell>
          <cell r="N260">
            <v>1.95E-2</v>
          </cell>
          <cell r="O260">
            <v>4.0000000000000001E-3</v>
          </cell>
          <cell r="P260">
            <v>0.1225</v>
          </cell>
        </row>
        <row r="261">
          <cell r="A261" t="str">
            <v>W00249</v>
          </cell>
          <cell r="B261">
            <v>252</v>
          </cell>
          <cell r="C261" t="str">
            <v>COCHIN COOPERATIVE</v>
          </cell>
          <cell r="D261">
            <v>1</v>
          </cell>
          <cell r="E261">
            <v>36159</v>
          </cell>
          <cell r="F261">
            <v>5133330</v>
          </cell>
          <cell r="G261">
            <v>14.91</v>
          </cell>
          <cell r="I261" t="e">
            <v>#REF!</v>
          </cell>
          <cell r="K261">
            <v>14.6</v>
          </cell>
          <cell r="M261">
            <v>0.14599999999999999</v>
          </cell>
          <cell r="N261">
            <v>1.95E-2</v>
          </cell>
          <cell r="O261">
            <v>4.0000000000000001E-3</v>
          </cell>
          <cell r="P261">
            <v>0.1225</v>
          </cell>
        </row>
        <row r="262">
          <cell r="A262" t="str">
            <v>W00254</v>
          </cell>
          <cell r="B262">
            <v>253</v>
          </cell>
          <cell r="C262" t="str">
            <v>SPANDAN DIAGNOSTICS(foreclosed in july 99)</v>
          </cell>
          <cell r="D262">
            <v>1</v>
          </cell>
          <cell r="E262">
            <v>36159</v>
          </cell>
          <cell r="F262">
            <v>6253000</v>
          </cell>
          <cell r="G262">
            <v>0</v>
          </cell>
          <cell r="I262" t="e">
            <v>#REF!</v>
          </cell>
          <cell r="K262">
            <v>14.6</v>
          </cell>
          <cell r="M262">
            <v>0.14599999999999999</v>
          </cell>
          <cell r="N262">
            <v>1.95E-2</v>
          </cell>
          <cell r="O262">
            <v>4.0000000000000001E-3</v>
          </cell>
          <cell r="P262">
            <v>0.1225</v>
          </cell>
        </row>
        <row r="263">
          <cell r="A263" t="str">
            <v>W00258</v>
          </cell>
          <cell r="B263">
            <v>254</v>
          </cell>
          <cell r="C263" t="str">
            <v>AGNES M P RAYAL</v>
          </cell>
          <cell r="D263">
            <v>1</v>
          </cell>
          <cell r="E263">
            <v>36192</v>
          </cell>
          <cell r="F263">
            <v>937500</v>
          </cell>
          <cell r="G263">
            <v>14.91</v>
          </cell>
          <cell r="I263" t="e">
            <v>#REF!</v>
          </cell>
          <cell r="K263">
            <v>14.6</v>
          </cell>
          <cell r="M263">
            <v>0.14599999999999999</v>
          </cell>
          <cell r="N263">
            <v>1.95E-2</v>
          </cell>
          <cell r="O263">
            <v>4.0000000000000001E-3</v>
          </cell>
          <cell r="P263">
            <v>0.1225</v>
          </cell>
        </row>
        <row r="264">
          <cell r="A264" t="str">
            <v>W00262</v>
          </cell>
          <cell r="B264">
            <v>255</v>
          </cell>
          <cell r="C264" t="str">
            <v>ANIL PATIL</v>
          </cell>
          <cell r="D264">
            <v>1</v>
          </cell>
          <cell r="E264">
            <v>36192</v>
          </cell>
          <cell r="F264">
            <v>1000000</v>
          </cell>
          <cell r="G264">
            <v>14.91</v>
          </cell>
          <cell r="I264" t="e">
            <v>#REF!</v>
          </cell>
          <cell r="J264">
            <v>11986.712602739726</v>
          </cell>
          <cell r="K264">
            <v>14.6</v>
          </cell>
          <cell r="M264">
            <v>0.14599999999999999</v>
          </cell>
          <cell r="N264">
            <v>1.95E-2</v>
          </cell>
          <cell r="O264">
            <v>4.0000000000000001E-3</v>
          </cell>
          <cell r="P264">
            <v>0.1225</v>
          </cell>
        </row>
        <row r="265">
          <cell r="A265" t="str">
            <v>W00259</v>
          </cell>
          <cell r="B265">
            <v>256</v>
          </cell>
          <cell r="C265" t="str">
            <v>HEMANT THAKKAR</v>
          </cell>
          <cell r="D265">
            <v>1</v>
          </cell>
          <cell r="E265">
            <v>36192</v>
          </cell>
          <cell r="F265">
            <v>939705</v>
          </cell>
          <cell r="G265">
            <v>14.91</v>
          </cell>
          <cell r="I265" t="e">
            <v>#REF!</v>
          </cell>
          <cell r="J265">
            <v>339.84065013698626</v>
          </cell>
          <cell r="K265">
            <v>14.6</v>
          </cell>
          <cell r="M265">
            <v>0.14599999999999999</v>
          </cell>
          <cell r="N265">
            <v>1.95E-2</v>
          </cell>
          <cell r="O265">
            <v>4.0000000000000001E-3</v>
          </cell>
          <cell r="P265">
            <v>0.1225</v>
          </cell>
        </row>
        <row r="266">
          <cell r="A266" t="str">
            <v>W00255</v>
          </cell>
          <cell r="B266">
            <v>257</v>
          </cell>
          <cell r="C266" t="str">
            <v>KAMALA SHANMUGHAN</v>
          </cell>
          <cell r="D266">
            <v>1</v>
          </cell>
          <cell r="E266">
            <v>36192</v>
          </cell>
          <cell r="F266">
            <v>800000</v>
          </cell>
          <cell r="G266">
            <v>14.91</v>
          </cell>
          <cell r="I266" t="e">
            <v>#REF!</v>
          </cell>
          <cell r="J266">
            <v>2718.7970893150687</v>
          </cell>
          <cell r="K266">
            <v>14.6</v>
          </cell>
          <cell r="M266">
            <v>0.14599999999999999</v>
          </cell>
          <cell r="N266">
            <v>1.95E-2</v>
          </cell>
          <cell r="O266">
            <v>4.0000000000000001E-3</v>
          </cell>
          <cell r="P266">
            <v>0.1225</v>
          </cell>
        </row>
        <row r="267">
          <cell r="A267" t="str">
            <v>W00260</v>
          </cell>
          <cell r="B267">
            <v>258</v>
          </cell>
          <cell r="C267" t="str">
            <v>S N KUCHAL</v>
          </cell>
          <cell r="D267">
            <v>1</v>
          </cell>
          <cell r="E267">
            <v>36192</v>
          </cell>
          <cell r="F267">
            <v>1145000</v>
          </cell>
          <cell r="G267">
            <v>14.91</v>
          </cell>
          <cell r="I267" t="e">
            <v>#REF!</v>
          </cell>
          <cell r="K267">
            <v>14.6</v>
          </cell>
          <cell r="M267">
            <v>0.14599999999999999</v>
          </cell>
          <cell r="N267">
            <v>1.95E-2</v>
          </cell>
          <cell r="O267">
            <v>4.0000000000000001E-3</v>
          </cell>
          <cell r="P267">
            <v>0.1225</v>
          </cell>
        </row>
        <row r="268">
          <cell r="A268" t="str">
            <v>W00261</v>
          </cell>
          <cell r="B268">
            <v>259</v>
          </cell>
          <cell r="C268" t="str">
            <v>INFERTILITY INSTITUTE</v>
          </cell>
          <cell r="D268">
            <v>2</v>
          </cell>
          <cell r="E268">
            <v>36192</v>
          </cell>
          <cell r="F268">
            <v>1325978</v>
          </cell>
          <cell r="G268">
            <v>14.91</v>
          </cell>
          <cell r="I268" t="e">
            <v>#REF!</v>
          </cell>
          <cell r="K268">
            <v>14.6</v>
          </cell>
          <cell r="M268">
            <v>0.14599999999999999</v>
          </cell>
          <cell r="N268">
            <v>1.95E-2</v>
          </cell>
          <cell r="O268">
            <v>4.0000000000000001E-3</v>
          </cell>
          <cell r="P268">
            <v>0.1225</v>
          </cell>
        </row>
        <row r="269">
          <cell r="A269" t="str">
            <v>W00257</v>
          </cell>
          <cell r="B269">
            <v>260</v>
          </cell>
          <cell r="C269" t="str">
            <v>MUKUND LAL MEMORIAL FOUNDATION</v>
          </cell>
          <cell r="D269">
            <v>1</v>
          </cell>
          <cell r="E269">
            <v>36192</v>
          </cell>
          <cell r="F269">
            <v>1331200</v>
          </cell>
          <cell r="G269">
            <v>14.91</v>
          </cell>
          <cell r="I269" t="e">
            <v>#REF!</v>
          </cell>
          <cell r="K269">
            <v>14.6</v>
          </cell>
          <cell r="M269">
            <v>0.14599999999999999</v>
          </cell>
          <cell r="N269">
            <v>1.95E-2</v>
          </cell>
          <cell r="O269">
            <v>4.0000000000000001E-3</v>
          </cell>
          <cell r="P269">
            <v>0.1225</v>
          </cell>
        </row>
        <row r="270">
          <cell r="A270" t="str">
            <v>W00256</v>
          </cell>
          <cell r="B270">
            <v>261</v>
          </cell>
          <cell r="C270" t="str">
            <v>UNITED SCAN CENTRE</v>
          </cell>
          <cell r="D270">
            <v>1</v>
          </cell>
          <cell r="E270">
            <v>36192</v>
          </cell>
          <cell r="F270">
            <v>2120000</v>
          </cell>
          <cell r="G270">
            <v>14.91</v>
          </cell>
          <cell r="I270" t="e">
            <v>#REF!</v>
          </cell>
          <cell r="K270">
            <v>14.6</v>
          </cell>
          <cell r="M270">
            <v>0.14599999999999999</v>
          </cell>
          <cell r="N270">
            <v>1.95E-2</v>
          </cell>
          <cell r="O270">
            <v>4.0000000000000001E-3</v>
          </cell>
          <cell r="P270">
            <v>0.1225</v>
          </cell>
        </row>
        <row r="271">
          <cell r="A271" t="str">
            <v>W00263</v>
          </cell>
          <cell r="B271">
            <v>262</v>
          </cell>
          <cell r="C271" t="str">
            <v>B C CHOUBEY</v>
          </cell>
          <cell r="D271">
            <v>1</v>
          </cell>
          <cell r="E271">
            <v>36207</v>
          </cell>
          <cell r="F271">
            <v>335000</v>
          </cell>
          <cell r="G271">
            <v>14.91</v>
          </cell>
          <cell r="I271" t="e">
            <v>#REF!</v>
          </cell>
          <cell r="J271">
            <v>3332.5464986301372</v>
          </cell>
          <cell r="K271">
            <v>14.6</v>
          </cell>
          <cell r="M271">
            <v>0.14599999999999999</v>
          </cell>
          <cell r="N271">
            <v>1.95E-2</v>
          </cell>
          <cell r="O271">
            <v>4.0000000000000001E-3</v>
          </cell>
          <cell r="P271">
            <v>0.1225</v>
          </cell>
        </row>
        <row r="272">
          <cell r="A272" t="str">
            <v>W00264</v>
          </cell>
          <cell r="B272">
            <v>263</v>
          </cell>
          <cell r="C272" t="str">
            <v>RAI MEMORIAL MEDICAL CENTRE</v>
          </cell>
          <cell r="D272">
            <v>1</v>
          </cell>
          <cell r="E272">
            <v>36207</v>
          </cell>
          <cell r="F272">
            <v>1125000</v>
          </cell>
          <cell r="G272">
            <v>14.91</v>
          </cell>
          <cell r="I272" t="e">
            <v>#REF!</v>
          </cell>
          <cell r="J272">
            <v>289.90454794520548</v>
          </cell>
          <cell r="K272">
            <v>14.6</v>
          </cell>
          <cell r="M272">
            <v>0.14599999999999999</v>
          </cell>
          <cell r="N272">
            <v>1.95E-2</v>
          </cell>
          <cell r="O272">
            <v>4.0000000000000001E-3</v>
          </cell>
          <cell r="P272">
            <v>0.1225</v>
          </cell>
        </row>
        <row r="273">
          <cell r="A273" t="str">
            <v>W00266</v>
          </cell>
          <cell r="B273">
            <v>264</v>
          </cell>
          <cell r="C273" t="str">
            <v>GURMAIL SINGH</v>
          </cell>
          <cell r="D273">
            <v>1</v>
          </cell>
          <cell r="E273">
            <v>36208</v>
          </cell>
          <cell r="F273">
            <v>423750</v>
          </cell>
          <cell r="G273">
            <v>14.91</v>
          </cell>
          <cell r="I273" t="e">
            <v>#REF!</v>
          </cell>
          <cell r="J273">
            <v>47090.381076712336</v>
          </cell>
          <cell r="K273">
            <v>14.6</v>
          </cell>
          <cell r="M273">
            <v>0.14599999999999999</v>
          </cell>
          <cell r="N273">
            <v>1.95E-2</v>
          </cell>
          <cell r="O273">
            <v>4.0000000000000001E-3</v>
          </cell>
          <cell r="P273">
            <v>0.1225</v>
          </cell>
        </row>
        <row r="274">
          <cell r="A274" t="str">
            <v>W00265</v>
          </cell>
          <cell r="B274">
            <v>265</v>
          </cell>
          <cell r="C274" t="str">
            <v>LITTLE FLOWER RELIGIOUS &amp; CHARITABLE</v>
          </cell>
          <cell r="D274">
            <v>1</v>
          </cell>
          <cell r="E274">
            <v>36208</v>
          </cell>
          <cell r="F274">
            <v>449685</v>
          </cell>
          <cell r="G274">
            <v>14.91</v>
          </cell>
          <cell r="I274" t="e">
            <v>#REF!</v>
          </cell>
          <cell r="K274">
            <v>14.6</v>
          </cell>
          <cell r="M274">
            <v>0.14599999999999999</v>
          </cell>
          <cell r="N274">
            <v>1.95E-2</v>
          </cell>
          <cell r="O274">
            <v>4.0000000000000001E-3</v>
          </cell>
          <cell r="P274">
            <v>0.1225</v>
          </cell>
        </row>
        <row r="275">
          <cell r="A275" t="str">
            <v>W00268</v>
          </cell>
          <cell r="B275">
            <v>266</v>
          </cell>
          <cell r="C275" t="str">
            <v>GANESH SCAN CENTRE</v>
          </cell>
          <cell r="D275">
            <v>1</v>
          </cell>
          <cell r="E275">
            <v>36231</v>
          </cell>
          <cell r="F275">
            <v>900000</v>
          </cell>
          <cell r="G275">
            <v>14.91</v>
          </cell>
          <cell r="I275" t="e">
            <v>#REF!</v>
          </cell>
          <cell r="K275">
            <v>14.6</v>
          </cell>
          <cell r="M275">
            <v>0.14599999999999999</v>
          </cell>
          <cell r="N275">
            <v>1.95E-2</v>
          </cell>
          <cell r="O275">
            <v>4.0000000000000001E-3</v>
          </cell>
          <cell r="P275">
            <v>0.1225</v>
          </cell>
        </row>
        <row r="276">
          <cell r="A276" t="str">
            <v>W00270</v>
          </cell>
          <cell r="B276">
            <v>267</v>
          </cell>
          <cell r="C276" t="str">
            <v>M K SARAOGI</v>
          </cell>
          <cell r="D276">
            <v>1</v>
          </cell>
          <cell r="E276">
            <v>36253</v>
          </cell>
          <cell r="F276">
            <v>916250</v>
          </cell>
          <cell r="G276">
            <v>14.91</v>
          </cell>
          <cell r="I276" t="e">
            <v>#REF!</v>
          </cell>
          <cell r="J276">
            <v>7305.3500493150677</v>
          </cell>
          <cell r="K276">
            <v>14.35</v>
          </cell>
          <cell r="M276">
            <v>0.14349999999999999</v>
          </cell>
          <cell r="N276">
            <v>1.95E-2</v>
          </cell>
          <cell r="O276">
            <v>4.0000000000000001E-3</v>
          </cell>
          <cell r="P276">
            <v>0.11999999999999998</v>
          </cell>
        </row>
        <row r="277">
          <cell r="A277" t="str">
            <v>W00269</v>
          </cell>
          <cell r="B277">
            <v>268</v>
          </cell>
          <cell r="C277" t="str">
            <v>SUNIL BHATIA</v>
          </cell>
          <cell r="D277">
            <v>1</v>
          </cell>
          <cell r="E277">
            <v>36253</v>
          </cell>
          <cell r="F277">
            <v>851000</v>
          </cell>
          <cell r="G277">
            <v>14.91</v>
          </cell>
          <cell r="I277" t="e">
            <v>#REF!</v>
          </cell>
          <cell r="K277">
            <v>14.35</v>
          </cell>
          <cell r="M277">
            <v>0.14349999999999999</v>
          </cell>
          <cell r="N277">
            <v>1.95E-2</v>
          </cell>
          <cell r="O277">
            <v>4.0000000000000001E-3</v>
          </cell>
          <cell r="P277">
            <v>0.11999999999999998</v>
          </cell>
        </row>
        <row r="278">
          <cell r="A278" t="str">
            <v>W10001</v>
          </cell>
          <cell r="B278">
            <v>269</v>
          </cell>
          <cell r="C278" t="str">
            <v>R N BAGGA ( Forcl in Oct-00 )</v>
          </cell>
          <cell r="D278">
            <v>1</v>
          </cell>
          <cell r="E278">
            <v>36283</v>
          </cell>
          <cell r="F278">
            <v>249000</v>
          </cell>
          <cell r="G278">
            <v>14.91</v>
          </cell>
          <cell r="I278" t="e">
            <v>#REF!</v>
          </cell>
          <cell r="J278">
            <v>11242.338147945205</v>
          </cell>
          <cell r="K278">
            <v>14.35</v>
          </cell>
          <cell r="M278">
            <v>0.14349999999999999</v>
          </cell>
          <cell r="N278">
            <v>1.95E-2</v>
          </cell>
          <cell r="O278">
            <v>4.0000000000000001E-3</v>
          </cell>
          <cell r="P278">
            <v>0.11999999999999998</v>
          </cell>
        </row>
        <row r="279">
          <cell r="A279" t="str">
            <v>W10002</v>
          </cell>
          <cell r="B279">
            <v>270</v>
          </cell>
          <cell r="C279" t="str">
            <v>HARBANS K SINGH</v>
          </cell>
          <cell r="D279">
            <v>1</v>
          </cell>
          <cell r="E279">
            <v>36293</v>
          </cell>
          <cell r="F279">
            <v>392000</v>
          </cell>
          <cell r="G279">
            <v>14.91</v>
          </cell>
          <cell r="I279" t="e">
            <v>#REF!</v>
          </cell>
          <cell r="J279">
            <v>13767.51879890411</v>
          </cell>
          <cell r="K279">
            <v>14.35</v>
          </cell>
          <cell r="M279">
            <v>0.14349999999999999</v>
          </cell>
          <cell r="N279">
            <v>1.95E-2</v>
          </cell>
          <cell r="O279">
            <v>4.0000000000000001E-3</v>
          </cell>
          <cell r="P279">
            <v>0.11999999999999998</v>
          </cell>
        </row>
        <row r="280">
          <cell r="A280" t="str">
            <v>W10003</v>
          </cell>
          <cell r="B280">
            <v>271</v>
          </cell>
          <cell r="C280" t="str">
            <v>R K GUPTA</v>
          </cell>
          <cell r="D280">
            <v>1</v>
          </cell>
          <cell r="E280">
            <v>36293</v>
          </cell>
          <cell r="F280">
            <v>425000</v>
          </cell>
          <cell r="G280">
            <v>14.91</v>
          </cell>
          <cell r="I280" t="e">
            <v>#REF!</v>
          </cell>
          <cell r="J280">
            <v>8150.8703342465742</v>
          </cell>
          <cell r="K280">
            <v>14.35</v>
          </cell>
          <cell r="M280">
            <v>0.14349999999999999</v>
          </cell>
          <cell r="N280">
            <v>1.95E-2</v>
          </cell>
          <cell r="O280">
            <v>4.0000000000000001E-3</v>
          </cell>
          <cell r="P280">
            <v>0.11999999999999998</v>
          </cell>
        </row>
        <row r="281">
          <cell r="A281" t="str">
            <v>W10005</v>
          </cell>
          <cell r="B281">
            <v>272</v>
          </cell>
          <cell r="C281" t="str">
            <v>KISHORE DIAGNOSTICS</v>
          </cell>
          <cell r="D281">
            <v>2</v>
          </cell>
          <cell r="E281">
            <v>36300</v>
          </cell>
          <cell r="F281">
            <v>360000</v>
          </cell>
          <cell r="G281">
            <v>14.91</v>
          </cell>
          <cell r="I281" t="e">
            <v>#REF!</v>
          </cell>
          <cell r="K281">
            <v>14.35</v>
          </cell>
          <cell r="M281">
            <v>0.14349999999999999</v>
          </cell>
          <cell r="N281">
            <v>1.95E-2</v>
          </cell>
          <cell r="O281">
            <v>4.0000000000000001E-3</v>
          </cell>
          <cell r="P281">
            <v>0.11999999999999998</v>
          </cell>
        </row>
        <row r="282">
          <cell r="A282" t="str">
            <v>W10006</v>
          </cell>
          <cell r="B282">
            <v>273</v>
          </cell>
          <cell r="C282" t="str">
            <v>SARAL ADVANCED DIAGNOSTICS</v>
          </cell>
          <cell r="D282">
            <v>1</v>
          </cell>
          <cell r="E282">
            <v>36300</v>
          </cell>
          <cell r="F282">
            <v>23000000</v>
          </cell>
          <cell r="G282">
            <v>14.91</v>
          </cell>
          <cell r="I282" t="e">
            <v>#REF!</v>
          </cell>
          <cell r="K282">
            <v>14.35</v>
          </cell>
          <cell r="M282">
            <v>0.14349999999999999</v>
          </cell>
          <cell r="N282">
            <v>1.95E-2</v>
          </cell>
          <cell r="O282">
            <v>4.0000000000000001E-3</v>
          </cell>
          <cell r="P282">
            <v>0.11999999999999998</v>
          </cell>
        </row>
        <row r="283">
          <cell r="A283" t="str">
            <v>W10007</v>
          </cell>
          <cell r="B283">
            <v>274</v>
          </cell>
          <cell r="C283" t="str">
            <v>SHEEL NURSING HOME(foreclosed in july 99)</v>
          </cell>
          <cell r="D283">
            <v>1</v>
          </cell>
          <cell r="E283">
            <v>36300</v>
          </cell>
          <cell r="F283">
            <v>8962500</v>
          </cell>
          <cell r="G283">
            <v>0</v>
          </cell>
          <cell r="I283" t="e">
            <v>#REF!</v>
          </cell>
          <cell r="K283">
            <v>14.35</v>
          </cell>
          <cell r="M283">
            <v>0.14349999999999999</v>
          </cell>
          <cell r="N283">
            <v>1.95E-2</v>
          </cell>
          <cell r="O283">
            <v>4.0000000000000001E-3</v>
          </cell>
          <cell r="P283">
            <v>0.11999999999999998</v>
          </cell>
        </row>
        <row r="284">
          <cell r="A284" t="str">
            <v>W10004</v>
          </cell>
          <cell r="B284">
            <v>275</v>
          </cell>
          <cell r="C284" t="str">
            <v>ULTRASONX</v>
          </cell>
          <cell r="D284">
            <v>2</v>
          </cell>
          <cell r="E284">
            <v>36300</v>
          </cell>
          <cell r="F284">
            <v>1580000</v>
          </cell>
          <cell r="G284">
            <v>14.91</v>
          </cell>
          <cell r="I284" t="e">
            <v>#REF!</v>
          </cell>
          <cell r="K284">
            <v>14.35</v>
          </cell>
          <cell r="M284">
            <v>0.14349999999999999</v>
          </cell>
          <cell r="N284">
            <v>1.95E-2</v>
          </cell>
          <cell r="O284">
            <v>4.0000000000000001E-3</v>
          </cell>
          <cell r="P284">
            <v>0.11999999999999998</v>
          </cell>
        </row>
        <row r="285">
          <cell r="A285" t="str">
            <v>W10008</v>
          </cell>
          <cell r="B285">
            <v>276</v>
          </cell>
          <cell r="C285" t="str">
            <v>CHRISTRAJ HOSPITAL (JUNE 99)</v>
          </cell>
          <cell r="D285">
            <v>1</v>
          </cell>
          <cell r="E285">
            <v>36305</v>
          </cell>
          <cell r="F285">
            <v>341539</v>
          </cell>
          <cell r="G285">
            <v>14.66</v>
          </cell>
          <cell r="I285" t="e">
            <v>#REF!</v>
          </cell>
          <cell r="K285">
            <v>14.35</v>
          </cell>
          <cell r="M285">
            <v>0.14349999999999999</v>
          </cell>
          <cell r="N285">
            <v>1.95E-2</v>
          </cell>
          <cell r="O285">
            <v>4.0000000000000001E-3</v>
          </cell>
          <cell r="P285">
            <v>0.11999999999999998</v>
          </cell>
        </row>
        <row r="286">
          <cell r="A286" t="str">
            <v>W10009</v>
          </cell>
          <cell r="B286">
            <v>277</v>
          </cell>
          <cell r="C286" t="str">
            <v>THANKAM PANOSE (JUNE 99)</v>
          </cell>
          <cell r="D286">
            <v>1</v>
          </cell>
          <cell r="E286">
            <v>36305</v>
          </cell>
          <cell r="F286">
            <v>316743</v>
          </cell>
          <cell r="G286">
            <v>14.66</v>
          </cell>
          <cell r="I286" t="e">
            <v>#REF!</v>
          </cell>
          <cell r="K286">
            <v>14.35</v>
          </cell>
          <cell r="M286">
            <v>0.14349999999999999</v>
          </cell>
          <cell r="N286">
            <v>1.95E-2</v>
          </cell>
          <cell r="O286">
            <v>4.0000000000000001E-3</v>
          </cell>
          <cell r="P286">
            <v>0.11999999999999998</v>
          </cell>
        </row>
        <row r="287">
          <cell r="A287" t="str">
            <v>W10011</v>
          </cell>
          <cell r="B287">
            <v>278</v>
          </cell>
          <cell r="C287" t="str">
            <v>SHUBHAM DIAGNOSTICS CENTRE P LTD</v>
          </cell>
          <cell r="D287">
            <v>1</v>
          </cell>
          <cell r="E287">
            <v>36314</v>
          </cell>
          <cell r="F287">
            <v>1551250</v>
          </cell>
          <cell r="G287">
            <v>14.66</v>
          </cell>
          <cell r="I287" t="e">
            <v>#REF!</v>
          </cell>
          <cell r="K287">
            <v>14.35</v>
          </cell>
          <cell r="M287">
            <v>0.14349999999999999</v>
          </cell>
          <cell r="N287">
            <v>1.95E-2</v>
          </cell>
          <cell r="O287">
            <v>4.0000000000000001E-3</v>
          </cell>
          <cell r="P287">
            <v>0.11999999999999998</v>
          </cell>
        </row>
        <row r="288">
          <cell r="A288" t="str">
            <v>W10010</v>
          </cell>
          <cell r="B288">
            <v>279</v>
          </cell>
          <cell r="C288" t="str">
            <v>SRINIVASA ULTRA SOUND SCANNING CENTRE</v>
          </cell>
          <cell r="D288">
            <v>1</v>
          </cell>
          <cell r="E288">
            <v>36314</v>
          </cell>
          <cell r="F288">
            <v>885150</v>
          </cell>
          <cell r="G288">
            <v>14.66</v>
          </cell>
          <cell r="I288" t="e">
            <v>#REF!</v>
          </cell>
          <cell r="K288">
            <v>14.35</v>
          </cell>
          <cell r="M288">
            <v>0.14349999999999999</v>
          </cell>
          <cell r="N288">
            <v>1.95E-2</v>
          </cell>
          <cell r="O288">
            <v>4.0000000000000001E-3</v>
          </cell>
          <cell r="P288">
            <v>0.11999999999999998</v>
          </cell>
        </row>
        <row r="289">
          <cell r="A289" t="str">
            <v>W10012</v>
          </cell>
          <cell r="B289">
            <v>280</v>
          </cell>
          <cell r="C289" t="str">
            <v>Y K DIAGNOSTICS</v>
          </cell>
          <cell r="D289">
            <v>1</v>
          </cell>
          <cell r="E289">
            <v>36314</v>
          </cell>
          <cell r="F289">
            <v>5888100</v>
          </cell>
          <cell r="G289">
            <v>14.66</v>
          </cell>
          <cell r="I289" t="e">
            <v>#REF!</v>
          </cell>
          <cell r="K289">
            <v>14.35</v>
          </cell>
          <cell r="M289">
            <v>0.14349999999999999</v>
          </cell>
          <cell r="N289">
            <v>1.95E-2</v>
          </cell>
          <cell r="O289">
            <v>4.0000000000000001E-3</v>
          </cell>
          <cell r="P289">
            <v>0.11999999999999998</v>
          </cell>
        </row>
        <row r="290">
          <cell r="A290" t="str">
            <v>W10013</v>
          </cell>
          <cell r="B290">
            <v>281</v>
          </cell>
          <cell r="C290" t="str">
            <v>BBS Mediscanners Pvt Ltd</v>
          </cell>
          <cell r="D290">
            <v>1</v>
          </cell>
          <cell r="E290">
            <v>36326</v>
          </cell>
          <cell r="F290">
            <v>1267500</v>
          </cell>
          <cell r="G290">
            <v>14.66</v>
          </cell>
          <cell r="I290" t="e">
            <v>#REF!</v>
          </cell>
          <cell r="K290">
            <v>14.35</v>
          </cell>
          <cell r="M290">
            <v>0.14349999999999999</v>
          </cell>
          <cell r="N290">
            <v>1.95E-2</v>
          </cell>
          <cell r="O290">
            <v>4.0000000000000001E-3</v>
          </cell>
          <cell r="P290">
            <v>0.11999999999999998</v>
          </cell>
        </row>
        <row r="291">
          <cell r="A291" t="str">
            <v>W10015</v>
          </cell>
          <cell r="B291">
            <v>282</v>
          </cell>
          <cell r="C291" t="str">
            <v>Duljeet Yadav</v>
          </cell>
          <cell r="D291">
            <v>1</v>
          </cell>
          <cell r="E291">
            <v>36326</v>
          </cell>
          <cell r="F291">
            <v>348000</v>
          </cell>
          <cell r="G291">
            <v>14.66</v>
          </cell>
          <cell r="I291" t="e">
            <v>#REF!</v>
          </cell>
          <cell r="J291">
            <v>27008.36597589041</v>
          </cell>
          <cell r="K291">
            <v>14.35</v>
          </cell>
          <cell r="M291">
            <v>0.14349999999999999</v>
          </cell>
          <cell r="N291">
            <v>1.95E-2</v>
          </cell>
          <cell r="O291">
            <v>4.0000000000000001E-3</v>
          </cell>
          <cell r="P291">
            <v>0.11999999999999998</v>
          </cell>
        </row>
        <row r="292">
          <cell r="A292" t="str">
            <v>W10016</v>
          </cell>
          <cell r="B292">
            <v>283</v>
          </cell>
          <cell r="C292" t="str">
            <v>Mrs Neena Kwatra</v>
          </cell>
          <cell r="D292">
            <v>1</v>
          </cell>
          <cell r="E292">
            <v>36326</v>
          </cell>
          <cell r="F292">
            <v>360000</v>
          </cell>
          <cell r="G292">
            <v>14.66</v>
          </cell>
          <cell r="I292" t="e">
            <v>#REF!</v>
          </cell>
          <cell r="K292">
            <v>14.35</v>
          </cell>
          <cell r="M292">
            <v>0.14349999999999999</v>
          </cell>
          <cell r="N292">
            <v>1.95E-2</v>
          </cell>
          <cell r="O292">
            <v>4.0000000000000001E-3</v>
          </cell>
          <cell r="P292">
            <v>0.11999999999999998</v>
          </cell>
        </row>
        <row r="293">
          <cell r="A293" t="str">
            <v>W10017</v>
          </cell>
          <cell r="B293">
            <v>284</v>
          </cell>
          <cell r="C293" t="str">
            <v>V B Rajavel</v>
          </cell>
          <cell r="D293">
            <v>1</v>
          </cell>
          <cell r="E293">
            <v>36326</v>
          </cell>
          <cell r="F293">
            <v>412500</v>
          </cell>
          <cell r="G293">
            <v>14.66</v>
          </cell>
          <cell r="I293" t="e">
            <v>#REF!</v>
          </cell>
          <cell r="K293">
            <v>14.35</v>
          </cell>
          <cell r="M293">
            <v>0.14349999999999999</v>
          </cell>
          <cell r="N293">
            <v>1.95E-2</v>
          </cell>
          <cell r="O293">
            <v>4.0000000000000001E-3</v>
          </cell>
          <cell r="P293">
            <v>0.11999999999999998</v>
          </cell>
        </row>
        <row r="294">
          <cell r="A294" t="str">
            <v>W10014</v>
          </cell>
          <cell r="B294">
            <v>285</v>
          </cell>
          <cell r="C294" t="str">
            <v>Kartiayani Nursing Home</v>
          </cell>
          <cell r="D294">
            <v>1</v>
          </cell>
          <cell r="E294">
            <v>36326</v>
          </cell>
          <cell r="F294">
            <v>1314908</v>
          </cell>
          <cell r="G294">
            <v>14.66</v>
          </cell>
          <cell r="I294" t="e">
            <v>#REF!</v>
          </cell>
          <cell r="K294">
            <v>14.35</v>
          </cell>
          <cell r="M294">
            <v>0.14349999999999999</v>
          </cell>
          <cell r="N294">
            <v>1.95E-2</v>
          </cell>
          <cell r="O294">
            <v>4.0000000000000001E-3</v>
          </cell>
          <cell r="P294">
            <v>0.11999999999999998</v>
          </cell>
        </row>
        <row r="295">
          <cell r="A295" t="str">
            <v>W10020</v>
          </cell>
          <cell r="B295">
            <v>286</v>
          </cell>
          <cell r="C295" t="str">
            <v>N.S.THAKUR</v>
          </cell>
          <cell r="D295">
            <v>1</v>
          </cell>
          <cell r="E295">
            <v>36336</v>
          </cell>
          <cell r="F295">
            <v>333952</v>
          </cell>
          <cell r="G295">
            <v>14.66</v>
          </cell>
          <cell r="I295" t="e">
            <v>#REF!</v>
          </cell>
          <cell r="K295">
            <v>14.35</v>
          </cell>
          <cell r="M295">
            <v>0.14349999999999999</v>
          </cell>
          <cell r="N295">
            <v>1.95E-2</v>
          </cell>
          <cell r="O295">
            <v>4.0000000000000001E-3</v>
          </cell>
          <cell r="P295">
            <v>0.11999999999999998</v>
          </cell>
        </row>
        <row r="296">
          <cell r="A296" t="str">
            <v>W10019</v>
          </cell>
          <cell r="B296">
            <v>287</v>
          </cell>
          <cell r="C296" t="str">
            <v>SRI GANGACHARAN HOSPITAL</v>
          </cell>
          <cell r="D296">
            <v>1</v>
          </cell>
          <cell r="E296">
            <v>36336</v>
          </cell>
          <cell r="F296">
            <v>1781811</v>
          </cell>
          <cell r="G296">
            <v>14.66</v>
          </cell>
          <cell r="I296" t="e">
            <v>#REF!</v>
          </cell>
          <cell r="K296">
            <v>14.35</v>
          </cell>
          <cell r="M296">
            <v>0.14349999999999999</v>
          </cell>
          <cell r="N296">
            <v>1.95E-2</v>
          </cell>
          <cell r="O296">
            <v>4.0000000000000001E-3</v>
          </cell>
          <cell r="P296">
            <v>0.11999999999999998</v>
          </cell>
        </row>
        <row r="297">
          <cell r="A297" t="str">
            <v>W10018</v>
          </cell>
          <cell r="B297">
            <v>288</v>
          </cell>
          <cell r="C297" t="str">
            <v>VERDICT DIAGNOSTICS-II</v>
          </cell>
          <cell r="D297">
            <v>1</v>
          </cell>
          <cell r="E297">
            <v>36336</v>
          </cell>
          <cell r="F297">
            <v>5609000</v>
          </cell>
          <cell r="G297">
            <v>14.66</v>
          </cell>
          <cell r="I297" t="e">
            <v>#REF!</v>
          </cell>
          <cell r="K297">
            <v>14.35</v>
          </cell>
          <cell r="M297">
            <v>0.14349999999999999</v>
          </cell>
          <cell r="N297">
            <v>1.95E-2</v>
          </cell>
          <cell r="O297">
            <v>4.0000000000000001E-3</v>
          </cell>
          <cell r="P297">
            <v>0.11999999999999998</v>
          </cell>
        </row>
        <row r="298">
          <cell r="A298" t="str">
            <v>W10030</v>
          </cell>
          <cell r="B298">
            <v>289</v>
          </cell>
          <cell r="C298" t="str">
            <v>KALPANA ALEXANDER</v>
          </cell>
          <cell r="D298">
            <v>1</v>
          </cell>
          <cell r="E298">
            <v>36346</v>
          </cell>
          <cell r="F298">
            <v>1180000</v>
          </cell>
          <cell r="G298">
            <v>14.66</v>
          </cell>
          <cell r="I298" t="e">
            <v>#REF!</v>
          </cell>
          <cell r="K298">
            <v>14.35</v>
          </cell>
          <cell r="M298">
            <v>0.14349999999999999</v>
          </cell>
          <cell r="N298">
            <v>1.95E-2</v>
          </cell>
          <cell r="O298">
            <v>4.0000000000000001E-3</v>
          </cell>
          <cell r="P298">
            <v>0.11999999999999998</v>
          </cell>
        </row>
        <row r="299">
          <cell r="A299" t="str">
            <v>W10021</v>
          </cell>
          <cell r="B299">
            <v>290</v>
          </cell>
          <cell r="C299" t="str">
            <v>LAKSHMI SCAN  &amp; COLOR DOPPLER</v>
          </cell>
          <cell r="D299">
            <v>1</v>
          </cell>
          <cell r="E299">
            <v>36346</v>
          </cell>
          <cell r="F299">
            <v>1312500</v>
          </cell>
          <cell r="G299">
            <v>14.66</v>
          </cell>
          <cell r="I299" t="e">
            <v>#REF!</v>
          </cell>
          <cell r="K299">
            <v>14.35</v>
          </cell>
          <cell r="M299">
            <v>0.14349999999999999</v>
          </cell>
          <cell r="N299">
            <v>1.95E-2</v>
          </cell>
          <cell r="O299">
            <v>4.0000000000000001E-3</v>
          </cell>
          <cell r="P299">
            <v>0.11999999999999998</v>
          </cell>
        </row>
        <row r="300">
          <cell r="A300" t="str">
            <v>W10028</v>
          </cell>
          <cell r="B300">
            <v>291</v>
          </cell>
          <cell r="C300" t="str">
            <v>R.K.PRAKASH</v>
          </cell>
          <cell r="D300">
            <v>1</v>
          </cell>
          <cell r="E300">
            <v>36346</v>
          </cell>
          <cell r="F300">
            <v>200000</v>
          </cell>
          <cell r="G300">
            <v>14.66</v>
          </cell>
          <cell r="I300" t="e">
            <v>#REF!</v>
          </cell>
          <cell r="K300">
            <v>14.35</v>
          </cell>
          <cell r="M300">
            <v>0.14349999999999999</v>
          </cell>
          <cell r="N300">
            <v>1.95E-2</v>
          </cell>
          <cell r="O300">
            <v>4.0000000000000001E-3</v>
          </cell>
          <cell r="P300">
            <v>0.11999999999999998</v>
          </cell>
        </row>
        <row r="301">
          <cell r="A301" t="str">
            <v>W10027</v>
          </cell>
          <cell r="B301">
            <v>292</v>
          </cell>
          <cell r="C301" t="str">
            <v>V PADMAJA</v>
          </cell>
          <cell r="D301">
            <v>1</v>
          </cell>
          <cell r="E301">
            <v>36346</v>
          </cell>
          <cell r="F301">
            <v>376008</v>
          </cell>
          <cell r="G301">
            <v>14.66</v>
          </cell>
          <cell r="I301" t="e">
            <v>#REF!</v>
          </cell>
          <cell r="K301">
            <v>14.35</v>
          </cell>
          <cell r="M301">
            <v>0.14349999999999999</v>
          </cell>
          <cell r="N301">
            <v>1.95E-2</v>
          </cell>
          <cell r="O301">
            <v>4.0000000000000001E-3</v>
          </cell>
          <cell r="P301">
            <v>0.11999999999999998</v>
          </cell>
        </row>
        <row r="302">
          <cell r="A302" t="str">
            <v>W10029</v>
          </cell>
          <cell r="B302">
            <v>293</v>
          </cell>
          <cell r="C302" t="str">
            <v>VIVEK SONDHI</v>
          </cell>
          <cell r="D302">
            <v>1</v>
          </cell>
          <cell r="E302">
            <v>36346</v>
          </cell>
          <cell r="F302">
            <v>1088250</v>
          </cell>
          <cell r="G302">
            <v>14.66</v>
          </cell>
          <cell r="I302" t="e">
            <v>#REF!</v>
          </cell>
          <cell r="K302">
            <v>14.35</v>
          </cell>
          <cell r="M302">
            <v>0.14349999999999999</v>
          </cell>
          <cell r="N302">
            <v>1.95E-2</v>
          </cell>
          <cell r="O302">
            <v>4.0000000000000001E-3</v>
          </cell>
          <cell r="P302">
            <v>0.11999999999999998</v>
          </cell>
        </row>
        <row r="303">
          <cell r="A303" t="str">
            <v>W10024</v>
          </cell>
          <cell r="B303">
            <v>294</v>
          </cell>
          <cell r="C303" t="str">
            <v>AJAY WAHI</v>
          </cell>
          <cell r="D303">
            <v>1</v>
          </cell>
          <cell r="E303">
            <v>36367</v>
          </cell>
          <cell r="F303">
            <v>1481250</v>
          </cell>
          <cell r="G303">
            <v>14.66</v>
          </cell>
          <cell r="I303" t="e">
            <v>#REF!</v>
          </cell>
          <cell r="K303">
            <v>14.35</v>
          </cell>
          <cell r="M303">
            <v>0.14349999999999999</v>
          </cell>
          <cell r="N303">
            <v>1.95E-2</v>
          </cell>
          <cell r="O303">
            <v>4.0000000000000001E-3</v>
          </cell>
          <cell r="P303">
            <v>0.11999999999999998</v>
          </cell>
        </row>
        <row r="304">
          <cell r="A304" t="str">
            <v>W10025</v>
          </cell>
          <cell r="B304">
            <v>295</v>
          </cell>
          <cell r="C304" t="str">
            <v>G SURENDRAN</v>
          </cell>
          <cell r="D304">
            <v>1</v>
          </cell>
          <cell r="E304">
            <v>36367</v>
          </cell>
          <cell r="F304">
            <v>548344</v>
          </cell>
          <cell r="G304">
            <v>14.66</v>
          </cell>
          <cell r="I304" t="e">
            <v>#REF!</v>
          </cell>
          <cell r="K304">
            <v>14.35</v>
          </cell>
          <cell r="M304">
            <v>0.14349999999999999</v>
          </cell>
          <cell r="N304">
            <v>1.95E-2</v>
          </cell>
          <cell r="O304">
            <v>4.0000000000000001E-3</v>
          </cell>
          <cell r="P304">
            <v>0.11999999999999998</v>
          </cell>
        </row>
        <row r="305">
          <cell r="A305" t="str">
            <v>W10026</v>
          </cell>
          <cell r="B305">
            <v>296</v>
          </cell>
          <cell r="C305" t="str">
            <v>GOPAL MAHESHWARI</v>
          </cell>
          <cell r="D305">
            <v>1</v>
          </cell>
          <cell r="E305">
            <v>36367</v>
          </cell>
          <cell r="F305">
            <v>1552500</v>
          </cell>
          <cell r="G305">
            <v>14.66</v>
          </cell>
          <cell r="I305" t="e">
            <v>#REF!</v>
          </cell>
          <cell r="J305">
            <v>10317.324051506848</v>
          </cell>
          <cell r="K305">
            <v>14.35</v>
          </cell>
          <cell r="M305">
            <v>0.14349999999999999</v>
          </cell>
          <cell r="N305">
            <v>1.95E-2</v>
          </cell>
          <cell r="O305">
            <v>4.0000000000000001E-3</v>
          </cell>
          <cell r="P305">
            <v>0.11999999999999998</v>
          </cell>
        </row>
        <row r="306">
          <cell r="A306" t="str">
            <v>W10022</v>
          </cell>
          <cell r="B306">
            <v>297</v>
          </cell>
          <cell r="C306" t="str">
            <v>NIKIT P MEHTA</v>
          </cell>
          <cell r="D306">
            <v>1</v>
          </cell>
          <cell r="E306">
            <v>36367</v>
          </cell>
          <cell r="F306">
            <v>1100000</v>
          </cell>
          <cell r="G306">
            <v>14.66</v>
          </cell>
          <cell r="I306" t="e">
            <v>#REF!</v>
          </cell>
          <cell r="J306">
            <v>88108.839726027407</v>
          </cell>
          <cell r="K306">
            <v>14.35</v>
          </cell>
          <cell r="M306">
            <v>0.14349999999999999</v>
          </cell>
          <cell r="N306">
            <v>1.95E-2</v>
          </cell>
          <cell r="O306">
            <v>4.0000000000000001E-3</v>
          </cell>
          <cell r="P306">
            <v>0.11999999999999998</v>
          </cell>
        </row>
        <row r="307">
          <cell r="A307" t="str">
            <v>W10023</v>
          </cell>
          <cell r="B307">
            <v>298</v>
          </cell>
          <cell r="C307" t="str">
            <v>PETER B ALOYSIOUS NAVAMANI</v>
          </cell>
          <cell r="D307">
            <v>1</v>
          </cell>
          <cell r="E307">
            <v>36367</v>
          </cell>
          <cell r="F307">
            <v>284250</v>
          </cell>
          <cell r="G307">
            <v>14.66</v>
          </cell>
          <cell r="I307" t="e">
            <v>#REF!</v>
          </cell>
          <cell r="J307">
            <v>10225.0748630137</v>
          </cell>
          <cell r="K307">
            <v>14.35</v>
          </cell>
          <cell r="M307">
            <v>0.14349999999999999</v>
          </cell>
          <cell r="N307">
            <v>1.95E-2</v>
          </cell>
          <cell r="O307">
            <v>4.0000000000000001E-3</v>
          </cell>
          <cell r="P307">
            <v>0.11999999999999998</v>
          </cell>
        </row>
        <row r="308">
          <cell r="A308" t="str">
            <v>W10032</v>
          </cell>
          <cell r="B308">
            <v>299</v>
          </cell>
          <cell r="C308" t="str">
            <v>CHRISTIAN MISSION HOSPITAL</v>
          </cell>
          <cell r="D308">
            <v>1</v>
          </cell>
          <cell r="E308">
            <v>36396</v>
          </cell>
          <cell r="F308">
            <v>337500</v>
          </cell>
          <cell r="G308">
            <v>14.66</v>
          </cell>
          <cell r="I308" t="e">
            <v>#REF!</v>
          </cell>
          <cell r="K308">
            <v>14.35</v>
          </cell>
          <cell r="M308">
            <v>0.14349999999999999</v>
          </cell>
          <cell r="N308">
            <v>1.95E-2</v>
          </cell>
          <cell r="O308">
            <v>4.0000000000000001E-3</v>
          </cell>
          <cell r="P308">
            <v>0.11999999999999998</v>
          </cell>
        </row>
        <row r="309">
          <cell r="A309" t="str">
            <v>W10033</v>
          </cell>
          <cell r="B309">
            <v>300</v>
          </cell>
          <cell r="C309" t="str">
            <v>CLARITY MRI CENTRE PVT LTD(foreclosed in dec 99)</v>
          </cell>
          <cell r="D309">
            <v>1</v>
          </cell>
          <cell r="E309">
            <v>36396</v>
          </cell>
          <cell r="F309">
            <v>19312500</v>
          </cell>
          <cell r="G309">
            <v>14.66</v>
          </cell>
          <cell r="I309" t="e">
            <v>#REF!</v>
          </cell>
          <cell r="K309">
            <v>14.35</v>
          </cell>
          <cell r="M309">
            <v>0.14349999999999999</v>
          </cell>
          <cell r="N309">
            <v>1.95E-2</v>
          </cell>
          <cell r="O309">
            <v>4.0000000000000001E-3</v>
          </cell>
          <cell r="P309">
            <v>0.11999999999999998</v>
          </cell>
        </row>
        <row r="310">
          <cell r="A310" t="str">
            <v>W10031</v>
          </cell>
          <cell r="B310">
            <v>301</v>
          </cell>
          <cell r="C310" t="str">
            <v>SURENDRANATH REDDY</v>
          </cell>
          <cell r="D310">
            <v>1</v>
          </cell>
          <cell r="E310">
            <v>36396</v>
          </cell>
          <cell r="F310">
            <v>4950000</v>
          </cell>
          <cell r="G310">
            <v>14.66</v>
          </cell>
          <cell r="I310" t="e">
            <v>#REF!</v>
          </cell>
          <cell r="K310">
            <v>14.35</v>
          </cell>
          <cell r="M310">
            <v>0.14349999999999999</v>
          </cell>
          <cell r="N310">
            <v>1.95E-2</v>
          </cell>
          <cell r="O310">
            <v>4.0000000000000001E-3</v>
          </cell>
          <cell r="P310">
            <v>0.11999999999999998</v>
          </cell>
        </row>
        <row r="311">
          <cell r="A311" t="str">
            <v>W10035</v>
          </cell>
          <cell r="B311">
            <v>302</v>
          </cell>
          <cell r="C311" t="str">
            <v>HH RAD DADIJI SMT BADAN KUNWAR MEDICAL TRUST</v>
          </cell>
          <cell r="D311">
            <v>1</v>
          </cell>
          <cell r="E311">
            <v>36412</v>
          </cell>
          <cell r="F311">
            <v>3937500</v>
          </cell>
          <cell r="G311">
            <v>14.66</v>
          </cell>
          <cell r="I311" t="e">
            <v>#REF!</v>
          </cell>
          <cell r="K311">
            <v>14.35</v>
          </cell>
          <cell r="M311">
            <v>0.14349999999999999</v>
          </cell>
          <cell r="N311">
            <v>1.95E-2</v>
          </cell>
          <cell r="O311">
            <v>4.0000000000000001E-3</v>
          </cell>
          <cell r="P311">
            <v>0.11999999999999998</v>
          </cell>
        </row>
        <row r="312">
          <cell r="A312" t="str">
            <v>W10034</v>
          </cell>
          <cell r="B312">
            <v>303</v>
          </cell>
          <cell r="C312" t="str">
            <v>MOIT HOSPITAL</v>
          </cell>
          <cell r="D312">
            <v>1</v>
          </cell>
          <cell r="E312">
            <v>36412</v>
          </cell>
          <cell r="F312">
            <v>5587500</v>
          </cell>
          <cell r="G312">
            <v>14.66</v>
          </cell>
          <cell r="I312" t="e">
            <v>#REF!</v>
          </cell>
          <cell r="K312">
            <v>14.35</v>
          </cell>
          <cell r="M312">
            <v>0.14349999999999999</v>
          </cell>
          <cell r="N312">
            <v>1.95E-2</v>
          </cell>
          <cell r="O312">
            <v>4.0000000000000001E-3</v>
          </cell>
          <cell r="P312">
            <v>0.11999999999999998</v>
          </cell>
        </row>
        <row r="313">
          <cell r="A313" t="str">
            <v>W10037</v>
          </cell>
          <cell r="B313">
            <v>304</v>
          </cell>
          <cell r="C313" t="str">
            <v>S RAMAKRISHNAN</v>
          </cell>
          <cell r="D313">
            <v>1</v>
          </cell>
          <cell r="E313">
            <v>36424</v>
          </cell>
          <cell r="F313">
            <v>1012500</v>
          </cell>
          <cell r="G313">
            <v>14.66</v>
          </cell>
          <cell r="I313" t="e">
            <v>#REF!</v>
          </cell>
          <cell r="K313">
            <v>14.35</v>
          </cell>
          <cell r="M313">
            <v>0.14349999999999999</v>
          </cell>
          <cell r="N313">
            <v>1.95E-2</v>
          </cell>
          <cell r="O313">
            <v>4.0000000000000001E-3</v>
          </cell>
          <cell r="P313">
            <v>0.11999999999999998</v>
          </cell>
        </row>
        <row r="314">
          <cell r="A314" t="str">
            <v>W10036</v>
          </cell>
          <cell r="B314">
            <v>305</v>
          </cell>
          <cell r="C314" t="str">
            <v>VIDHYA SCAN &amp; ECHO CENTRE</v>
          </cell>
          <cell r="D314">
            <v>1</v>
          </cell>
          <cell r="E314">
            <v>36424</v>
          </cell>
          <cell r="F314">
            <v>1200000</v>
          </cell>
          <cell r="G314">
            <v>14.66</v>
          </cell>
          <cell r="I314" t="e">
            <v>#REF!</v>
          </cell>
          <cell r="K314">
            <v>14.35</v>
          </cell>
          <cell r="M314">
            <v>0.14349999999999999</v>
          </cell>
          <cell r="N314">
            <v>1.95E-2</v>
          </cell>
          <cell r="O314">
            <v>4.0000000000000001E-3</v>
          </cell>
          <cell r="P314">
            <v>0.11999999999999998</v>
          </cell>
        </row>
        <row r="315">
          <cell r="A315" t="str">
            <v>W10042</v>
          </cell>
          <cell r="B315">
            <v>306</v>
          </cell>
          <cell r="C315" t="str">
            <v>ASHOK D VORA</v>
          </cell>
          <cell r="D315">
            <v>1</v>
          </cell>
          <cell r="E315">
            <v>36427</v>
          </cell>
          <cell r="F315">
            <v>1125000</v>
          </cell>
          <cell r="G315">
            <v>14.66</v>
          </cell>
          <cell r="I315" t="e">
            <v>#REF!</v>
          </cell>
          <cell r="K315">
            <v>14.35</v>
          </cell>
          <cell r="M315">
            <v>0.14349999999999999</v>
          </cell>
          <cell r="N315">
            <v>1.95E-2</v>
          </cell>
          <cell r="O315">
            <v>4.0000000000000001E-3</v>
          </cell>
          <cell r="P315">
            <v>0.11999999999999998</v>
          </cell>
        </row>
        <row r="316">
          <cell r="A316" t="str">
            <v>W10041</v>
          </cell>
          <cell r="B316">
            <v>307</v>
          </cell>
          <cell r="C316" t="str">
            <v>COMPUTED RADIO DIAGNOSTICS</v>
          </cell>
          <cell r="D316">
            <v>2</v>
          </cell>
          <cell r="E316">
            <v>36427</v>
          </cell>
          <cell r="F316">
            <v>3800000</v>
          </cell>
          <cell r="G316">
            <v>14.66</v>
          </cell>
          <cell r="I316" t="e">
            <v>#REF!</v>
          </cell>
          <cell r="K316">
            <v>14.35</v>
          </cell>
          <cell r="M316">
            <v>0.14349999999999999</v>
          </cell>
          <cell r="N316">
            <v>1.95E-2</v>
          </cell>
          <cell r="O316">
            <v>4.0000000000000001E-3</v>
          </cell>
          <cell r="P316">
            <v>0.11999999999999998</v>
          </cell>
        </row>
        <row r="317">
          <cell r="A317" t="str">
            <v>W10038</v>
          </cell>
          <cell r="B317">
            <v>308</v>
          </cell>
          <cell r="C317" t="str">
            <v>C G LAKSHMI DEVI</v>
          </cell>
          <cell r="D317">
            <v>1</v>
          </cell>
          <cell r="E317">
            <v>36427</v>
          </cell>
          <cell r="F317">
            <v>292500</v>
          </cell>
          <cell r="G317">
            <v>14.66</v>
          </cell>
          <cell r="I317" t="e">
            <v>#REF!</v>
          </cell>
          <cell r="J317">
            <v>14429.236823013698</v>
          </cell>
          <cell r="K317">
            <v>14.35</v>
          </cell>
          <cell r="M317">
            <v>0.14349999999999999</v>
          </cell>
          <cell r="N317">
            <v>1.95E-2</v>
          </cell>
          <cell r="O317">
            <v>4.0000000000000001E-3</v>
          </cell>
          <cell r="P317">
            <v>0.11999999999999998</v>
          </cell>
        </row>
        <row r="318">
          <cell r="A318" t="str">
            <v>W10039</v>
          </cell>
          <cell r="B318">
            <v>309</v>
          </cell>
          <cell r="C318" t="str">
            <v>RAGHUVANSHI DIAGNOSTICS CENTRE</v>
          </cell>
          <cell r="D318">
            <v>1</v>
          </cell>
          <cell r="E318">
            <v>36427</v>
          </cell>
          <cell r="F318">
            <v>2100000</v>
          </cell>
          <cell r="G318">
            <v>14.66</v>
          </cell>
          <cell r="I318" t="e">
            <v>#REF!</v>
          </cell>
          <cell r="J318">
            <v>2660.1064942465755</v>
          </cell>
          <cell r="K318">
            <v>14.35</v>
          </cell>
          <cell r="M318">
            <v>0.14349999999999999</v>
          </cell>
          <cell r="N318">
            <v>1.95E-2</v>
          </cell>
          <cell r="O318">
            <v>4.0000000000000001E-3</v>
          </cell>
          <cell r="P318">
            <v>0.11999999999999998</v>
          </cell>
        </row>
        <row r="319">
          <cell r="A319" t="str">
            <v>W10043</v>
          </cell>
          <cell r="B319">
            <v>310</v>
          </cell>
          <cell r="C319" t="str">
            <v>IMTIAZ A SHAIKH</v>
          </cell>
          <cell r="D319">
            <v>1</v>
          </cell>
          <cell r="E319">
            <v>36427</v>
          </cell>
          <cell r="F319">
            <v>372096</v>
          </cell>
          <cell r="G319">
            <v>14.66</v>
          </cell>
          <cell r="I319" t="e">
            <v>#REF!</v>
          </cell>
          <cell r="K319">
            <v>14.35</v>
          </cell>
          <cell r="M319">
            <v>0.14349999999999999</v>
          </cell>
          <cell r="N319">
            <v>1.95E-2</v>
          </cell>
          <cell r="O319">
            <v>4.0000000000000001E-3</v>
          </cell>
          <cell r="P319">
            <v>0.11999999999999998</v>
          </cell>
        </row>
        <row r="320">
          <cell r="A320" t="str">
            <v>W10047</v>
          </cell>
          <cell r="B320">
            <v>311</v>
          </cell>
          <cell r="C320" t="str">
            <v>NIKIT P MEHTA</v>
          </cell>
          <cell r="D320">
            <v>1</v>
          </cell>
          <cell r="E320">
            <v>36427</v>
          </cell>
          <cell r="F320">
            <v>2250000</v>
          </cell>
          <cell r="G320">
            <v>14.66</v>
          </cell>
          <cell r="I320" t="e">
            <v>#REF!</v>
          </cell>
          <cell r="K320">
            <v>14.35</v>
          </cell>
          <cell r="M320">
            <v>0.14349999999999999</v>
          </cell>
          <cell r="N320">
            <v>1.95E-2</v>
          </cell>
          <cell r="O320">
            <v>4.0000000000000001E-3</v>
          </cell>
          <cell r="P320">
            <v>0.11999999999999998</v>
          </cell>
        </row>
        <row r="321">
          <cell r="A321" t="str">
            <v>W10044</v>
          </cell>
          <cell r="B321">
            <v>312</v>
          </cell>
          <cell r="C321" t="str">
            <v>PALIWAL HOSPITAL</v>
          </cell>
          <cell r="D321">
            <v>2</v>
          </cell>
          <cell r="E321">
            <v>36427</v>
          </cell>
          <cell r="F321">
            <v>145702</v>
          </cell>
          <cell r="G321">
            <v>14.66</v>
          </cell>
          <cell r="I321" t="e">
            <v>#REF!</v>
          </cell>
          <cell r="K321">
            <v>14.35</v>
          </cell>
          <cell r="M321">
            <v>0.14349999999999999</v>
          </cell>
          <cell r="N321">
            <v>1.95E-2</v>
          </cell>
          <cell r="O321">
            <v>4.0000000000000001E-3</v>
          </cell>
          <cell r="P321">
            <v>0.11999999999999998</v>
          </cell>
        </row>
        <row r="322">
          <cell r="A322" t="str">
            <v>W10048</v>
          </cell>
          <cell r="B322">
            <v>313</v>
          </cell>
          <cell r="C322" t="str">
            <v>PARAKH DIAGNOSTIC CENTRE</v>
          </cell>
          <cell r="D322">
            <v>2</v>
          </cell>
          <cell r="E322">
            <v>36427</v>
          </cell>
          <cell r="F322">
            <v>326250</v>
          </cell>
          <cell r="G322">
            <v>14.66</v>
          </cell>
          <cell r="I322" t="e">
            <v>#REF!</v>
          </cell>
          <cell r="K322">
            <v>14.35</v>
          </cell>
          <cell r="M322">
            <v>0.14349999999999999</v>
          </cell>
          <cell r="N322">
            <v>1.95E-2</v>
          </cell>
          <cell r="O322">
            <v>4.0000000000000001E-3</v>
          </cell>
          <cell r="P322">
            <v>0.11999999999999998</v>
          </cell>
        </row>
        <row r="323">
          <cell r="A323" t="str">
            <v>W10040</v>
          </cell>
          <cell r="B323">
            <v>314</v>
          </cell>
          <cell r="C323" t="str">
            <v>PRATIMA XRAY</v>
          </cell>
          <cell r="D323">
            <v>1</v>
          </cell>
          <cell r="E323">
            <v>36427</v>
          </cell>
          <cell r="F323">
            <v>319200</v>
          </cell>
          <cell r="G323">
            <v>14.66</v>
          </cell>
          <cell r="I323" t="e">
            <v>#REF!</v>
          </cell>
          <cell r="K323">
            <v>14.35</v>
          </cell>
          <cell r="M323">
            <v>0.14349999999999999</v>
          </cell>
          <cell r="N323">
            <v>1.95E-2</v>
          </cell>
          <cell r="O323">
            <v>4.0000000000000001E-3</v>
          </cell>
          <cell r="P323">
            <v>0.11999999999999998</v>
          </cell>
        </row>
        <row r="324">
          <cell r="A324" t="str">
            <v>W10045</v>
          </cell>
          <cell r="B324">
            <v>315</v>
          </cell>
          <cell r="C324" t="str">
            <v>SUBHASH JAIN</v>
          </cell>
          <cell r="D324">
            <v>1</v>
          </cell>
          <cell r="E324">
            <v>36427</v>
          </cell>
          <cell r="F324">
            <v>22000000</v>
          </cell>
          <cell r="G324">
            <v>14.66</v>
          </cell>
          <cell r="I324" t="e">
            <v>#REF!</v>
          </cell>
          <cell r="K324">
            <v>14.35</v>
          </cell>
          <cell r="M324">
            <v>0.14349999999999999</v>
          </cell>
          <cell r="N324">
            <v>1.95E-2</v>
          </cell>
          <cell r="O324">
            <v>4.0000000000000001E-3</v>
          </cell>
          <cell r="P324">
            <v>0.11999999999999998</v>
          </cell>
        </row>
        <row r="325">
          <cell r="A325" t="str">
            <v>W10046</v>
          </cell>
          <cell r="B325">
            <v>316</v>
          </cell>
          <cell r="C325" t="str">
            <v>VASAN MEDICAL HALL CFM</v>
          </cell>
          <cell r="D325">
            <v>1</v>
          </cell>
          <cell r="E325">
            <v>36427</v>
          </cell>
          <cell r="F325">
            <v>1125000</v>
          </cell>
          <cell r="G325">
            <v>14.66</v>
          </cell>
          <cell r="I325" t="e">
            <v>#REF!</v>
          </cell>
          <cell r="K325">
            <v>14.35</v>
          </cell>
          <cell r="M325">
            <v>0.14349999999999999</v>
          </cell>
          <cell r="N325">
            <v>1.95E-2</v>
          </cell>
          <cell r="O325">
            <v>4.0000000000000001E-3</v>
          </cell>
          <cell r="P325">
            <v>0.11999999999999998</v>
          </cell>
        </row>
        <row r="326">
          <cell r="A326" t="str">
            <v>W10050</v>
          </cell>
          <cell r="B326">
            <v>317</v>
          </cell>
          <cell r="C326" t="str">
            <v>MUKUL MEHTA</v>
          </cell>
          <cell r="E326">
            <v>36440</v>
          </cell>
          <cell r="F326">
            <v>1905000</v>
          </cell>
          <cell r="G326">
            <v>14.66</v>
          </cell>
          <cell r="I326" t="e">
            <v>#REF!</v>
          </cell>
          <cell r="K326">
            <v>14.35</v>
          </cell>
          <cell r="M326">
            <v>0.14349999999999999</v>
          </cell>
          <cell r="N326">
            <v>1.95E-2</v>
          </cell>
          <cell r="O326">
            <v>4.0000000000000001E-3</v>
          </cell>
          <cell r="P326">
            <v>0.11999999999999998</v>
          </cell>
        </row>
        <row r="327">
          <cell r="A327" t="str">
            <v>W10049</v>
          </cell>
          <cell r="B327">
            <v>318</v>
          </cell>
          <cell r="C327" t="str">
            <v>VASAN MEDICAL HALL CFM</v>
          </cell>
          <cell r="D327">
            <v>2</v>
          </cell>
          <cell r="E327">
            <v>36440</v>
          </cell>
          <cell r="F327">
            <v>315000</v>
          </cell>
          <cell r="G327">
            <v>14.66</v>
          </cell>
          <cell r="I327" t="e">
            <v>#REF!</v>
          </cell>
          <cell r="K327">
            <v>14.35</v>
          </cell>
          <cell r="M327">
            <v>0.14349999999999999</v>
          </cell>
          <cell r="N327">
            <v>1.95E-2</v>
          </cell>
          <cell r="O327">
            <v>4.0000000000000001E-3</v>
          </cell>
          <cell r="P327">
            <v>0.11999999999999998</v>
          </cell>
        </row>
        <row r="328">
          <cell r="A328" t="str">
            <v>W10052</v>
          </cell>
          <cell r="B328">
            <v>319</v>
          </cell>
          <cell r="C328" t="str">
            <v>S K BOSE</v>
          </cell>
          <cell r="D328">
            <v>1</v>
          </cell>
          <cell r="E328">
            <v>36454</v>
          </cell>
          <cell r="F328">
            <v>1312500</v>
          </cell>
          <cell r="G328">
            <v>14.66</v>
          </cell>
          <cell r="I328" t="e">
            <v>#REF!</v>
          </cell>
          <cell r="J328">
            <v>17586.446573424659</v>
          </cell>
          <cell r="K328">
            <v>14.35</v>
          </cell>
          <cell r="M328">
            <v>0.14349999999999999</v>
          </cell>
          <cell r="N328">
            <v>1.95E-2</v>
          </cell>
          <cell r="O328">
            <v>4.0000000000000001E-3</v>
          </cell>
          <cell r="P328">
            <v>0.11999999999999998</v>
          </cell>
        </row>
        <row r="329">
          <cell r="A329" t="str">
            <v>W10051</v>
          </cell>
          <cell r="B329">
            <v>320</v>
          </cell>
          <cell r="C329" t="str">
            <v>SPANDAN DIAGNOSTICS &amp; RESEARCH CENTRE PVT LTD</v>
          </cell>
          <cell r="D329">
            <v>2</v>
          </cell>
          <cell r="E329">
            <v>36454</v>
          </cell>
          <cell r="F329">
            <v>1436500</v>
          </cell>
          <cell r="G329">
            <v>15.66</v>
          </cell>
          <cell r="I329" t="e">
            <v>#REF!</v>
          </cell>
          <cell r="K329">
            <v>14.35</v>
          </cell>
          <cell r="M329">
            <v>0.14349999999999999</v>
          </cell>
          <cell r="N329">
            <v>1.95E-2</v>
          </cell>
          <cell r="O329">
            <v>4.0000000000000001E-3</v>
          </cell>
          <cell r="P329">
            <v>0.11999999999999998</v>
          </cell>
        </row>
        <row r="330">
          <cell r="A330" t="str">
            <v>W10055</v>
          </cell>
          <cell r="B330">
            <v>321</v>
          </cell>
          <cell r="C330" t="str">
            <v>S  Mohd Akram</v>
          </cell>
          <cell r="D330">
            <v>1</v>
          </cell>
          <cell r="E330">
            <v>36465</v>
          </cell>
          <cell r="F330">
            <v>328000</v>
          </cell>
          <cell r="G330">
            <v>14.66</v>
          </cell>
          <cell r="I330" t="e">
            <v>#REF!</v>
          </cell>
          <cell r="J330">
            <v>20947.946245205479</v>
          </cell>
          <cell r="K330">
            <v>14.35</v>
          </cell>
          <cell r="M330">
            <v>0.14349999999999999</v>
          </cell>
          <cell r="N330">
            <v>1.95E-2</v>
          </cell>
          <cell r="O330">
            <v>4.0000000000000001E-3</v>
          </cell>
          <cell r="P330">
            <v>0.11999999999999998</v>
          </cell>
        </row>
        <row r="331">
          <cell r="A331" t="str">
            <v>W10054</v>
          </cell>
          <cell r="B331">
            <v>322</v>
          </cell>
          <cell r="C331" t="str">
            <v>K.C.Jain</v>
          </cell>
          <cell r="D331">
            <v>1</v>
          </cell>
          <cell r="E331">
            <v>36465</v>
          </cell>
          <cell r="F331">
            <v>300000</v>
          </cell>
          <cell r="G331">
            <v>14.66</v>
          </cell>
          <cell r="I331" t="e">
            <v>#REF!</v>
          </cell>
          <cell r="K331">
            <v>14.35</v>
          </cell>
          <cell r="M331">
            <v>0.14349999999999999</v>
          </cell>
          <cell r="N331">
            <v>1.95E-2</v>
          </cell>
          <cell r="O331">
            <v>4.0000000000000001E-3</v>
          </cell>
          <cell r="P331">
            <v>0.11999999999999998</v>
          </cell>
        </row>
        <row r="332">
          <cell r="A332" t="str">
            <v>W10053</v>
          </cell>
          <cell r="B332">
            <v>323</v>
          </cell>
          <cell r="C332" t="str">
            <v>Mangal Anand Health care ( Forecl. On 01/02/00 )</v>
          </cell>
          <cell r="D332">
            <v>2</v>
          </cell>
          <cell r="E332">
            <v>36465</v>
          </cell>
          <cell r="F332">
            <v>6970000</v>
          </cell>
          <cell r="G332">
            <v>14.66</v>
          </cell>
          <cell r="I332" t="e">
            <v>#REF!</v>
          </cell>
          <cell r="K332">
            <v>14.35</v>
          </cell>
          <cell r="M332">
            <v>0.14349999999999999</v>
          </cell>
          <cell r="N332">
            <v>1.95E-2</v>
          </cell>
          <cell r="O332">
            <v>4.0000000000000001E-3</v>
          </cell>
          <cell r="P332">
            <v>0.11999999999999998</v>
          </cell>
        </row>
        <row r="333">
          <cell r="A333" t="str">
            <v>W10059</v>
          </cell>
          <cell r="B333">
            <v>324</v>
          </cell>
          <cell r="C333" t="str">
            <v>Begusarai Diagnsotics P limited</v>
          </cell>
          <cell r="D333">
            <v>1</v>
          </cell>
          <cell r="E333">
            <v>36467</v>
          </cell>
          <cell r="F333">
            <v>5000000</v>
          </cell>
          <cell r="G333">
            <v>14.66</v>
          </cell>
          <cell r="I333" t="e">
            <v>#REF!</v>
          </cell>
          <cell r="K333">
            <v>14.35</v>
          </cell>
          <cell r="M333">
            <v>0.14349999999999999</v>
          </cell>
          <cell r="N333">
            <v>1.95E-2</v>
          </cell>
          <cell r="O333">
            <v>4.0000000000000001E-3</v>
          </cell>
          <cell r="P333">
            <v>0.11999999999999998</v>
          </cell>
        </row>
        <row r="334">
          <cell r="A334" t="str">
            <v>W10057</v>
          </cell>
          <cell r="B334">
            <v>325</v>
          </cell>
          <cell r="C334" t="str">
            <v>Mangal Anand Health care ( Forecl. On 01/02/00 )</v>
          </cell>
          <cell r="D334">
            <v>2</v>
          </cell>
          <cell r="E334">
            <v>36467</v>
          </cell>
          <cell r="F334">
            <v>1445000</v>
          </cell>
          <cell r="G334">
            <v>14.66</v>
          </cell>
          <cell r="I334" t="e">
            <v>#REF!</v>
          </cell>
          <cell r="K334">
            <v>14.35</v>
          </cell>
          <cell r="M334">
            <v>0.14349999999999999</v>
          </cell>
          <cell r="N334">
            <v>1.95E-2</v>
          </cell>
          <cell r="O334">
            <v>4.0000000000000001E-3</v>
          </cell>
          <cell r="P334">
            <v>0.11999999999999998</v>
          </cell>
        </row>
        <row r="335">
          <cell r="A335" t="str">
            <v>W10058</v>
          </cell>
          <cell r="B335">
            <v>326</v>
          </cell>
          <cell r="C335" t="str">
            <v>Nagpur nuclear medicine</v>
          </cell>
          <cell r="D335">
            <v>1</v>
          </cell>
          <cell r="E335">
            <v>36467</v>
          </cell>
          <cell r="F335">
            <v>6412500</v>
          </cell>
          <cell r="G335">
            <v>14.66</v>
          </cell>
          <cell r="I335" t="e">
            <v>#REF!</v>
          </cell>
          <cell r="K335">
            <v>14.35</v>
          </cell>
          <cell r="M335">
            <v>0.14349999999999999</v>
          </cell>
          <cell r="N335">
            <v>1.95E-2</v>
          </cell>
          <cell r="O335">
            <v>4.0000000000000001E-3</v>
          </cell>
          <cell r="P335">
            <v>0.11999999999999998</v>
          </cell>
        </row>
        <row r="336">
          <cell r="A336" t="str">
            <v>W10063</v>
          </cell>
          <cell r="B336">
            <v>327</v>
          </cell>
          <cell r="C336" t="str">
            <v>AMRI-2</v>
          </cell>
          <cell r="D336">
            <v>2</v>
          </cell>
          <cell r="E336">
            <v>36483</v>
          </cell>
          <cell r="F336">
            <v>920000</v>
          </cell>
          <cell r="G336">
            <v>14.66</v>
          </cell>
          <cell r="K336">
            <v>14.35</v>
          </cell>
          <cell r="M336">
            <v>0.14349999999999999</v>
          </cell>
          <cell r="N336">
            <v>1.95E-2</v>
          </cell>
          <cell r="O336">
            <v>4.0000000000000001E-3</v>
          </cell>
          <cell r="P336">
            <v>0.11999999999999998</v>
          </cell>
        </row>
        <row r="337">
          <cell r="A337" t="str">
            <v>W10061</v>
          </cell>
          <cell r="B337">
            <v>328</v>
          </cell>
          <cell r="C337" t="str">
            <v>SETHU SCAN SERVICES</v>
          </cell>
          <cell r="D337">
            <v>1</v>
          </cell>
          <cell r="E337">
            <v>36483</v>
          </cell>
          <cell r="F337">
            <v>1200000</v>
          </cell>
          <cell r="G337">
            <v>14.66</v>
          </cell>
          <cell r="K337">
            <v>14.35</v>
          </cell>
          <cell r="M337">
            <v>0.14349999999999999</v>
          </cell>
          <cell r="N337">
            <v>1.95E-2</v>
          </cell>
          <cell r="O337">
            <v>4.0000000000000001E-3</v>
          </cell>
          <cell r="P337">
            <v>0.11999999999999998</v>
          </cell>
        </row>
        <row r="338">
          <cell r="A338" t="str">
            <v>W10062</v>
          </cell>
          <cell r="B338">
            <v>329</v>
          </cell>
          <cell r="C338" t="str">
            <v>SUBHASH JAIN</v>
          </cell>
          <cell r="D338">
            <v>1</v>
          </cell>
          <cell r="E338">
            <v>36483</v>
          </cell>
          <cell r="F338">
            <v>1875000</v>
          </cell>
          <cell r="G338">
            <v>14.66</v>
          </cell>
          <cell r="K338">
            <v>14.35</v>
          </cell>
          <cell r="M338">
            <v>0.14349999999999999</v>
          </cell>
          <cell r="N338">
            <v>1.95E-2</v>
          </cell>
          <cell r="O338">
            <v>4.0000000000000001E-3</v>
          </cell>
          <cell r="P338">
            <v>0.11999999999999998</v>
          </cell>
        </row>
        <row r="339">
          <cell r="A339" t="str">
            <v>W10060</v>
          </cell>
          <cell r="B339">
            <v>330</v>
          </cell>
          <cell r="C339" t="str">
            <v>VISHAKHA HOSPITAL &amp; DIAGNOSTIC</v>
          </cell>
          <cell r="D339">
            <v>1</v>
          </cell>
          <cell r="E339">
            <v>36483</v>
          </cell>
          <cell r="F339">
            <v>8560000</v>
          </cell>
          <cell r="G339">
            <v>14.66</v>
          </cell>
          <cell r="K339">
            <v>14.35</v>
          </cell>
          <cell r="M339">
            <v>0.14349999999999999</v>
          </cell>
          <cell r="N339">
            <v>1.95E-2</v>
          </cell>
          <cell r="O339">
            <v>4.0000000000000001E-3</v>
          </cell>
          <cell r="P339">
            <v>0.11999999999999998</v>
          </cell>
        </row>
        <row r="340">
          <cell r="A340" t="str">
            <v>W10064</v>
          </cell>
          <cell r="B340">
            <v>331</v>
          </cell>
          <cell r="C340" t="str">
            <v>DEBASIS  PADHI</v>
          </cell>
          <cell r="D340">
            <v>1</v>
          </cell>
          <cell r="E340">
            <v>36488</v>
          </cell>
          <cell r="F340">
            <v>471368</v>
          </cell>
          <cell r="G340">
            <v>14.66</v>
          </cell>
          <cell r="K340">
            <v>14.35</v>
          </cell>
          <cell r="M340">
            <v>0.14349999999999999</v>
          </cell>
          <cell r="N340">
            <v>1.95E-2</v>
          </cell>
          <cell r="O340">
            <v>4.0000000000000001E-3</v>
          </cell>
          <cell r="P340">
            <v>0.11999999999999998</v>
          </cell>
        </row>
        <row r="341">
          <cell r="A341" t="str">
            <v>W10065</v>
          </cell>
          <cell r="B341">
            <v>332</v>
          </cell>
          <cell r="C341" t="str">
            <v>ASHOK G. JOSHI</v>
          </cell>
          <cell r="D341">
            <v>1</v>
          </cell>
          <cell r="E341">
            <v>36490</v>
          </cell>
          <cell r="F341">
            <v>270400</v>
          </cell>
          <cell r="G341">
            <v>14.66</v>
          </cell>
          <cell r="K341">
            <v>14.35</v>
          </cell>
          <cell r="M341">
            <v>0.14349999999999999</v>
          </cell>
          <cell r="N341">
            <v>1.95E-2</v>
          </cell>
          <cell r="O341">
            <v>4.0000000000000001E-3</v>
          </cell>
          <cell r="P341">
            <v>0.11999999999999998</v>
          </cell>
        </row>
        <row r="342">
          <cell r="A342" t="str">
            <v>W10068</v>
          </cell>
          <cell r="B342">
            <v>333</v>
          </cell>
          <cell r="C342" t="str">
            <v>A K TYAGI</v>
          </cell>
          <cell r="D342">
            <v>2</v>
          </cell>
          <cell r="E342">
            <v>36503</v>
          </cell>
          <cell r="F342">
            <v>1000000</v>
          </cell>
          <cell r="G342">
            <v>14.66</v>
          </cell>
          <cell r="K342">
            <v>14.35</v>
          </cell>
          <cell r="M342">
            <v>0.14349999999999999</v>
          </cell>
          <cell r="N342">
            <v>1.95E-2</v>
          </cell>
          <cell r="O342">
            <v>4.0000000000000001E-3</v>
          </cell>
          <cell r="P342">
            <v>0.11999999999999998</v>
          </cell>
        </row>
        <row r="343">
          <cell r="A343" t="str">
            <v>W10066</v>
          </cell>
          <cell r="B343">
            <v>334</v>
          </cell>
          <cell r="C343" t="str">
            <v>HOSMAT HOSPITAL</v>
          </cell>
          <cell r="D343">
            <v>1</v>
          </cell>
          <cell r="E343">
            <v>36503</v>
          </cell>
          <cell r="F343">
            <v>304230</v>
          </cell>
          <cell r="G343">
            <v>14.66</v>
          </cell>
          <cell r="K343">
            <v>14.35</v>
          </cell>
          <cell r="M343">
            <v>0.14349999999999999</v>
          </cell>
          <cell r="N343">
            <v>1.95E-2</v>
          </cell>
          <cell r="O343">
            <v>4.0000000000000001E-3</v>
          </cell>
          <cell r="P343">
            <v>0.11999999999999998</v>
          </cell>
        </row>
        <row r="344">
          <cell r="A344" t="str">
            <v>W10070</v>
          </cell>
          <cell r="B344">
            <v>335</v>
          </cell>
          <cell r="C344" t="str">
            <v>NORTH BENGAL NEURO RESEARCH</v>
          </cell>
          <cell r="D344">
            <v>1</v>
          </cell>
          <cell r="E344">
            <v>36503</v>
          </cell>
          <cell r="F344">
            <v>6102000</v>
          </cell>
          <cell r="G344">
            <v>14.66</v>
          </cell>
          <cell r="K344">
            <v>14.35</v>
          </cell>
          <cell r="M344">
            <v>0.14349999999999999</v>
          </cell>
          <cell r="N344">
            <v>1.95E-2</v>
          </cell>
          <cell r="O344">
            <v>4.0000000000000001E-3</v>
          </cell>
          <cell r="P344">
            <v>0.11999999999999998</v>
          </cell>
        </row>
        <row r="345">
          <cell r="A345" t="str">
            <v>W10074</v>
          </cell>
          <cell r="B345">
            <v>336</v>
          </cell>
          <cell r="C345" t="str">
            <v>SANJUKTA PATNAIK</v>
          </cell>
          <cell r="D345">
            <v>1</v>
          </cell>
          <cell r="E345">
            <v>36508</v>
          </cell>
          <cell r="F345">
            <v>360344</v>
          </cell>
          <cell r="G345">
            <v>14.66</v>
          </cell>
          <cell r="K345">
            <v>14.35</v>
          </cell>
          <cell r="M345">
            <v>0.14349999999999999</v>
          </cell>
          <cell r="N345">
            <v>1.95E-2</v>
          </cell>
          <cell r="O345">
            <v>4.0000000000000001E-3</v>
          </cell>
          <cell r="P345">
            <v>0.11999999999999998</v>
          </cell>
        </row>
        <row r="346">
          <cell r="A346" t="str">
            <v>W10071</v>
          </cell>
          <cell r="B346">
            <v>337</v>
          </cell>
          <cell r="C346" t="str">
            <v>JAI MAHAKALI ULTRASOUND X RAY &amp; PATHOLOGY CENTRE</v>
          </cell>
          <cell r="D346">
            <v>1</v>
          </cell>
          <cell r="E346">
            <v>36508</v>
          </cell>
          <cell r="F346">
            <v>1180000</v>
          </cell>
          <cell r="G346">
            <v>14.66</v>
          </cell>
          <cell r="K346">
            <v>14.35</v>
          </cell>
          <cell r="M346">
            <v>0.14349999999999999</v>
          </cell>
          <cell r="N346">
            <v>1.95E-2</v>
          </cell>
          <cell r="O346">
            <v>4.0000000000000001E-3</v>
          </cell>
          <cell r="P346">
            <v>0.11999999999999998</v>
          </cell>
        </row>
        <row r="347">
          <cell r="A347" t="str">
            <v>W10067</v>
          </cell>
          <cell r="B347">
            <v>338</v>
          </cell>
          <cell r="C347" t="str">
            <v>MOHAN LAL SINDHI</v>
          </cell>
          <cell r="D347">
            <v>1</v>
          </cell>
          <cell r="E347">
            <v>36508</v>
          </cell>
          <cell r="F347">
            <v>440370</v>
          </cell>
          <cell r="G347">
            <v>14.66</v>
          </cell>
          <cell r="K347">
            <v>14.35</v>
          </cell>
          <cell r="M347">
            <v>0.14349999999999999</v>
          </cell>
          <cell r="N347">
            <v>1.95E-2</v>
          </cell>
          <cell r="O347">
            <v>4.0000000000000001E-3</v>
          </cell>
          <cell r="P347">
            <v>0.11999999999999998</v>
          </cell>
        </row>
        <row r="348">
          <cell r="A348" t="str">
            <v>W10075</v>
          </cell>
          <cell r="B348">
            <v>339</v>
          </cell>
          <cell r="C348" t="str">
            <v>AMRI-3</v>
          </cell>
          <cell r="D348">
            <v>2</v>
          </cell>
          <cell r="E348">
            <v>36509</v>
          </cell>
          <cell r="F348">
            <v>1208800</v>
          </cell>
          <cell r="G348">
            <v>14.66</v>
          </cell>
          <cell r="K348">
            <v>14.35</v>
          </cell>
          <cell r="M348">
            <v>0.14349999999999999</v>
          </cell>
          <cell r="N348">
            <v>1.95E-2</v>
          </cell>
          <cell r="O348">
            <v>4.0000000000000001E-3</v>
          </cell>
          <cell r="P348">
            <v>0.11999999999999998</v>
          </cell>
        </row>
        <row r="349">
          <cell r="A349" t="str">
            <v>W10076</v>
          </cell>
          <cell r="B349">
            <v>340</v>
          </cell>
          <cell r="C349" t="str">
            <v>Skylab Assam Pvt Limited</v>
          </cell>
          <cell r="D349">
            <v>1</v>
          </cell>
          <cell r="E349">
            <v>36514</v>
          </cell>
          <cell r="F349">
            <v>1774400</v>
          </cell>
          <cell r="G349">
            <v>14.66</v>
          </cell>
          <cell r="K349">
            <v>14.35</v>
          </cell>
          <cell r="M349">
            <v>0.14349999999999999</v>
          </cell>
          <cell r="N349">
            <v>1.95E-2</v>
          </cell>
          <cell r="O349">
            <v>4.0000000000000001E-3</v>
          </cell>
          <cell r="P349">
            <v>0.11999999999999998</v>
          </cell>
        </row>
        <row r="350">
          <cell r="A350" t="str">
            <v>W10078</v>
          </cell>
          <cell r="B350">
            <v>341</v>
          </cell>
          <cell r="C350" t="str">
            <v>DIAGNOSIS</v>
          </cell>
          <cell r="D350">
            <v>1</v>
          </cell>
          <cell r="E350">
            <v>36516</v>
          </cell>
          <cell r="F350">
            <v>800000</v>
          </cell>
          <cell r="G350">
            <v>14.66</v>
          </cell>
          <cell r="K350">
            <v>14.35</v>
          </cell>
          <cell r="M350">
            <v>0.14349999999999999</v>
          </cell>
          <cell r="N350">
            <v>1.95E-2</v>
          </cell>
          <cell r="O350">
            <v>4.0000000000000001E-3</v>
          </cell>
          <cell r="P350">
            <v>0.11999999999999998</v>
          </cell>
        </row>
        <row r="351">
          <cell r="A351" t="str">
            <v>W10077</v>
          </cell>
          <cell r="B351">
            <v>342</v>
          </cell>
          <cell r="C351" t="str">
            <v>M THILAGABAMA</v>
          </cell>
          <cell r="D351">
            <v>1</v>
          </cell>
          <cell r="E351">
            <v>36516</v>
          </cell>
          <cell r="F351">
            <v>356250</v>
          </cell>
          <cell r="G351">
            <v>14.66</v>
          </cell>
          <cell r="K351">
            <v>14.35</v>
          </cell>
          <cell r="M351">
            <v>0.14349999999999999</v>
          </cell>
          <cell r="N351">
            <v>1.95E-2</v>
          </cell>
          <cell r="O351">
            <v>4.0000000000000001E-3</v>
          </cell>
          <cell r="P351">
            <v>0.11999999999999998</v>
          </cell>
        </row>
        <row r="352">
          <cell r="A352" t="str">
            <v>W10069</v>
          </cell>
          <cell r="B352">
            <v>343</v>
          </cell>
          <cell r="C352" t="str">
            <v>S.P.SINGH</v>
          </cell>
          <cell r="D352">
            <v>1</v>
          </cell>
          <cell r="E352">
            <v>36517</v>
          </cell>
          <cell r="F352">
            <v>1187543</v>
          </cell>
          <cell r="G352">
            <v>14.66</v>
          </cell>
          <cell r="K352">
            <v>14.35</v>
          </cell>
          <cell r="M352">
            <v>0.14349999999999999</v>
          </cell>
          <cell r="N352">
            <v>1.95E-2</v>
          </cell>
          <cell r="O352">
            <v>4.0000000000000001E-3</v>
          </cell>
          <cell r="P352">
            <v>0.11999999999999998</v>
          </cell>
        </row>
        <row r="354">
          <cell r="C354" t="str">
            <v>TOTAL</v>
          </cell>
          <cell r="F354">
            <v>1260506942</v>
          </cell>
          <cell r="H354">
            <v>0</v>
          </cell>
          <cell r="I354" t="e">
            <v>#REF!</v>
          </cell>
        </row>
        <row r="356">
          <cell r="A356" t="str">
            <v>AGREEMENT</v>
          </cell>
          <cell r="B356" t="str">
            <v>S. NO.</v>
          </cell>
          <cell r="C356" t="str">
            <v>CUSTOMER NAME</v>
          </cell>
          <cell r="D356" t="str">
            <v>TR. NO</v>
          </cell>
        </row>
        <row r="357">
          <cell r="A357" t="str">
            <v>NO.</v>
          </cell>
          <cell r="E357" t="str">
            <v>Fund Date</v>
          </cell>
          <cell r="F357" t="str">
            <v>Principal</v>
          </cell>
          <cell r="H357" t="str">
            <v>COLLATERAL</v>
          </cell>
          <cell r="I357" t="str">
            <v>INTEREST COST</v>
          </cell>
        </row>
        <row r="361">
          <cell r="A361" t="str">
            <v>W10080</v>
          </cell>
          <cell r="B361">
            <v>344</v>
          </cell>
          <cell r="C361" t="str">
            <v>SRI CHENNAI SCANS &amp; RESEARCH CENTRE (P) LTD.</v>
          </cell>
          <cell r="D361">
            <v>1</v>
          </cell>
          <cell r="E361">
            <v>36558</v>
          </cell>
          <cell r="F361">
            <v>1350000</v>
          </cell>
          <cell r="G361">
            <v>14.66</v>
          </cell>
          <cell r="K361">
            <v>14.35</v>
          </cell>
          <cell r="M361">
            <v>0.14349999999999999</v>
          </cell>
          <cell r="N361">
            <v>1.95E-2</v>
          </cell>
          <cell r="O361">
            <v>4.0000000000000001E-3</v>
          </cell>
          <cell r="P361">
            <v>0.11999999999999998</v>
          </cell>
        </row>
        <row r="362">
          <cell r="A362" t="str">
            <v>W10079</v>
          </cell>
          <cell r="B362">
            <v>345</v>
          </cell>
          <cell r="C362" t="str">
            <v>SUBHRA JAIN</v>
          </cell>
          <cell r="D362">
            <v>1</v>
          </cell>
          <cell r="E362">
            <v>36558</v>
          </cell>
          <cell r="F362">
            <v>1080000</v>
          </cell>
          <cell r="G362">
            <v>14.66</v>
          </cell>
          <cell r="K362">
            <v>14.35</v>
          </cell>
          <cell r="M362">
            <v>0.14349999999999999</v>
          </cell>
          <cell r="N362">
            <v>1.95E-2</v>
          </cell>
          <cell r="O362">
            <v>4.0000000000000001E-3</v>
          </cell>
          <cell r="P362">
            <v>0.11999999999999998</v>
          </cell>
        </row>
        <row r="363">
          <cell r="A363" t="str">
            <v>W10081</v>
          </cell>
          <cell r="B363">
            <v>346</v>
          </cell>
          <cell r="C363" t="str">
            <v>SUSHEELA JOHNY</v>
          </cell>
          <cell r="D363">
            <v>1</v>
          </cell>
          <cell r="E363">
            <v>36558</v>
          </cell>
          <cell r="F363">
            <v>820000</v>
          </cell>
          <cell r="G363">
            <v>14.66</v>
          </cell>
          <cell r="K363">
            <v>14.35</v>
          </cell>
          <cell r="M363">
            <v>0.14349999999999999</v>
          </cell>
          <cell r="N363">
            <v>1.95E-2</v>
          </cell>
          <cell r="O363">
            <v>4.0000000000000001E-3</v>
          </cell>
          <cell r="P363">
            <v>0.11999999999999998</v>
          </cell>
        </row>
        <row r="364">
          <cell r="A364" t="str">
            <v>W10082</v>
          </cell>
          <cell r="B364">
            <v>347</v>
          </cell>
          <cell r="C364" t="str">
            <v>X-RAY CENTRE GUWAHATI (P) LTD.</v>
          </cell>
          <cell r="D364">
            <v>1</v>
          </cell>
          <cell r="E364">
            <v>36558</v>
          </cell>
          <cell r="F364">
            <v>757500</v>
          </cell>
          <cell r="G364">
            <v>14.66</v>
          </cell>
          <cell r="K364">
            <v>14.35</v>
          </cell>
          <cell r="M364">
            <v>0.14349999999999999</v>
          </cell>
          <cell r="N364">
            <v>1.95E-2</v>
          </cell>
          <cell r="O364">
            <v>4.0000000000000001E-3</v>
          </cell>
          <cell r="P364">
            <v>0.11999999999999998</v>
          </cell>
        </row>
        <row r="365">
          <cell r="A365" t="str">
            <v>W10083</v>
          </cell>
          <cell r="B365">
            <v>348</v>
          </cell>
          <cell r="C365" t="str">
            <v>T. Jayaraman</v>
          </cell>
          <cell r="D365">
            <v>1</v>
          </cell>
          <cell r="E365">
            <v>36560</v>
          </cell>
          <cell r="F365">
            <v>1650000</v>
          </cell>
          <cell r="G365">
            <v>14.66</v>
          </cell>
          <cell r="K365">
            <v>14.35</v>
          </cell>
          <cell r="M365">
            <v>0.14349999999999999</v>
          </cell>
          <cell r="N365">
            <v>1.95E-2</v>
          </cell>
          <cell r="O365">
            <v>4.0000000000000001E-3</v>
          </cell>
          <cell r="P365">
            <v>0.11999999999999998</v>
          </cell>
        </row>
        <row r="366">
          <cell r="A366" t="str">
            <v>W10084</v>
          </cell>
          <cell r="B366">
            <v>349</v>
          </cell>
          <cell r="C366" t="str">
            <v>Anju Gupta</v>
          </cell>
          <cell r="D366">
            <v>1</v>
          </cell>
          <cell r="E366">
            <v>36564</v>
          </cell>
          <cell r="F366">
            <v>300000</v>
          </cell>
          <cell r="G366">
            <v>14.66</v>
          </cell>
          <cell r="K366">
            <v>14.35</v>
          </cell>
          <cell r="M366">
            <v>0.14349999999999999</v>
          </cell>
          <cell r="N366">
            <v>1.95E-2</v>
          </cell>
          <cell r="O366">
            <v>4.0000000000000001E-3</v>
          </cell>
          <cell r="P366">
            <v>0.11999999999999998</v>
          </cell>
        </row>
        <row r="367">
          <cell r="A367" t="str">
            <v>W10085</v>
          </cell>
          <cell r="B367">
            <v>350</v>
          </cell>
          <cell r="C367" t="str">
            <v>K.M. Jothiraj</v>
          </cell>
          <cell r="D367">
            <v>1</v>
          </cell>
          <cell r="E367">
            <v>36564</v>
          </cell>
          <cell r="F367">
            <v>292500</v>
          </cell>
          <cell r="G367">
            <v>14.66</v>
          </cell>
          <cell r="K367">
            <v>14.35</v>
          </cell>
          <cell r="M367">
            <v>0.14349999999999999</v>
          </cell>
          <cell r="N367">
            <v>1.95E-2</v>
          </cell>
          <cell r="O367">
            <v>4.0000000000000001E-3</v>
          </cell>
          <cell r="P367">
            <v>0.11999999999999998</v>
          </cell>
        </row>
        <row r="368">
          <cell r="A368" t="str">
            <v>W10086</v>
          </cell>
          <cell r="B368">
            <v>351</v>
          </cell>
          <cell r="C368" t="str">
            <v>Ramesh Sharma ( Foreclosed on 17-10-00)</v>
          </cell>
          <cell r="D368">
            <v>1</v>
          </cell>
          <cell r="E368">
            <v>36564</v>
          </cell>
          <cell r="F368">
            <v>550000</v>
          </cell>
          <cell r="G368">
            <v>14.66</v>
          </cell>
          <cell r="K368">
            <v>14.35</v>
          </cell>
          <cell r="M368">
            <v>0.14349999999999999</v>
          </cell>
          <cell r="N368">
            <v>1.95E-2</v>
          </cell>
          <cell r="O368">
            <v>4.0000000000000001E-3</v>
          </cell>
          <cell r="P368">
            <v>0.11999999999999998</v>
          </cell>
        </row>
        <row r="369">
          <cell r="A369" t="str">
            <v>W10087</v>
          </cell>
          <cell r="B369">
            <v>352</v>
          </cell>
          <cell r="C369" t="str">
            <v>Jay Kishore</v>
          </cell>
          <cell r="D369">
            <v>1</v>
          </cell>
          <cell r="E369">
            <v>36565</v>
          </cell>
          <cell r="F369">
            <v>1068140</v>
          </cell>
          <cell r="G369">
            <v>14.66</v>
          </cell>
          <cell r="K369">
            <v>14.35</v>
          </cell>
          <cell r="M369">
            <v>0.14349999999999999</v>
          </cell>
          <cell r="N369">
            <v>1.95E-2</v>
          </cell>
          <cell r="O369">
            <v>4.0000000000000001E-3</v>
          </cell>
          <cell r="P369">
            <v>0.11999999999999998</v>
          </cell>
        </row>
        <row r="370">
          <cell r="A370" t="str">
            <v>W10090</v>
          </cell>
          <cell r="B370">
            <v>353</v>
          </cell>
          <cell r="C370" t="str">
            <v>P. Murati Sankar</v>
          </cell>
          <cell r="D370">
            <v>1</v>
          </cell>
          <cell r="E370">
            <v>36568</v>
          </cell>
          <cell r="F370">
            <v>286818</v>
          </cell>
          <cell r="G370">
            <v>14.66</v>
          </cell>
          <cell r="K370">
            <v>14.35</v>
          </cell>
          <cell r="M370">
            <v>0.14349999999999999</v>
          </cell>
          <cell r="N370">
            <v>1.95E-2</v>
          </cell>
          <cell r="O370">
            <v>4.0000000000000001E-3</v>
          </cell>
          <cell r="P370">
            <v>0.11999999999999998</v>
          </cell>
        </row>
        <row r="371">
          <cell r="A371" t="str">
            <v>W10089</v>
          </cell>
          <cell r="B371">
            <v>354</v>
          </cell>
          <cell r="C371" t="str">
            <v>S. S. Todkari</v>
          </cell>
          <cell r="D371">
            <v>1</v>
          </cell>
          <cell r="E371">
            <v>36568</v>
          </cell>
          <cell r="F371">
            <v>960000</v>
          </cell>
          <cell r="G371">
            <v>14.66</v>
          </cell>
          <cell r="K371">
            <v>14.35</v>
          </cell>
          <cell r="M371">
            <v>0.14349999999999999</v>
          </cell>
          <cell r="N371">
            <v>1.95E-2</v>
          </cell>
          <cell r="O371">
            <v>4.0000000000000001E-3</v>
          </cell>
          <cell r="P371">
            <v>0.11999999999999998</v>
          </cell>
        </row>
        <row r="372">
          <cell r="A372" t="str">
            <v>W10088</v>
          </cell>
          <cell r="B372">
            <v>355</v>
          </cell>
          <cell r="C372" t="str">
            <v>Vishakha Hospital &amp; Diagnostic P. Ltd.</v>
          </cell>
          <cell r="D372">
            <v>2</v>
          </cell>
          <cell r="E372">
            <v>36568</v>
          </cell>
          <cell r="F372">
            <v>128000</v>
          </cell>
          <cell r="G372">
            <v>14.66</v>
          </cell>
          <cell r="K372">
            <v>14.35</v>
          </cell>
          <cell r="M372">
            <v>0.14349999999999999</v>
          </cell>
          <cell r="N372">
            <v>1.95E-2</v>
          </cell>
          <cell r="O372">
            <v>4.0000000000000001E-3</v>
          </cell>
          <cell r="P372">
            <v>0.11999999999999998</v>
          </cell>
        </row>
        <row r="373">
          <cell r="A373" t="str">
            <v>W10091</v>
          </cell>
          <cell r="B373">
            <v>356</v>
          </cell>
          <cell r="C373" t="str">
            <v>Tuticorin CT Scan &amp; Research</v>
          </cell>
          <cell r="D373">
            <v>1</v>
          </cell>
          <cell r="E373">
            <v>36570</v>
          </cell>
          <cell r="F373">
            <v>10000000</v>
          </cell>
          <cell r="G373">
            <v>14.66</v>
          </cell>
          <cell r="K373">
            <v>14.35</v>
          </cell>
          <cell r="M373">
            <v>0.14349999999999999</v>
          </cell>
          <cell r="N373">
            <v>1.95E-2</v>
          </cell>
          <cell r="O373">
            <v>4.0000000000000001E-3</v>
          </cell>
          <cell r="P373">
            <v>0.11999999999999998</v>
          </cell>
        </row>
        <row r="374">
          <cell r="A374" t="str">
            <v>W10092</v>
          </cell>
          <cell r="B374">
            <v>357</v>
          </cell>
          <cell r="C374" t="str">
            <v>Prakash Kanwar</v>
          </cell>
          <cell r="D374">
            <v>1</v>
          </cell>
          <cell r="E374">
            <v>36573</v>
          </cell>
          <cell r="F374">
            <v>300000</v>
          </cell>
          <cell r="G374">
            <v>14.18</v>
          </cell>
          <cell r="K374">
            <v>13.85</v>
          </cell>
          <cell r="M374">
            <v>0.13849999999999998</v>
          </cell>
          <cell r="N374">
            <v>1.95E-2</v>
          </cell>
          <cell r="O374">
            <v>4.0000000000000001E-3</v>
          </cell>
          <cell r="P374">
            <v>0.11499999999999998</v>
          </cell>
        </row>
        <row r="375">
          <cell r="A375" t="str">
            <v>W10093</v>
          </cell>
          <cell r="B375">
            <v>358</v>
          </cell>
          <cell r="C375" t="str">
            <v>Shija Clinic Pvt. Ltd. ( Forcl on Aug-00 )</v>
          </cell>
          <cell r="D375">
            <v>1</v>
          </cell>
          <cell r="E375">
            <v>36573</v>
          </cell>
          <cell r="F375">
            <v>1400000</v>
          </cell>
          <cell r="G375">
            <v>14.18</v>
          </cell>
          <cell r="K375">
            <v>13.85</v>
          </cell>
          <cell r="M375">
            <v>0.13849999999999998</v>
          </cell>
          <cell r="N375">
            <v>1.95E-2</v>
          </cell>
          <cell r="O375">
            <v>4.0000000000000001E-3</v>
          </cell>
          <cell r="P375">
            <v>0.11499999999999998</v>
          </cell>
        </row>
        <row r="376">
          <cell r="A376" t="str">
            <v>W10094</v>
          </cell>
          <cell r="B376">
            <v>359</v>
          </cell>
          <cell r="C376" t="str">
            <v>Rashmi Garg</v>
          </cell>
          <cell r="D376">
            <v>1</v>
          </cell>
          <cell r="E376">
            <v>36579</v>
          </cell>
          <cell r="F376">
            <v>1000000</v>
          </cell>
          <cell r="G376">
            <v>14.18</v>
          </cell>
          <cell r="K376">
            <v>13.85</v>
          </cell>
          <cell r="M376">
            <v>0.13849999999999998</v>
          </cell>
          <cell r="N376">
            <v>1.95E-2</v>
          </cell>
          <cell r="O376">
            <v>4.0000000000000001E-3</v>
          </cell>
          <cell r="P376">
            <v>0.11499999999999998</v>
          </cell>
        </row>
        <row r="377">
          <cell r="A377" t="str">
            <v>W10095</v>
          </cell>
          <cell r="B377">
            <v>360</v>
          </cell>
          <cell r="C377" t="str">
            <v>Bankura Scan Centre</v>
          </cell>
          <cell r="D377">
            <v>1</v>
          </cell>
          <cell r="E377">
            <v>36585</v>
          </cell>
          <cell r="F377">
            <v>6180000</v>
          </cell>
          <cell r="G377">
            <v>14.18</v>
          </cell>
          <cell r="K377">
            <v>13.85</v>
          </cell>
          <cell r="M377">
            <v>0.13849999999999998</v>
          </cell>
          <cell r="N377">
            <v>1.95E-2</v>
          </cell>
          <cell r="O377">
            <v>4.0000000000000001E-3</v>
          </cell>
          <cell r="P377">
            <v>0.11499999999999998</v>
          </cell>
        </row>
        <row r="378">
          <cell r="A378" t="str">
            <v>W10096</v>
          </cell>
          <cell r="B378">
            <v>361</v>
          </cell>
          <cell r="C378" t="str">
            <v>Gopal Surendran</v>
          </cell>
          <cell r="D378">
            <v>1</v>
          </cell>
          <cell r="E378">
            <v>36585</v>
          </cell>
          <cell r="F378">
            <v>1200000</v>
          </cell>
          <cell r="G378">
            <v>14.18</v>
          </cell>
          <cell r="K378">
            <v>13.85</v>
          </cell>
          <cell r="M378">
            <v>0.13849999999999998</v>
          </cell>
          <cell r="N378">
            <v>1.95E-2</v>
          </cell>
          <cell r="O378">
            <v>4.0000000000000001E-3</v>
          </cell>
          <cell r="P378">
            <v>0.11499999999999998</v>
          </cell>
        </row>
        <row r="379">
          <cell r="A379" t="str">
            <v>W10097</v>
          </cell>
          <cell r="B379">
            <v>362</v>
          </cell>
          <cell r="C379" t="str">
            <v>Prateeksha Tolambia</v>
          </cell>
          <cell r="D379">
            <v>1</v>
          </cell>
          <cell r="E379">
            <v>36585</v>
          </cell>
          <cell r="F379">
            <v>350000</v>
          </cell>
          <cell r="G379">
            <v>14.18</v>
          </cell>
          <cell r="K379">
            <v>13.85</v>
          </cell>
          <cell r="M379">
            <v>0.13849999999999998</v>
          </cell>
          <cell r="N379">
            <v>1.95E-2</v>
          </cell>
          <cell r="O379">
            <v>4.0000000000000001E-3</v>
          </cell>
          <cell r="P379">
            <v>0.11499999999999998</v>
          </cell>
        </row>
        <row r="380">
          <cell r="A380" t="str">
            <v>W10098</v>
          </cell>
          <cell r="B380">
            <v>363</v>
          </cell>
          <cell r="C380" t="str">
            <v>K. Velluswamy</v>
          </cell>
          <cell r="D380">
            <v>1</v>
          </cell>
          <cell r="E380">
            <v>36588</v>
          </cell>
          <cell r="F380">
            <v>1270000</v>
          </cell>
          <cell r="G380">
            <v>14.18</v>
          </cell>
          <cell r="K380">
            <v>13.85</v>
          </cell>
          <cell r="M380">
            <v>0.13849999999999998</v>
          </cell>
          <cell r="N380">
            <v>1.95E-2</v>
          </cell>
          <cell r="O380">
            <v>4.0000000000000001E-3</v>
          </cell>
          <cell r="P380">
            <v>0.11499999999999998</v>
          </cell>
        </row>
        <row r="381">
          <cell r="A381" t="str">
            <v>W10099</v>
          </cell>
          <cell r="B381">
            <v>364</v>
          </cell>
          <cell r="C381" t="str">
            <v>Shilpa Phadkule</v>
          </cell>
          <cell r="D381">
            <v>1</v>
          </cell>
          <cell r="E381">
            <v>36607</v>
          </cell>
          <cell r="F381">
            <v>450000</v>
          </cell>
          <cell r="G381">
            <v>14.18</v>
          </cell>
          <cell r="K381">
            <v>13.85</v>
          </cell>
          <cell r="M381">
            <v>0.13849999999999998</v>
          </cell>
          <cell r="N381">
            <v>1.95E-2</v>
          </cell>
          <cell r="O381">
            <v>4.0000000000000001E-3</v>
          </cell>
          <cell r="P381">
            <v>0.11499999999999998</v>
          </cell>
        </row>
        <row r="382">
          <cell r="A382" t="str">
            <v>W10102</v>
          </cell>
          <cell r="B382">
            <v>365</v>
          </cell>
          <cell r="C382" t="str">
            <v>A.K. Gupta</v>
          </cell>
          <cell r="D382">
            <v>1</v>
          </cell>
          <cell r="E382">
            <v>36608</v>
          </cell>
          <cell r="F382">
            <v>1785000</v>
          </cell>
          <cell r="G382">
            <v>14.18</v>
          </cell>
          <cell r="K382">
            <v>13.85</v>
          </cell>
          <cell r="M382">
            <v>0.13849999999999998</v>
          </cell>
          <cell r="N382">
            <v>1.95E-2</v>
          </cell>
          <cell r="O382">
            <v>4.0000000000000001E-3</v>
          </cell>
          <cell r="P382">
            <v>0.11499999999999998</v>
          </cell>
        </row>
        <row r="383">
          <cell r="A383" t="str">
            <v>W10103</v>
          </cell>
          <cell r="B383">
            <v>366</v>
          </cell>
          <cell r="C383" t="str">
            <v>Naresh Suri</v>
          </cell>
          <cell r="D383">
            <v>1</v>
          </cell>
          <cell r="E383">
            <v>36608</v>
          </cell>
          <cell r="F383">
            <v>1025000</v>
          </cell>
          <cell r="G383">
            <v>14.18</v>
          </cell>
          <cell r="K383">
            <v>13.85</v>
          </cell>
          <cell r="M383">
            <v>0.13849999999999998</v>
          </cell>
          <cell r="N383">
            <v>1.95E-2</v>
          </cell>
          <cell r="O383">
            <v>4.0000000000000001E-3</v>
          </cell>
          <cell r="P383">
            <v>0.11499999999999998</v>
          </cell>
        </row>
        <row r="384">
          <cell r="A384" t="str">
            <v>W10101</v>
          </cell>
          <cell r="B384">
            <v>367</v>
          </cell>
          <cell r="C384" t="str">
            <v>North Bangalore Diagnostic</v>
          </cell>
          <cell r="D384">
            <v>1</v>
          </cell>
          <cell r="E384">
            <v>36608</v>
          </cell>
          <cell r="F384">
            <v>1800000</v>
          </cell>
          <cell r="G384">
            <v>14.18</v>
          </cell>
          <cell r="K384">
            <v>13.85</v>
          </cell>
          <cell r="M384">
            <v>0.13849999999999998</v>
          </cell>
          <cell r="N384">
            <v>1.95E-2</v>
          </cell>
          <cell r="O384">
            <v>4.0000000000000001E-3</v>
          </cell>
          <cell r="P384">
            <v>0.11499999999999998</v>
          </cell>
        </row>
        <row r="385">
          <cell r="A385" t="str">
            <v>W10106</v>
          </cell>
          <cell r="B385">
            <v>368</v>
          </cell>
          <cell r="C385" t="str">
            <v>Atul Seth</v>
          </cell>
          <cell r="D385">
            <v>1</v>
          </cell>
          <cell r="E385">
            <v>36641</v>
          </cell>
          <cell r="F385">
            <v>1615000</v>
          </cell>
          <cell r="G385">
            <v>14.18</v>
          </cell>
          <cell r="K385">
            <v>13.85</v>
          </cell>
          <cell r="M385">
            <v>0.13849999999999998</v>
          </cell>
          <cell r="N385">
            <v>1.95E-2</v>
          </cell>
          <cell r="O385">
            <v>4.0000000000000001E-3</v>
          </cell>
          <cell r="P385">
            <v>0.11499999999999998</v>
          </cell>
        </row>
        <row r="386">
          <cell r="A386" t="str">
            <v>W10105</v>
          </cell>
          <cell r="B386">
            <v>369</v>
          </cell>
          <cell r="C386" t="str">
            <v>The Heart Centre</v>
          </cell>
          <cell r="D386" t="str">
            <v>`1</v>
          </cell>
          <cell r="E386">
            <v>36641</v>
          </cell>
          <cell r="F386">
            <v>1700000</v>
          </cell>
          <cell r="G386">
            <v>14.18</v>
          </cell>
          <cell r="K386">
            <v>13.85</v>
          </cell>
          <cell r="M386">
            <v>0.13849999999999998</v>
          </cell>
          <cell r="N386">
            <v>1.95E-2</v>
          </cell>
          <cell r="O386">
            <v>4.0000000000000001E-3</v>
          </cell>
          <cell r="P386">
            <v>0.11499999999999998</v>
          </cell>
        </row>
        <row r="387">
          <cell r="A387" t="str">
            <v>W10107</v>
          </cell>
          <cell r="B387">
            <v>370</v>
          </cell>
          <cell r="C387" t="str">
            <v>B. Radhika</v>
          </cell>
          <cell r="D387">
            <v>1</v>
          </cell>
          <cell r="E387">
            <v>36643</v>
          </cell>
          <cell r="F387">
            <v>1000000</v>
          </cell>
          <cell r="G387">
            <v>14.18</v>
          </cell>
          <cell r="K387">
            <v>13.85</v>
          </cell>
          <cell r="M387">
            <v>0.13849999999999998</v>
          </cell>
          <cell r="N387">
            <v>1.95E-2</v>
          </cell>
          <cell r="O387">
            <v>4.0000000000000001E-3</v>
          </cell>
          <cell r="P387">
            <v>0.11499999999999998</v>
          </cell>
        </row>
        <row r="388">
          <cell r="A388" t="str">
            <v>W10108</v>
          </cell>
          <cell r="B388">
            <v>371</v>
          </cell>
          <cell r="C388" t="str">
            <v>Shirish Valsangkar</v>
          </cell>
          <cell r="D388">
            <v>1</v>
          </cell>
          <cell r="E388">
            <v>36643</v>
          </cell>
          <cell r="F388">
            <v>4950000</v>
          </cell>
          <cell r="G388">
            <v>14.18</v>
          </cell>
          <cell r="K388">
            <v>13.85</v>
          </cell>
          <cell r="M388">
            <v>0.13849999999999998</v>
          </cell>
          <cell r="N388">
            <v>1.95E-2</v>
          </cell>
          <cell r="O388">
            <v>4.0000000000000001E-3</v>
          </cell>
          <cell r="P388">
            <v>0.11499999999999998</v>
          </cell>
        </row>
        <row r="389">
          <cell r="A389" t="str">
            <v>W10111</v>
          </cell>
          <cell r="B389">
            <v>372</v>
          </cell>
          <cell r="C389" t="str">
            <v>Ajit Scanning &amp; Diagnostic Centre Pvt. Ltd.</v>
          </cell>
          <cell r="D389">
            <v>1</v>
          </cell>
          <cell r="E389">
            <v>36650</v>
          </cell>
          <cell r="F389">
            <v>4590000</v>
          </cell>
          <cell r="G389">
            <v>14.18</v>
          </cell>
          <cell r="K389">
            <v>13.85</v>
          </cell>
          <cell r="M389">
            <v>0.13849999999999998</v>
          </cell>
          <cell r="N389">
            <v>1.95E-2</v>
          </cell>
          <cell r="O389">
            <v>4.0000000000000001E-3</v>
          </cell>
          <cell r="P389">
            <v>0.11499999999999998</v>
          </cell>
        </row>
        <row r="390">
          <cell r="A390" t="str">
            <v>W10109</v>
          </cell>
          <cell r="B390">
            <v>373</v>
          </cell>
          <cell r="C390" t="str">
            <v>P. Raghu Ramaiah</v>
          </cell>
          <cell r="D390">
            <v>1</v>
          </cell>
          <cell r="E390">
            <v>36650</v>
          </cell>
          <cell r="F390">
            <v>315000</v>
          </cell>
          <cell r="G390">
            <v>14.18</v>
          </cell>
          <cell r="K390">
            <v>13.85</v>
          </cell>
          <cell r="M390">
            <v>0.13849999999999998</v>
          </cell>
          <cell r="N390">
            <v>1.95E-2</v>
          </cell>
          <cell r="O390">
            <v>4.0000000000000001E-3</v>
          </cell>
          <cell r="P390">
            <v>0.11499999999999998</v>
          </cell>
        </row>
        <row r="391">
          <cell r="A391" t="str">
            <v>W10110</v>
          </cell>
          <cell r="B391">
            <v>374</v>
          </cell>
          <cell r="C391" t="str">
            <v>Swati Dileep Bhale</v>
          </cell>
          <cell r="D391">
            <v>1</v>
          </cell>
          <cell r="E391">
            <v>36650</v>
          </cell>
          <cell r="F391">
            <v>1000000</v>
          </cell>
          <cell r="G391">
            <v>14.18</v>
          </cell>
          <cell r="K391">
            <v>13.85</v>
          </cell>
          <cell r="M391">
            <v>0.13849999999999998</v>
          </cell>
          <cell r="N391">
            <v>1.95E-2</v>
          </cell>
          <cell r="O391">
            <v>4.0000000000000001E-3</v>
          </cell>
          <cell r="P391">
            <v>0.11499999999999998</v>
          </cell>
        </row>
        <row r="392">
          <cell r="A392" t="str">
            <v>W10112</v>
          </cell>
          <cell r="B392">
            <v>375</v>
          </cell>
          <cell r="C392" t="str">
            <v>Life Line Diagnostic Centre</v>
          </cell>
          <cell r="D392">
            <v>1</v>
          </cell>
          <cell r="E392">
            <v>36662</v>
          </cell>
          <cell r="F392">
            <v>440000</v>
          </cell>
          <cell r="G392">
            <v>14.18</v>
          </cell>
          <cell r="K392">
            <v>13.85</v>
          </cell>
          <cell r="M392">
            <v>0.13849999999999998</v>
          </cell>
          <cell r="N392">
            <v>1.95E-2</v>
          </cell>
          <cell r="O392">
            <v>4.0000000000000001E-3</v>
          </cell>
          <cell r="P392">
            <v>0.11499999999999998</v>
          </cell>
        </row>
        <row r="393">
          <cell r="A393" t="str">
            <v>W10113</v>
          </cell>
          <cell r="B393">
            <v>376</v>
          </cell>
          <cell r="C393" t="str">
            <v>V . Shanmugam</v>
          </cell>
          <cell r="D393">
            <v>1</v>
          </cell>
          <cell r="E393">
            <v>36662</v>
          </cell>
          <cell r="F393">
            <v>325000</v>
          </cell>
          <cell r="G393">
            <v>14.18</v>
          </cell>
          <cell r="K393">
            <v>13.85</v>
          </cell>
          <cell r="M393">
            <v>0.13849999999999998</v>
          </cell>
          <cell r="N393">
            <v>1.95E-2</v>
          </cell>
          <cell r="O393">
            <v>4.0000000000000001E-3</v>
          </cell>
          <cell r="P393">
            <v>0.11499999999999998</v>
          </cell>
        </row>
        <row r="394">
          <cell r="A394" t="str">
            <v>W10116</v>
          </cell>
          <cell r="B394">
            <v>377</v>
          </cell>
          <cell r="C394" t="str">
            <v>Ongole CT Scan Centre Pvt. Ltd.</v>
          </cell>
          <cell r="D394">
            <v>1</v>
          </cell>
          <cell r="E394">
            <v>36675</v>
          </cell>
          <cell r="F394">
            <v>3350000</v>
          </cell>
          <cell r="G394">
            <v>14.18</v>
          </cell>
          <cell r="K394">
            <v>13.85</v>
          </cell>
          <cell r="M394">
            <v>0.13849999999999998</v>
          </cell>
          <cell r="N394">
            <v>1.95E-2</v>
          </cell>
          <cell r="O394">
            <v>4.0000000000000001E-3</v>
          </cell>
          <cell r="P394">
            <v>0.11499999999999998</v>
          </cell>
        </row>
        <row r="395">
          <cell r="A395" t="str">
            <v>W10115</v>
          </cell>
          <cell r="B395">
            <v>378</v>
          </cell>
          <cell r="C395" t="str">
            <v>Ram Kumar Gupta</v>
          </cell>
          <cell r="D395">
            <v>1</v>
          </cell>
          <cell r="E395">
            <v>36675</v>
          </cell>
          <cell r="F395">
            <v>1000000</v>
          </cell>
          <cell r="G395">
            <v>14.18</v>
          </cell>
          <cell r="K395">
            <v>13.85</v>
          </cell>
          <cell r="M395">
            <v>0.13849999999999998</v>
          </cell>
          <cell r="N395">
            <v>1.95E-2</v>
          </cell>
          <cell r="O395">
            <v>4.0000000000000001E-3</v>
          </cell>
          <cell r="P395">
            <v>0.11499999999999998</v>
          </cell>
        </row>
        <row r="396">
          <cell r="A396" t="str">
            <v>W10114</v>
          </cell>
          <cell r="B396">
            <v>379</v>
          </cell>
          <cell r="C396" t="str">
            <v>Ramalakshmi</v>
          </cell>
          <cell r="D396">
            <v>1</v>
          </cell>
          <cell r="E396">
            <v>36675</v>
          </cell>
          <cell r="F396">
            <v>986567</v>
          </cell>
          <cell r="G396">
            <v>14.18</v>
          </cell>
          <cell r="K396">
            <v>13.85</v>
          </cell>
          <cell r="M396">
            <v>0.13849999999999998</v>
          </cell>
          <cell r="N396">
            <v>1.95E-2</v>
          </cell>
          <cell r="O396">
            <v>4.0000000000000001E-3</v>
          </cell>
          <cell r="P396">
            <v>0.11499999999999998</v>
          </cell>
        </row>
        <row r="397">
          <cell r="A397" t="str">
            <v>W10119</v>
          </cell>
          <cell r="B397">
            <v>380</v>
          </cell>
          <cell r="C397" t="str">
            <v>Bharat Scans Pvt. Ltd.</v>
          </cell>
          <cell r="D397">
            <v>2</v>
          </cell>
          <cell r="E397">
            <v>36678</v>
          </cell>
          <cell r="F397">
            <v>26000000</v>
          </cell>
          <cell r="G397">
            <v>14.18</v>
          </cell>
          <cell r="K397">
            <v>13.85</v>
          </cell>
          <cell r="M397">
            <v>0.13849999999999998</v>
          </cell>
          <cell r="N397">
            <v>1.95E-2</v>
          </cell>
          <cell r="O397">
            <v>4.0000000000000001E-3</v>
          </cell>
          <cell r="P397">
            <v>0.11499999999999998</v>
          </cell>
        </row>
        <row r="398">
          <cell r="A398" t="str">
            <v>W10118</v>
          </cell>
          <cell r="B398">
            <v>381</v>
          </cell>
          <cell r="C398" t="str">
            <v>Madanapalle Hospital Pvt. Ltd.</v>
          </cell>
          <cell r="D398">
            <v>1</v>
          </cell>
          <cell r="E398">
            <v>36678</v>
          </cell>
          <cell r="F398">
            <v>1298859</v>
          </cell>
          <cell r="G398">
            <v>14.18</v>
          </cell>
          <cell r="K398">
            <v>13.85</v>
          </cell>
          <cell r="M398">
            <v>0.13849999999999998</v>
          </cell>
          <cell r="N398">
            <v>1.95E-2</v>
          </cell>
          <cell r="O398">
            <v>4.0000000000000001E-3</v>
          </cell>
          <cell r="P398">
            <v>0.11499999999999998</v>
          </cell>
        </row>
        <row r="399">
          <cell r="A399" t="str">
            <v>W10117</v>
          </cell>
          <cell r="B399">
            <v>382</v>
          </cell>
          <cell r="C399" t="str">
            <v>R. K. Gupta ( Sukhda )</v>
          </cell>
          <cell r="D399">
            <v>1</v>
          </cell>
          <cell r="E399">
            <v>36678</v>
          </cell>
          <cell r="F399">
            <v>1200000</v>
          </cell>
          <cell r="G399">
            <v>14.18</v>
          </cell>
          <cell r="K399">
            <v>13.85</v>
          </cell>
          <cell r="M399">
            <v>0.13849999999999998</v>
          </cell>
          <cell r="N399">
            <v>1.95E-2</v>
          </cell>
          <cell r="O399">
            <v>4.0000000000000001E-3</v>
          </cell>
          <cell r="P399">
            <v>0.11499999999999998</v>
          </cell>
        </row>
        <row r="400">
          <cell r="A400" t="str">
            <v>W10121</v>
          </cell>
          <cell r="B400">
            <v>383</v>
          </cell>
          <cell r="C400" t="str">
            <v>Advanced Medicare &amp; research Institute Ltd.</v>
          </cell>
          <cell r="D400">
            <v>4</v>
          </cell>
          <cell r="E400">
            <v>36678</v>
          </cell>
          <cell r="F400">
            <v>15470000</v>
          </cell>
          <cell r="G400">
            <v>14.18</v>
          </cell>
          <cell r="K400">
            <v>13.85</v>
          </cell>
          <cell r="M400">
            <v>0.13849999999999998</v>
          </cell>
          <cell r="N400">
            <v>1.95E-2</v>
          </cell>
          <cell r="O400">
            <v>4.0000000000000001E-3</v>
          </cell>
          <cell r="P400">
            <v>0.11499999999999998</v>
          </cell>
        </row>
        <row r="401">
          <cell r="A401" t="str">
            <v>W10120</v>
          </cell>
          <cell r="B401">
            <v>384</v>
          </cell>
          <cell r="C401" t="str">
            <v>R. R. Rai</v>
          </cell>
          <cell r="D401">
            <v>1</v>
          </cell>
          <cell r="E401">
            <v>36678</v>
          </cell>
          <cell r="F401">
            <v>1400000</v>
          </cell>
          <cell r="G401">
            <v>14.18</v>
          </cell>
          <cell r="K401">
            <v>13.85</v>
          </cell>
          <cell r="M401">
            <v>0.13849999999999998</v>
          </cell>
          <cell r="N401">
            <v>1.95E-2</v>
          </cell>
          <cell r="O401">
            <v>4.0000000000000001E-3</v>
          </cell>
          <cell r="P401">
            <v>0.11499999999999998</v>
          </cell>
        </row>
        <row r="402">
          <cell r="A402" t="str">
            <v>W10122</v>
          </cell>
          <cell r="B402">
            <v>385</v>
          </cell>
          <cell r="C402" t="str">
            <v>Raj Arora</v>
          </cell>
          <cell r="D402">
            <v>1</v>
          </cell>
          <cell r="E402">
            <v>36689</v>
          </cell>
          <cell r="F402">
            <v>1031048</v>
          </cell>
          <cell r="G402">
            <v>14.18</v>
          </cell>
          <cell r="K402">
            <v>13.85</v>
          </cell>
          <cell r="M402">
            <v>0.13849999999999998</v>
          </cell>
          <cell r="N402">
            <v>1.95E-2</v>
          </cell>
          <cell r="O402">
            <v>4.0000000000000001E-3</v>
          </cell>
          <cell r="P402">
            <v>0.11499999999999998</v>
          </cell>
        </row>
        <row r="403">
          <cell r="A403" t="str">
            <v>W10123</v>
          </cell>
          <cell r="B403">
            <v>386</v>
          </cell>
          <cell r="C403" t="str">
            <v>Travancore Diagnostics Pvt. Ltd.</v>
          </cell>
          <cell r="D403">
            <v>1</v>
          </cell>
          <cell r="E403">
            <v>36696</v>
          </cell>
          <cell r="F403">
            <v>458159</v>
          </cell>
          <cell r="G403">
            <v>14.18</v>
          </cell>
          <cell r="K403">
            <v>13.85</v>
          </cell>
          <cell r="M403">
            <v>0.13849999999999998</v>
          </cell>
          <cell r="N403">
            <v>1.95E-2</v>
          </cell>
          <cell r="O403">
            <v>4.0000000000000001E-3</v>
          </cell>
          <cell r="P403">
            <v>0.11499999999999998</v>
          </cell>
        </row>
        <row r="404">
          <cell r="A404" t="str">
            <v>W10124</v>
          </cell>
          <cell r="B404">
            <v>387</v>
          </cell>
          <cell r="C404" t="str">
            <v>Ram Ratan Rai</v>
          </cell>
          <cell r="D404">
            <v>1</v>
          </cell>
          <cell r="E404">
            <v>36699</v>
          </cell>
          <cell r="F404">
            <v>10400000</v>
          </cell>
          <cell r="G404">
            <v>14.18</v>
          </cell>
          <cell r="K404">
            <v>13.85</v>
          </cell>
          <cell r="M404">
            <v>0.13849999999999998</v>
          </cell>
          <cell r="N404">
            <v>1.95E-2</v>
          </cell>
          <cell r="O404">
            <v>4.0000000000000001E-3</v>
          </cell>
          <cell r="P404">
            <v>0.11499999999999998</v>
          </cell>
        </row>
        <row r="405">
          <cell r="A405" t="str">
            <v>W10126</v>
          </cell>
          <cell r="B405">
            <v>388</v>
          </cell>
          <cell r="C405" t="str">
            <v>Jeewan Jyoti Medical Care</v>
          </cell>
          <cell r="D405">
            <v>1</v>
          </cell>
          <cell r="E405">
            <v>36703</v>
          </cell>
          <cell r="F405">
            <v>200000</v>
          </cell>
          <cell r="G405">
            <v>14.18</v>
          </cell>
          <cell r="K405">
            <v>13.85</v>
          </cell>
          <cell r="M405">
            <v>0.13849999999999998</v>
          </cell>
          <cell r="N405">
            <v>1.95E-2</v>
          </cell>
          <cell r="O405">
            <v>4.0000000000000001E-3</v>
          </cell>
          <cell r="P405">
            <v>0.11499999999999998</v>
          </cell>
        </row>
        <row r="406">
          <cell r="A406" t="str">
            <v>W10127</v>
          </cell>
          <cell r="B406">
            <v>390</v>
          </cell>
          <cell r="C406" t="str">
            <v>BBR Hospital</v>
          </cell>
          <cell r="D406">
            <v>1</v>
          </cell>
          <cell r="E406">
            <v>36705</v>
          </cell>
          <cell r="F406">
            <v>1211550</v>
          </cell>
          <cell r="G406">
            <v>14.18</v>
          </cell>
          <cell r="K406">
            <v>13.85</v>
          </cell>
          <cell r="M406">
            <v>0.13849999999999998</v>
          </cell>
          <cell r="N406">
            <v>1.95E-2</v>
          </cell>
          <cell r="O406">
            <v>4.0000000000000001E-3</v>
          </cell>
          <cell r="P406">
            <v>0.11499999999999998</v>
          </cell>
        </row>
        <row r="407">
          <cell r="A407" t="str">
            <v>W10128</v>
          </cell>
          <cell r="B407">
            <v>391</v>
          </cell>
          <cell r="C407" t="str">
            <v>Rajvir Singh</v>
          </cell>
          <cell r="D407">
            <v>1</v>
          </cell>
          <cell r="E407">
            <v>36705</v>
          </cell>
          <cell r="F407">
            <v>5550000</v>
          </cell>
          <cell r="G407">
            <v>14.18</v>
          </cell>
          <cell r="K407">
            <v>13.85</v>
          </cell>
          <cell r="M407">
            <v>0.13849999999999998</v>
          </cell>
          <cell r="N407">
            <v>1.95E-2</v>
          </cell>
          <cell r="O407">
            <v>4.0000000000000001E-3</v>
          </cell>
          <cell r="P407">
            <v>0.11499999999999998</v>
          </cell>
        </row>
        <row r="408">
          <cell r="A408" t="str">
            <v>W10132</v>
          </cell>
          <cell r="B408">
            <v>392</v>
          </cell>
          <cell r="C408" t="str">
            <v>BBR Multi Speciality Hospital</v>
          </cell>
          <cell r="D408">
            <v>1</v>
          </cell>
          <cell r="E408">
            <v>36706</v>
          </cell>
          <cell r="F408">
            <v>4920000</v>
          </cell>
          <cell r="G408">
            <v>14.18</v>
          </cell>
          <cell r="K408">
            <v>13.85</v>
          </cell>
          <cell r="M408">
            <v>0.13849999999999998</v>
          </cell>
          <cell r="N408">
            <v>1.95E-2</v>
          </cell>
          <cell r="O408">
            <v>4.0000000000000001E-3</v>
          </cell>
          <cell r="P408">
            <v>0.11499999999999998</v>
          </cell>
        </row>
        <row r="409">
          <cell r="A409" t="str">
            <v>W10145</v>
          </cell>
          <cell r="B409">
            <v>389</v>
          </cell>
          <cell r="C409" t="str">
            <v>Mohan Singh Bhati</v>
          </cell>
          <cell r="D409">
            <v>1</v>
          </cell>
          <cell r="E409">
            <v>36733</v>
          </cell>
          <cell r="F409">
            <v>133500</v>
          </cell>
          <cell r="G409">
            <v>14.18</v>
          </cell>
          <cell r="K409">
            <v>13.85</v>
          </cell>
          <cell r="M409">
            <v>0.13849999999999998</v>
          </cell>
          <cell r="N409">
            <v>1.95E-2</v>
          </cell>
          <cell r="O409">
            <v>4.0000000000000001E-3</v>
          </cell>
          <cell r="P409">
            <v>0.11499999999999998</v>
          </cell>
        </row>
        <row r="410">
          <cell r="A410" t="str">
            <v>W10146</v>
          </cell>
          <cell r="B410">
            <v>393</v>
          </cell>
          <cell r="C410" t="str">
            <v>Mohan Singh Bhati</v>
          </cell>
          <cell r="D410">
            <v>2</v>
          </cell>
          <cell r="E410">
            <v>36733</v>
          </cell>
          <cell r="F410">
            <v>297750</v>
          </cell>
          <cell r="G410">
            <v>14.18</v>
          </cell>
          <cell r="K410">
            <v>13.85</v>
          </cell>
          <cell r="M410">
            <v>0.13849999999999998</v>
          </cell>
          <cell r="N410">
            <v>1.95E-2</v>
          </cell>
          <cell r="O410">
            <v>4.0000000000000001E-3</v>
          </cell>
          <cell r="P410">
            <v>0.11499999999999998</v>
          </cell>
        </row>
        <row r="411">
          <cell r="A411" t="str">
            <v>W10147</v>
          </cell>
          <cell r="B411">
            <v>394</v>
          </cell>
          <cell r="C411" t="str">
            <v>Vijendra Kumar</v>
          </cell>
          <cell r="D411">
            <v>1</v>
          </cell>
          <cell r="E411">
            <v>36733</v>
          </cell>
          <cell r="F411">
            <v>1400000</v>
          </cell>
          <cell r="G411">
            <v>14.18</v>
          </cell>
          <cell r="K411">
            <v>13.85</v>
          </cell>
          <cell r="M411">
            <v>0.13849999999999998</v>
          </cell>
          <cell r="N411">
            <v>1.95E-2</v>
          </cell>
          <cell r="O411">
            <v>4.0000000000000001E-3</v>
          </cell>
          <cell r="P411">
            <v>0.11499999999999998</v>
          </cell>
        </row>
        <row r="412">
          <cell r="A412" t="str">
            <v>W10148</v>
          </cell>
          <cell r="B412">
            <v>395</v>
          </cell>
          <cell r="C412" t="str">
            <v>Healing Touch Hospital Pvt. Ltd.</v>
          </cell>
          <cell r="D412">
            <v>1</v>
          </cell>
          <cell r="E412">
            <v>36734</v>
          </cell>
          <cell r="F412">
            <v>1800000</v>
          </cell>
          <cell r="G412">
            <v>14.18</v>
          </cell>
          <cell r="K412">
            <v>13.85</v>
          </cell>
          <cell r="M412">
            <v>0.13849999999999998</v>
          </cell>
          <cell r="N412">
            <v>1.95E-2</v>
          </cell>
          <cell r="O412">
            <v>4.0000000000000001E-3</v>
          </cell>
          <cell r="P412">
            <v>0.11499999999999998</v>
          </cell>
        </row>
        <row r="413">
          <cell r="A413" t="str">
            <v>W10149</v>
          </cell>
          <cell r="B413">
            <v>396</v>
          </cell>
          <cell r="C413" t="str">
            <v>Inderjit Singh</v>
          </cell>
          <cell r="D413">
            <v>1</v>
          </cell>
          <cell r="E413">
            <v>36759</v>
          </cell>
          <cell r="F413">
            <v>1275000</v>
          </cell>
          <cell r="G413">
            <v>14.68</v>
          </cell>
          <cell r="K413">
            <v>14.35</v>
          </cell>
          <cell r="M413">
            <v>0.14349999999999999</v>
          </cell>
          <cell r="N413">
            <v>1.95E-2</v>
          </cell>
          <cell r="O413">
            <v>4.0000000000000001E-3</v>
          </cell>
          <cell r="P413">
            <v>0.11999999999999998</v>
          </cell>
        </row>
        <row r="414">
          <cell r="A414" t="str">
            <v>W10150</v>
          </cell>
          <cell r="B414">
            <v>397</v>
          </cell>
          <cell r="C414" t="str">
            <v>Jitendra Kumar Palvia</v>
          </cell>
          <cell r="D414">
            <v>1</v>
          </cell>
          <cell r="E414">
            <v>36760</v>
          </cell>
          <cell r="F414">
            <v>538183</v>
          </cell>
          <cell r="G414">
            <v>14.68</v>
          </cell>
          <cell r="K414">
            <v>14.35</v>
          </cell>
          <cell r="M414">
            <v>0.14349999999999999</v>
          </cell>
          <cell r="N414">
            <v>1.95E-2</v>
          </cell>
          <cell r="O414">
            <v>4.0000000000000001E-3</v>
          </cell>
          <cell r="P414">
            <v>0.11999999999999998</v>
          </cell>
        </row>
        <row r="415">
          <cell r="A415" t="str">
            <v>W10151</v>
          </cell>
          <cell r="B415">
            <v>398</v>
          </cell>
          <cell r="C415" t="str">
            <v>The Cochin Coop Hospital</v>
          </cell>
          <cell r="D415">
            <v>2</v>
          </cell>
          <cell r="E415">
            <v>36766</v>
          </cell>
          <cell r="F415">
            <v>1912500</v>
          </cell>
          <cell r="G415">
            <v>14.68</v>
          </cell>
          <cell r="K415">
            <v>14.35</v>
          </cell>
          <cell r="M415">
            <v>0.14349999999999999</v>
          </cell>
          <cell r="N415">
            <v>1.95E-2</v>
          </cell>
          <cell r="O415">
            <v>4.0000000000000001E-3</v>
          </cell>
          <cell r="P415">
            <v>0.11999999999999998</v>
          </cell>
        </row>
        <row r="416">
          <cell r="A416" t="str">
            <v>W10152</v>
          </cell>
          <cell r="B416">
            <v>399</v>
          </cell>
          <cell r="C416" t="str">
            <v>A C Tripathi</v>
          </cell>
          <cell r="D416">
            <v>1</v>
          </cell>
          <cell r="E416">
            <v>36766</v>
          </cell>
          <cell r="F416">
            <v>342481</v>
          </cell>
          <cell r="G416">
            <v>14.68</v>
          </cell>
          <cell r="K416">
            <v>14.35</v>
          </cell>
          <cell r="M416">
            <v>0.14349999999999999</v>
          </cell>
          <cell r="N416">
            <v>1.95E-2</v>
          </cell>
          <cell r="O416">
            <v>4.0000000000000001E-3</v>
          </cell>
          <cell r="P416">
            <v>0.11999999999999998</v>
          </cell>
        </row>
        <row r="417">
          <cell r="A417" t="str">
            <v>W10153</v>
          </cell>
          <cell r="B417">
            <v>400</v>
          </cell>
          <cell r="C417" t="str">
            <v>Shivam Ultrasound</v>
          </cell>
          <cell r="D417">
            <v>1</v>
          </cell>
          <cell r="E417">
            <v>36767</v>
          </cell>
          <cell r="F417">
            <v>313111</v>
          </cell>
          <cell r="G417">
            <v>14.68</v>
          </cell>
          <cell r="K417">
            <v>14.35</v>
          </cell>
          <cell r="M417">
            <v>0.14349999999999999</v>
          </cell>
          <cell r="N417">
            <v>1.95E-2</v>
          </cell>
          <cell r="O417">
            <v>4.0000000000000001E-3</v>
          </cell>
          <cell r="P417">
            <v>0.11999999999999998</v>
          </cell>
        </row>
        <row r="418">
          <cell r="A418" t="str">
            <v>W10154</v>
          </cell>
          <cell r="B418">
            <v>401</v>
          </cell>
          <cell r="C418" t="str">
            <v>Parul Sharma ( Dues for 30Aug-00 + Sep00)</v>
          </cell>
          <cell r="D418">
            <v>1</v>
          </cell>
          <cell r="E418">
            <v>36767</v>
          </cell>
          <cell r="F418">
            <v>363959</v>
          </cell>
          <cell r="G418">
            <v>14.68</v>
          </cell>
          <cell r="K418">
            <v>14.35</v>
          </cell>
          <cell r="M418">
            <v>0.14349999999999999</v>
          </cell>
          <cell r="N418">
            <v>1.95E-2</v>
          </cell>
          <cell r="O418">
            <v>4.0000000000000001E-3</v>
          </cell>
          <cell r="P418">
            <v>0.11999999999999998</v>
          </cell>
        </row>
        <row r="419">
          <cell r="A419" t="str">
            <v>W10155</v>
          </cell>
          <cell r="B419">
            <v>402</v>
          </cell>
          <cell r="C419" t="str">
            <v>Bimla Bhateja</v>
          </cell>
          <cell r="D419">
            <v>1</v>
          </cell>
          <cell r="E419">
            <v>36767</v>
          </cell>
          <cell r="F419">
            <v>434998</v>
          </cell>
          <cell r="G419">
            <v>14.68</v>
          </cell>
          <cell r="K419">
            <v>14.35</v>
          </cell>
          <cell r="M419">
            <v>0.14349999999999999</v>
          </cell>
          <cell r="N419">
            <v>1.95E-2</v>
          </cell>
          <cell r="O419">
            <v>4.0000000000000001E-3</v>
          </cell>
          <cell r="P419">
            <v>0.11999999999999998</v>
          </cell>
        </row>
        <row r="420">
          <cell r="A420" t="str">
            <v>W10156</v>
          </cell>
          <cell r="B420">
            <v>403</v>
          </cell>
          <cell r="C420" t="str">
            <v>Mahagujrat</v>
          </cell>
          <cell r="D420">
            <v>1</v>
          </cell>
          <cell r="E420">
            <v>36767</v>
          </cell>
          <cell r="F420">
            <v>3800000</v>
          </cell>
          <cell r="G420">
            <v>14.68</v>
          </cell>
          <cell r="K420">
            <v>14.35</v>
          </cell>
          <cell r="M420">
            <v>0.14349999999999999</v>
          </cell>
          <cell r="N420">
            <v>1.95E-2</v>
          </cell>
          <cell r="O420">
            <v>4.0000000000000001E-3</v>
          </cell>
          <cell r="P420">
            <v>0.11999999999999998</v>
          </cell>
        </row>
        <row r="421">
          <cell r="A421" t="str">
            <v>W10157</v>
          </cell>
          <cell r="B421">
            <v>404</v>
          </cell>
          <cell r="C421" t="str">
            <v>Bharat Scans Pvt. Ltd.</v>
          </cell>
          <cell r="D421">
            <v>3</v>
          </cell>
          <cell r="E421">
            <v>36767</v>
          </cell>
          <cell r="F421">
            <v>2205000</v>
          </cell>
          <cell r="G421">
            <v>14.68</v>
          </cell>
          <cell r="K421">
            <v>14.35</v>
          </cell>
          <cell r="M421">
            <v>0.14349999999999999</v>
          </cell>
          <cell r="N421">
            <v>1.95E-2</v>
          </cell>
          <cell r="O421">
            <v>4.0000000000000001E-3</v>
          </cell>
          <cell r="P421">
            <v>0.11999999999999998</v>
          </cell>
        </row>
        <row r="422">
          <cell r="A422" t="str">
            <v>W10158</v>
          </cell>
          <cell r="B422">
            <v>405</v>
          </cell>
          <cell r="C422" t="str">
            <v>Shatabadi Mediscans</v>
          </cell>
          <cell r="D422">
            <v>1</v>
          </cell>
          <cell r="E422">
            <v>36767</v>
          </cell>
          <cell r="F422">
            <v>1505192</v>
          </cell>
          <cell r="G422">
            <v>14.68</v>
          </cell>
          <cell r="K422">
            <v>14.35</v>
          </cell>
          <cell r="M422">
            <v>0.14349999999999999</v>
          </cell>
          <cell r="N422">
            <v>1.95E-2</v>
          </cell>
          <cell r="O422">
            <v>4.0000000000000001E-3</v>
          </cell>
          <cell r="P422">
            <v>0.11999999999999998</v>
          </cell>
        </row>
        <row r="423">
          <cell r="A423" t="str">
            <v>W10159</v>
          </cell>
          <cell r="B423">
            <v>406</v>
          </cell>
          <cell r="C423" t="str">
            <v>Rabindra Prasad</v>
          </cell>
          <cell r="D423">
            <v>1</v>
          </cell>
          <cell r="E423">
            <v>36768</v>
          </cell>
          <cell r="F423">
            <v>989016</v>
          </cell>
          <cell r="G423">
            <v>14.68</v>
          </cell>
          <cell r="K423">
            <v>14.35</v>
          </cell>
          <cell r="M423">
            <v>0.14349999999999999</v>
          </cell>
          <cell r="N423">
            <v>1.95E-2</v>
          </cell>
          <cell r="O423">
            <v>4.0000000000000001E-3</v>
          </cell>
          <cell r="P423">
            <v>0.11999999999999998</v>
          </cell>
        </row>
        <row r="424">
          <cell r="A424" t="str">
            <v>W10160</v>
          </cell>
          <cell r="B424">
            <v>407</v>
          </cell>
          <cell r="C424" t="str">
            <v>Bharat Scans Pvt. Ltd.</v>
          </cell>
          <cell r="D424">
            <v>4</v>
          </cell>
          <cell r="E424">
            <v>36770</v>
          </cell>
          <cell r="F424">
            <v>2160000</v>
          </cell>
          <cell r="G424">
            <v>14.68</v>
          </cell>
          <cell r="K424">
            <v>14.35</v>
          </cell>
          <cell r="M424">
            <v>0.14349999999999999</v>
          </cell>
          <cell r="N424">
            <v>1.95E-2</v>
          </cell>
          <cell r="O424">
            <v>4.0000000000000001E-3</v>
          </cell>
          <cell r="P424">
            <v>0.11999999999999998</v>
          </cell>
        </row>
        <row r="425">
          <cell r="A425" t="str">
            <v>W10161</v>
          </cell>
          <cell r="B425">
            <v>408</v>
          </cell>
          <cell r="C425" t="str">
            <v>M K Selveyraj Children Hospital</v>
          </cell>
          <cell r="D425">
            <v>1</v>
          </cell>
          <cell r="E425">
            <v>36770</v>
          </cell>
          <cell r="F425">
            <v>615000</v>
          </cell>
          <cell r="G425">
            <v>14.68</v>
          </cell>
          <cell r="K425">
            <v>14.35</v>
          </cell>
          <cell r="M425">
            <v>0.14349999999999999</v>
          </cell>
          <cell r="N425">
            <v>1.95E-2</v>
          </cell>
          <cell r="O425">
            <v>4.0000000000000001E-3</v>
          </cell>
          <cell r="P425">
            <v>0.11999999999999998</v>
          </cell>
        </row>
        <row r="426">
          <cell r="A426" t="str">
            <v>W10129</v>
          </cell>
          <cell r="B426">
            <v>409</v>
          </cell>
          <cell r="C426" t="str">
            <v>Manipal Academy of Higher ( NON PDC )</v>
          </cell>
          <cell r="D426">
            <v>2</v>
          </cell>
          <cell r="E426">
            <v>36706</v>
          </cell>
          <cell r="F426">
            <v>39052500</v>
          </cell>
          <cell r="G426">
            <v>14.18</v>
          </cell>
          <cell r="K426">
            <v>13.85</v>
          </cell>
          <cell r="M426">
            <v>0.13849999999999998</v>
          </cell>
          <cell r="N426">
            <v>1.95E-2</v>
          </cell>
          <cell r="O426">
            <v>4.0000000000000001E-3</v>
          </cell>
          <cell r="P426">
            <v>0.11499999999999998</v>
          </cell>
        </row>
        <row r="427">
          <cell r="A427" t="str">
            <v>W10133</v>
          </cell>
          <cell r="B427">
            <v>410</v>
          </cell>
          <cell r="C427" t="str">
            <v>Medisewa Scanning Centre</v>
          </cell>
          <cell r="D427">
            <v>1</v>
          </cell>
          <cell r="E427">
            <v>36706</v>
          </cell>
          <cell r="F427">
            <v>4354000</v>
          </cell>
          <cell r="G427">
            <v>14.18</v>
          </cell>
          <cell r="K427">
            <v>13.85</v>
          </cell>
          <cell r="M427">
            <v>0.13849999999999998</v>
          </cell>
          <cell r="N427">
            <v>1.95E-2</v>
          </cell>
          <cell r="O427">
            <v>4.0000000000000001E-3</v>
          </cell>
          <cell r="P427">
            <v>0.11499999999999998</v>
          </cell>
        </row>
        <row r="428">
          <cell r="A428" t="str">
            <v>W10136</v>
          </cell>
          <cell r="B428">
            <v>411</v>
          </cell>
          <cell r="C428" t="str">
            <v>Meenakshi Mission</v>
          </cell>
          <cell r="D428">
            <v>1</v>
          </cell>
          <cell r="E428">
            <v>36706</v>
          </cell>
          <cell r="F428">
            <v>9000000</v>
          </cell>
          <cell r="G428">
            <v>14.18</v>
          </cell>
          <cell r="K428">
            <v>13.85</v>
          </cell>
          <cell r="M428">
            <v>0.13849999999999998</v>
          </cell>
          <cell r="N428">
            <v>1.95E-2</v>
          </cell>
          <cell r="O428">
            <v>4.0000000000000001E-3</v>
          </cell>
          <cell r="P428">
            <v>0.11499999999999998</v>
          </cell>
        </row>
        <row r="429">
          <cell r="A429" t="str">
            <v>W10138</v>
          </cell>
          <cell r="B429">
            <v>412</v>
          </cell>
          <cell r="C429" t="str">
            <v>Manipal Academy of Higher ( NON PDC )</v>
          </cell>
          <cell r="D429">
            <v>2</v>
          </cell>
          <cell r="E429">
            <v>36706</v>
          </cell>
          <cell r="F429">
            <v>5442500</v>
          </cell>
          <cell r="G429">
            <v>14.18</v>
          </cell>
          <cell r="K429">
            <v>13.85</v>
          </cell>
          <cell r="M429">
            <v>0.13849999999999998</v>
          </cell>
          <cell r="N429">
            <v>1.95E-2</v>
          </cell>
          <cell r="O429">
            <v>4.0000000000000001E-3</v>
          </cell>
          <cell r="P429">
            <v>0.11499999999999998</v>
          </cell>
        </row>
        <row r="430">
          <cell r="A430" t="str">
            <v>W10139</v>
          </cell>
          <cell r="B430">
            <v>413</v>
          </cell>
          <cell r="C430" t="str">
            <v>Sriniwasa Cardiology Centre</v>
          </cell>
          <cell r="D430">
            <v>1</v>
          </cell>
          <cell r="E430">
            <v>36706</v>
          </cell>
          <cell r="F430">
            <v>21880400</v>
          </cell>
          <cell r="G430">
            <v>14.18</v>
          </cell>
          <cell r="K430">
            <v>13.85</v>
          </cell>
          <cell r="M430">
            <v>0.13849999999999998</v>
          </cell>
          <cell r="N430">
            <v>1.95E-2</v>
          </cell>
          <cell r="O430">
            <v>4.0000000000000001E-3</v>
          </cell>
          <cell r="P430">
            <v>0.11499999999999998</v>
          </cell>
        </row>
        <row r="431">
          <cell r="A431" t="str">
            <v>W10140</v>
          </cell>
          <cell r="B431">
            <v>414</v>
          </cell>
          <cell r="C431" t="str">
            <v>Sriniwasa Cardiology Centre</v>
          </cell>
          <cell r="D431">
            <v>2</v>
          </cell>
          <cell r="E431">
            <v>36706</v>
          </cell>
          <cell r="F431">
            <v>4320000</v>
          </cell>
          <cell r="G431">
            <v>14.18</v>
          </cell>
          <cell r="K431">
            <v>13.85</v>
          </cell>
          <cell r="M431">
            <v>0.13849999999999998</v>
          </cell>
          <cell r="N431">
            <v>1.95E-2</v>
          </cell>
          <cell r="O431">
            <v>4.0000000000000001E-3</v>
          </cell>
          <cell r="P431">
            <v>0.11499999999999998</v>
          </cell>
        </row>
        <row r="432">
          <cell r="A432" t="str">
            <v>W10141</v>
          </cell>
          <cell r="B432">
            <v>415</v>
          </cell>
          <cell r="C432" t="str">
            <v>Sriniwasa Cardiology Centre</v>
          </cell>
          <cell r="D432">
            <v>3</v>
          </cell>
          <cell r="E432">
            <v>36706</v>
          </cell>
          <cell r="F432">
            <v>3600000</v>
          </cell>
          <cell r="G432">
            <v>14.18</v>
          </cell>
          <cell r="K432">
            <v>13.85</v>
          </cell>
          <cell r="M432">
            <v>0.13849999999999998</v>
          </cell>
          <cell r="N432">
            <v>1.95E-2</v>
          </cell>
          <cell r="O432">
            <v>4.0000000000000001E-3</v>
          </cell>
          <cell r="P432">
            <v>0.11499999999999998</v>
          </cell>
        </row>
        <row r="433">
          <cell r="A433" t="str">
            <v>W10142</v>
          </cell>
          <cell r="B433">
            <v>416</v>
          </cell>
          <cell r="C433" t="str">
            <v>Sriniwasa Cardiology Centre</v>
          </cell>
          <cell r="D433">
            <v>4</v>
          </cell>
          <cell r="E433">
            <v>36706</v>
          </cell>
          <cell r="F433">
            <v>2599600</v>
          </cell>
          <cell r="G433">
            <v>14.18</v>
          </cell>
          <cell r="K433">
            <v>13.85</v>
          </cell>
          <cell r="M433">
            <v>0.13849999999999998</v>
          </cell>
          <cell r="N433">
            <v>1.95E-2</v>
          </cell>
          <cell r="O433">
            <v>4.0000000000000001E-3</v>
          </cell>
          <cell r="P433">
            <v>0.11499999999999998</v>
          </cell>
        </row>
        <row r="434">
          <cell r="A434" t="str">
            <v>W10162</v>
          </cell>
          <cell r="B434">
            <v>417</v>
          </cell>
          <cell r="C434" t="str">
            <v>Sant Nischal Singh</v>
          </cell>
          <cell r="D434">
            <v>1</v>
          </cell>
          <cell r="E434">
            <v>36796</v>
          </cell>
          <cell r="F434">
            <v>300000</v>
          </cell>
          <cell r="G434">
            <v>14.18</v>
          </cell>
          <cell r="K434">
            <v>14.35</v>
          </cell>
          <cell r="M434">
            <v>0.14349999999999999</v>
          </cell>
          <cell r="N434">
            <v>1.95E-2</v>
          </cell>
          <cell r="O434">
            <v>4.0000000000000001E-3</v>
          </cell>
          <cell r="P434">
            <v>0.11999999999999998</v>
          </cell>
        </row>
        <row r="435">
          <cell r="A435" t="str">
            <v>W10164</v>
          </cell>
          <cell r="B435">
            <v>418</v>
          </cell>
          <cell r="C435" t="str">
            <v>K.S Shanmugam</v>
          </cell>
          <cell r="D435">
            <v>1</v>
          </cell>
          <cell r="E435">
            <v>36796</v>
          </cell>
          <cell r="F435">
            <v>220000</v>
          </cell>
          <cell r="G435">
            <v>14.18</v>
          </cell>
          <cell r="K435">
            <v>14.35</v>
          </cell>
          <cell r="M435">
            <v>0.14349999999999999</v>
          </cell>
          <cell r="N435">
            <v>1.95E-2</v>
          </cell>
          <cell r="O435">
            <v>4.0000000000000001E-3</v>
          </cell>
          <cell r="P435">
            <v>0.11999999999999998</v>
          </cell>
        </row>
        <row r="436">
          <cell r="A436" t="str">
            <v>W10163</v>
          </cell>
          <cell r="B436">
            <v>419</v>
          </cell>
          <cell r="C436" t="str">
            <v>Sai Medical Imaging</v>
          </cell>
          <cell r="D436">
            <v>1</v>
          </cell>
          <cell r="E436">
            <v>36817</v>
          </cell>
          <cell r="F436">
            <v>16700000</v>
          </cell>
          <cell r="G436">
            <v>14.43</v>
          </cell>
          <cell r="K436">
            <v>14.1</v>
          </cell>
          <cell r="M436">
            <v>0.14099999999999999</v>
          </cell>
          <cell r="N436">
            <v>1.95E-2</v>
          </cell>
          <cell r="O436">
            <v>4.0000000000000001E-3</v>
          </cell>
          <cell r="P436">
            <v>0.11749999999999998</v>
          </cell>
        </row>
        <row r="437">
          <cell r="A437" t="str">
            <v>W10166</v>
          </cell>
          <cell r="B437">
            <v>420</v>
          </cell>
          <cell r="C437" t="str">
            <v>Daljit Singh Saini</v>
          </cell>
          <cell r="D437">
            <v>1</v>
          </cell>
          <cell r="E437">
            <v>36829</v>
          </cell>
          <cell r="F437">
            <v>1219000</v>
          </cell>
          <cell r="G437">
            <v>14.43</v>
          </cell>
          <cell r="K437">
            <v>14.1</v>
          </cell>
          <cell r="M437">
            <v>0.14099999999999999</v>
          </cell>
          <cell r="N437">
            <v>1.95E-2</v>
          </cell>
          <cell r="O437">
            <v>4.0000000000000001E-3</v>
          </cell>
          <cell r="P437">
            <v>0.11749999999999998</v>
          </cell>
        </row>
        <row r="438">
          <cell r="A438" t="str">
            <v>W10167</v>
          </cell>
          <cell r="B438">
            <v>421</v>
          </cell>
          <cell r="C438" t="str">
            <v>Raj Kumar</v>
          </cell>
          <cell r="D438">
            <v>1</v>
          </cell>
          <cell r="E438">
            <v>36829</v>
          </cell>
          <cell r="F438">
            <v>900000</v>
          </cell>
          <cell r="G438">
            <v>14.43</v>
          </cell>
          <cell r="K438">
            <v>14.1</v>
          </cell>
          <cell r="M438">
            <v>0.14099999999999999</v>
          </cell>
          <cell r="N438">
            <v>1.95E-2</v>
          </cell>
          <cell r="O438">
            <v>4.0000000000000001E-3</v>
          </cell>
          <cell r="P438">
            <v>0.11749999999999998</v>
          </cell>
        </row>
        <row r="439">
          <cell r="A439" t="str">
            <v>W10168</v>
          </cell>
          <cell r="B439">
            <v>422</v>
          </cell>
          <cell r="C439" t="str">
            <v>MM Vasudevan</v>
          </cell>
          <cell r="D439">
            <v>1</v>
          </cell>
          <cell r="E439">
            <v>36829</v>
          </cell>
          <cell r="F439">
            <v>406220</v>
          </cell>
          <cell r="G439">
            <v>14.43</v>
          </cell>
          <cell r="K439">
            <v>14.1</v>
          </cell>
          <cell r="M439">
            <v>0.14099999999999999</v>
          </cell>
          <cell r="N439">
            <v>1.95E-2</v>
          </cell>
          <cell r="O439">
            <v>4.0000000000000001E-3</v>
          </cell>
          <cell r="P439">
            <v>0.11749999999999998</v>
          </cell>
        </row>
        <row r="440">
          <cell r="A440" t="str">
            <v>W10169</v>
          </cell>
          <cell r="B440">
            <v>423</v>
          </cell>
          <cell r="C440" t="str">
            <v>Vikram Scan &amp; Diagnostic Centre</v>
          </cell>
          <cell r="D440">
            <v>1</v>
          </cell>
          <cell r="E440">
            <v>36837</v>
          </cell>
          <cell r="F440">
            <v>1200000</v>
          </cell>
          <cell r="G440">
            <v>14.43</v>
          </cell>
          <cell r="K440">
            <v>14.1</v>
          </cell>
          <cell r="M440">
            <v>0.14099999999999999</v>
          </cell>
          <cell r="N440">
            <v>1.95E-2</v>
          </cell>
          <cell r="O440">
            <v>4.0000000000000001E-3</v>
          </cell>
          <cell r="P440">
            <v>0.11749999999999998</v>
          </cell>
        </row>
        <row r="441">
          <cell r="A441" t="str">
            <v>W10165</v>
          </cell>
          <cell r="B441">
            <v>424</v>
          </cell>
          <cell r="C441" t="str">
            <v>Sadhna Singh</v>
          </cell>
          <cell r="D441">
            <v>1</v>
          </cell>
          <cell r="E441">
            <v>36858</v>
          </cell>
          <cell r="G441">
            <v>14.1</v>
          </cell>
          <cell r="K441">
            <v>14.1</v>
          </cell>
          <cell r="M441">
            <v>0.14099999999999999</v>
          </cell>
          <cell r="N441">
            <v>1.95E-2</v>
          </cell>
          <cell r="O441">
            <v>4.0000000000000001E-3</v>
          </cell>
          <cell r="P441">
            <v>0.11749999999999998</v>
          </cell>
        </row>
        <row r="442">
          <cell r="A442" t="str">
            <v>W10170</v>
          </cell>
          <cell r="B442">
            <v>425</v>
          </cell>
          <cell r="C442" t="str">
            <v>H S Maan</v>
          </cell>
          <cell r="D442">
            <v>1</v>
          </cell>
          <cell r="E442">
            <v>36858</v>
          </cell>
          <cell r="G442">
            <v>14.1</v>
          </cell>
          <cell r="K442">
            <v>14.1</v>
          </cell>
          <cell r="M442">
            <v>0.14099999999999999</v>
          </cell>
          <cell r="N442">
            <v>1.95E-2</v>
          </cell>
          <cell r="O442">
            <v>4.0000000000000001E-3</v>
          </cell>
          <cell r="P442">
            <v>0.11749999999999998</v>
          </cell>
        </row>
        <row r="443">
          <cell r="A443" t="str">
            <v>W10171</v>
          </cell>
          <cell r="B443">
            <v>426</v>
          </cell>
          <cell r="C443" t="str">
            <v>Health Care Services (P) Ltd.</v>
          </cell>
          <cell r="D443">
            <v>1</v>
          </cell>
          <cell r="E443">
            <v>36858</v>
          </cell>
          <cell r="G443">
            <v>14.1</v>
          </cell>
          <cell r="K443">
            <v>14.1</v>
          </cell>
          <cell r="M443">
            <v>0.14099999999999999</v>
          </cell>
          <cell r="N443">
            <v>1.95E-2</v>
          </cell>
          <cell r="O443">
            <v>4.0000000000000001E-3</v>
          </cell>
          <cell r="P443">
            <v>0.11749999999999998</v>
          </cell>
        </row>
        <row r="444">
          <cell r="A444" t="str">
            <v>W10172</v>
          </cell>
          <cell r="B444">
            <v>427</v>
          </cell>
          <cell r="C444" t="str">
            <v>Garima Chowdhary</v>
          </cell>
          <cell r="D444">
            <v>1</v>
          </cell>
          <cell r="E444">
            <v>36858</v>
          </cell>
          <cell r="G444">
            <v>14.1</v>
          </cell>
          <cell r="K444">
            <v>14.1</v>
          </cell>
          <cell r="M444">
            <v>0.14099999999999999</v>
          </cell>
          <cell r="N444">
            <v>1.95E-2</v>
          </cell>
          <cell r="O444">
            <v>4.0000000000000001E-3</v>
          </cell>
          <cell r="P444">
            <v>0.11749999999999998</v>
          </cell>
        </row>
        <row r="445">
          <cell r="A445" t="str">
            <v>W10173</v>
          </cell>
          <cell r="B445">
            <v>428</v>
          </cell>
          <cell r="C445" t="str">
            <v>Raminder Kaur</v>
          </cell>
          <cell r="D445">
            <v>1</v>
          </cell>
          <cell r="E445">
            <v>36858</v>
          </cell>
          <cell r="G445">
            <v>14.1</v>
          </cell>
          <cell r="K445">
            <v>14.1</v>
          </cell>
          <cell r="M445">
            <v>0.14099999999999999</v>
          </cell>
          <cell r="N445">
            <v>1.95E-2</v>
          </cell>
          <cell r="O445">
            <v>4.0000000000000001E-3</v>
          </cell>
          <cell r="P445">
            <v>0.11749999999999998</v>
          </cell>
        </row>
        <row r="446">
          <cell r="A446" t="str">
            <v>W10174</v>
          </cell>
          <cell r="B446">
            <v>429</v>
          </cell>
          <cell r="C446" t="str">
            <v>Kota CT Scan Centre Pvt Ltd</v>
          </cell>
          <cell r="D446">
            <v>1</v>
          </cell>
          <cell r="E446">
            <v>36858</v>
          </cell>
          <cell r="G446">
            <v>14.1</v>
          </cell>
          <cell r="K446">
            <v>14.1</v>
          </cell>
          <cell r="M446">
            <v>0.14099999999999999</v>
          </cell>
          <cell r="N446">
            <v>1.95E-2</v>
          </cell>
          <cell r="O446">
            <v>4.0000000000000001E-3</v>
          </cell>
          <cell r="P446">
            <v>0.11749999999999998</v>
          </cell>
        </row>
        <row r="447">
          <cell r="A447" t="str">
            <v>W10175</v>
          </cell>
          <cell r="B447">
            <v>430</v>
          </cell>
          <cell r="C447" t="str">
            <v>Supereme CT Scan Pct Ltd</v>
          </cell>
          <cell r="D447">
            <v>1</v>
          </cell>
          <cell r="E447">
            <v>36858</v>
          </cell>
          <cell r="G447">
            <v>14.1</v>
          </cell>
          <cell r="K447">
            <v>14.1</v>
          </cell>
          <cell r="M447">
            <v>0.14099999999999999</v>
          </cell>
          <cell r="N447">
            <v>1.95E-2</v>
          </cell>
          <cell r="O447">
            <v>4.0000000000000001E-3</v>
          </cell>
          <cell r="P447">
            <v>0.11749999999999998</v>
          </cell>
        </row>
        <row r="448">
          <cell r="A448" t="str">
            <v>W10176</v>
          </cell>
          <cell r="B448">
            <v>431</v>
          </cell>
          <cell r="C448" t="str">
            <v>Body Care Diagnostics</v>
          </cell>
          <cell r="D448">
            <v>1</v>
          </cell>
          <cell r="E448">
            <v>36858</v>
          </cell>
          <cell r="G448">
            <v>14.1</v>
          </cell>
          <cell r="K448">
            <v>14.1</v>
          </cell>
          <cell r="M448">
            <v>0.14099999999999999</v>
          </cell>
          <cell r="N448">
            <v>1.95E-2</v>
          </cell>
          <cell r="O448">
            <v>4.0000000000000001E-3</v>
          </cell>
          <cell r="P448">
            <v>0.11749999999999998</v>
          </cell>
        </row>
        <row r="449">
          <cell r="A449" t="str">
            <v>W10177</v>
          </cell>
          <cell r="B449">
            <v>432</v>
          </cell>
          <cell r="C449" t="str">
            <v>R N Bagga</v>
          </cell>
          <cell r="D449">
            <v>2</v>
          </cell>
          <cell r="E449">
            <v>36858</v>
          </cell>
          <cell r="G449">
            <v>14.1</v>
          </cell>
          <cell r="K449">
            <v>14.1</v>
          </cell>
          <cell r="M449">
            <v>0.14099999999999999</v>
          </cell>
          <cell r="N449">
            <v>1.95E-2</v>
          </cell>
          <cell r="O449">
            <v>4.0000000000000001E-3</v>
          </cell>
          <cell r="P449">
            <v>0.11749999999999998</v>
          </cell>
        </row>
        <row r="450">
          <cell r="A450" t="str">
            <v>W10178</v>
          </cell>
          <cell r="B450">
            <v>433</v>
          </cell>
          <cell r="C450" t="str">
            <v>Pankaj Diagnostics</v>
          </cell>
          <cell r="D450">
            <v>1</v>
          </cell>
          <cell r="E450">
            <v>36858</v>
          </cell>
          <cell r="G450">
            <v>14.1</v>
          </cell>
          <cell r="K450">
            <v>14.1</v>
          </cell>
          <cell r="M450">
            <v>0.14099999999999999</v>
          </cell>
          <cell r="N450">
            <v>1.95E-2</v>
          </cell>
          <cell r="O450">
            <v>4.0000000000000001E-3</v>
          </cell>
          <cell r="P450">
            <v>0.11749999999999998</v>
          </cell>
        </row>
        <row r="451">
          <cell r="A451" t="str">
            <v>WGE-LOAN-1</v>
          </cell>
          <cell r="B451">
            <v>434</v>
          </cell>
          <cell r="C451" t="str">
            <v>Wipro GE Medical Systems Ltd</v>
          </cell>
          <cell r="D451">
            <v>1</v>
          </cell>
          <cell r="E451">
            <v>36860</v>
          </cell>
          <cell r="G451">
            <v>11.4</v>
          </cell>
          <cell r="H451" t="str">
            <v>Loan to WGE</v>
          </cell>
          <cell r="K451">
            <v>11.4</v>
          </cell>
          <cell r="M451">
            <v>0.114</v>
          </cell>
          <cell r="N451">
            <v>1.95E-2</v>
          </cell>
          <cell r="O451">
            <v>4.0000000000000001E-3</v>
          </cell>
          <cell r="P451">
            <v>9.0499999999999997E-2</v>
          </cell>
        </row>
        <row r="452">
          <cell r="A452" t="str">
            <v>W10181</v>
          </cell>
          <cell r="B452">
            <v>435</v>
          </cell>
          <cell r="C452" t="str">
            <v>Cancer Centre Welfare Home &amp; Research Centre</v>
          </cell>
          <cell r="D452">
            <v>1</v>
          </cell>
          <cell r="E452">
            <v>36864</v>
          </cell>
          <cell r="G452">
            <v>14.1</v>
          </cell>
          <cell r="K452">
            <v>14.1</v>
          </cell>
          <cell r="M452">
            <v>0.14099999999999999</v>
          </cell>
          <cell r="N452">
            <v>1.95E-2</v>
          </cell>
          <cell r="O452">
            <v>4.0000000000000001E-3</v>
          </cell>
          <cell r="P452">
            <v>0.11749999999999998</v>
          </cell>
        </row>
        <row r="453">
          <cell r="A453" t="str">
            <v>W10182</v>
          </cell>
          <cell r="B453">
            <v>436</v>
          </cell>
          <cell r="C453" t="str">
            <v>Prakash Patil</v>
          </cell>
          <cell r="D453">
            <v>1</v>
          </cell>
          <cell r="E453">
            <v>36864</v>
          </cell>
          <cell r="G453">
            <v>14.1</v>
          </cell>
          <cell r="K453">
            <v>14.1</v>
          </cell>
          <cell r="M453">
            <v>0.14099999999999999</v>
          </cell>
          <cell r="N453">
            <v>1.95E-2</v>
          </cell>
          <cell r="O453">
            <v>4.0000000000000001E-3</v>
          </cell>
          <cell r="P453">
            <v>0.11749999999999998</v>
          </cell>
        </row>
        <row r="454">
          <cell r="A454" t="str">
            <v>W10130</v>
          </cell>
          <cell r="B454">
            <v>437</v>
          </cell>
          <cell r="C454" t="str">
            <v>K G Health Care Ltd.</v>
          </cell>
          <cell r="E454">
            <v>36719</v>
          </cell>
          <cell r="K454">
            <v>13.85</v>
          </cell>
          <cell r="M454">
            <v>0.13849999999999998</v>
          </cell>
          <cell r="N454">
            <v>1.95E-2</v>
          </cell>
          <cell r="O454">
            <v>4.0000000000000001E-3</v>
          </cell>
          <cell r="P454">
            <v>0.11499999999999998</v>
          </cell>
        </row>
        <row r="455">
          <cell r="A455" t="str">
            <v>W10131</v>
          </cell>
          <cell r="B455">
            <v>438</v>
          </cell>
          <cell r="C455" t="str">
            <v xml:space="preserve">Dynamic Scan &amp; Research </v>
          </cell>
          <cell r="E455">
            <v>36771</v>
          </cell>
          <cell r="K455">
            <v>13.85</v>
          </cell>
          <cell r="M455">
            <v>0.13849999999999998</v>
          </cell>
          <cell r="N455">
            <v>1.95E-2</v>
          </cell>
          <cell r="O455">
            <v>4.0000000000000001E-3</v>
          </cell>
          <cell r="P455">
            <v>0.11499999999999998</v>
          </cell>
        </row>
        <row r="456">
          <cell r="A456" t="str">
            <v>W10144</v>
          </cell>
          <cell r="B456">
            <v>439</v>
          </cell>
          <cell r="C456" t="str">
            <v>Siddhartha Health Care Ltd.</v>
          </cell>
          <cell r="E456">
            <v>36797</v>
          </cell>
          <cell r="K456">
            <v>13.85</v>
          </cell>
          <cell r="M456">
            <v>0.13849999999999998</v>
          </cell>
          <cell r="N456">
            <v>1.95E-2</v>
          </cell>
          <cell r="O456">
            <v>4.0000000000000001E-3</v>
          </cell>
          <cell r="P456">
            <v>0.11499999999999998</v>
          </cell>
        </row>
        <row r="461">
          <cell r="C461" t="str">
            <v>TOTAL</v>
          </cell>
          <cell r="F461">
            <v>257694051</v>
          </cell>
          <cell r="H461">
            <v>0</v>
          </cell>
          <cell r="I461" t="e">
            <v>#REF!</v>
          </cell>
        </row>
        <row r="463">
          <cell r="C463" t="str">
            <v>GRAND TOTAL</v>
          </cell>
          <cell r="F463">
            <v>1518200993</v>
          </cell>
        </row>
        <row r="466">
          <cell r="C466" t="str">
            <v>WGE</v>
          </cell>
        </row>
        <row r="467">
          <cell r="C467" t="str">
            <v>UNALLOCATED VOLUMES as on 31-12-00</v>
          </cell>
        </row>
        <row r="469">
          <cell r="C469" t="str">
            <v>CUSTOMER NAME</v>
          </cell>
          <cell r="D469" t="str">
            <v>TR. NO</v>
          </cell>
          <cell r="G469" t="str">
            <v>Leverage</v>
          </cell>
        </row>
        <row r="470">
          <cell r="E470" t="str">
            <v>Fund Date</v>
          </cell>
          <cell r="F470" t="str">
            <v>Principal</v>
          </cell>
          <cell r="G470" t="str">
            <v>COF</v>
          </cell>
          <cell r="H470" t="str">
            <v>COLLATERAL</v>
          </cell>
          <cell r="I470" t="str">
            <v>INTEREST COST</v>
          </cell>
        </row>
        <row r="474">
          <cell r="A474" t="str">
            <v>W00129</v>
          </cell>
          <cell r="B474">
            <v>409</v>
          </cell>
          <cell r="C474" t="str">
            <v>Manipal Academy of Higher ( NON PDC )</v>
          </cell>
          <cell r="D474">
            <v>2</v>
          </cell>
          <cell r="E474">
            <v>36706</v>
          </cell>
          <cell r="F474">
            <v>39052500</v>
          </cell>
          <cell r="G474">
            <v>14.18</v>
          </cell>
        </row>
        <row r="475">
          <cell r="A475" t="str">
            <v>W00133</v>
          </cell>
          <cell r="B475">
            <v>410</v>
          </cell>
          <cell r="C475" t="str">
            <v>Medisewa Scanning Centre</v>
          </cell>
          <cell r="D475">
            <v>1</v>
          </cell>
          <cell r="E475">
            <v>36706</v>
          </cell>
          <cell r="F475">
            <v>4354000</v>
          </cell>
          <cell r="G475">
            <v>14.18</v>
          </cell>
        </row>
        <row r="476">
          <cell r="A476" t="str">
            <v>W00136</v>
          </cell>
          <cell r="B476">
            <v>411</v>
          </cell>
          <cell r="C476" t="str">
            <v>Meenakshi Mission</v>
          </cell>
          <cell r="D476">
            <v>1</v>
          </cell>
          <cell r="E476">
            <v>36706</v>
          </cell>
          <cell r="F476">
            <v>9000000</v>
          </cell>
          <cell r="G476">
            <v>14.18</v>
          </cell>
        </row>
        <row r="477">
          <cell r="A477" t="str">
            <v>W00138</v>
          </cell>
          <cell r="B477">
            <v>412</v>
          </cell>
          <cell r="C477" t="str">
            <v>Manipal Academy of Higher ( NON PDC )</v>
          </cell>
          <cell r="D477">
            <v>2</v>
          </cell>
          <cell r="E477">
            <v>36706</v>
          </cell>
          <cell r="F477">
            <v>5442500</v>
          </cell>
          <cell r="G477">
            <v>14.18</v>
          </cell>
        </row>
        <row r="478">
          <cell r="A478" t="str">
            <v>W00139</v>
          </cell>
          <cell r="B478">
            <v>413</v>
          </cell>
          <cell r="C478" t="str">
            <v>Sriniwasa Cardiology Centre</v>
          </cell>
          <cell r="D478">
            <v>1</v>
          </cell>
          <cell r="E478">
            <v>36706</v>
          </cell>
          <cell r="F478">
            <v>21880400</v>
          </cell>
          <cell r="G478">
            <v>14.18</v>
          </cell>
        </row>
        <row r="479">
          <cell r="A479" t="str">
            <v>W00140</v>
          </cell>
          <cell r="B479">
            <v>414</v>
          </cell>
          <cell r="C479" t="str">
            <v>Sriniwasa Cardiology Centre</v>
          </cell>
          <cell r="D479">
            <v>2</v>
          </cell>
          <cell r="E479">
            <v>36706</v>
          </cell>
          <cell r="F479">
            <v>4320000</v>
          </cell>
          <cell r="G479">
            <v>14.18</v>
          </cell>
        </row>
        <row r="480">
          <cell r="A480" t="str">
            <v>W00141</v>
          </cell>
          <cell r="B480">
            <v>415</v>
          </cell>
          <cell r="C480" t="str">
            <v>Sriniwasa Cardiology Centre</v>
          </cell>
          <cell r="D480">
            <v>3</v>
          </cell>
          <cell r="E480">
            <v>36706</v>
          </cell>
          <cell r="F480">
            <v>3600000</v>
          </cell>
          <cell r="G480">
            <v>14.18</v>
          </cell>
        </row>
        <row r="481">
          <cell r="A481" t="str">
            <v>W00142</v>
          </cell>
          <cell r="B481">
            <v>416</v>
          </cell>
          <cell r="C481" t="str">
            <v>Sriniwasa Cardiology Centre</v>
          </cell>
          <cell r="D481">
            <v>4</v>
          </cell>
          <cell r="E481">
            <v>36706</v>
          </cell>
          <cell r="F481">
            <v>2599600</v>
          </cell>
          <cell r="G481">
            <v>14.18</v>
          </cell>
        </row>
        <row r="482">
          <cell r="C482" t="str">
            <v>K Govinduswamy Health</v>
          </cell>
          <cell r="D482">
            <v>1</v>
          </cell>
          <cell r="E482">
            <v>36706</v>
          </cell>
          <cell r="F482">
            <v>12070000</v>
          </cell>
          <cell r="G482">
            <v>14.18</v>
          </cell>
        </row>
        <row r="483">
          <cell r="C483" t="str">
            <v>Shubham Deo Health</v>
          </cell>
          <cell r="D483">
            <v>1</v>
          </cell>
          <cell r="E483">
            <v>36706</v>
          </cell>
          <cell r="F483">
            <v>16000000</v>
          </cell>
          <cell r="G483">
            <v>14.18</v>
          </cell>
        </row>
        <row r="484">
          <cell r="A484" t="str">
            <v>W10144</v>
          </cell>
          <cell r="C484" t="str">
            <v>Siddhartha Health Care Ltd.</v>
          </cell>
          <cell r="D484">
            <v>1</v>
          </cell>
          <cell r="E484">
            <v>36706</v>
          </cell>
          <cell r="F484">
            <v>43164000</v>
          </cell>
          <cell r="G484">
            <v>14.18</v>
          </cell>
        </row>
        <row r="485">
          <cell r="A485" t="str">
            <v>W10130</v>
          </cell>
          <cell r="C485" t="str">
            <v>K G Health Care Ltd.</v>
          </cell>
          <cell r="D485">
            <v>1</v>
          </cell>
          <cell r="E485">
            <v>36706</v>
          </cell>
          <cell r="F485">
            <v>10800000</v>
          </cell>
          <cell r="G485">
            <v>14.18</v>
          </cell>
        </row>
        <row r="486">
          <cell r="A486" t="str">
            <v>W10131</v>
          </cell>
          <cell r="C486" t="str">
            <v xml:space="preserve">Dynamic Scan &amp; Research </v>
          </cell>
          <cell r="D486">
            <v>1</v>
          </cell>
          <cell r="E486">
            <v>36706</v>
          </cell>
          <cell r="F486">
            <v>32500000</v>
          </cell>
          <cell r="G486">
            <v>14.18</v>
          </cell>
        </row>
        <row r="487">
          <cell r="C487" t="str">
            <v>Mahajan Imaging Pvt. Ltd.</v>
          </cell>
          <cell r="D487">
            <v>1</v>
          </cell>
          <cell r="E487">
            <v>36706</v>
          </cell>
          <cell r="F487">
            <v>15260000</v>
          </cell>
          <cell r="G487">
            <v>14.18</v>
          </cell>
        </row>
        <row r="488">
          <cell r="C488" t="str">
            <v>Anita's  Diagnostic</v>
          </cell>
          <cell r="D488">
            <v>1</v>
          </cell>
          <cell r="E488">
            <v>36706</v>
          </cell>
          <cell r="F488">
            <v>13640000</v>
          </cell>
          <cell r="G488">
            <v>14.18</v>
          </cell>
        </row>
        <row r="489">
          <cell r="C489" t="str">
            <v>Add : Provisional Volumes for Dec-00</v>
          </cell>
          <cell r="F489">
            <v>161000000</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port"/>
      <sheetName val="Data"/>
      <sheetName val="FA TB 28-2-2006"/>
    </sheetNames>
    <sheetDataSet>
      <sheetData sheetId="0" refreshError="1"/>
      <sheetData sheetId="1" refreshError="1"/>
      <sheetData sheetId="2" refreshError="1">
        <row r="2">
          <cell r="A2" t="str">
            <v>Description</v>
          </cell>
          <cell r="B2">
            <v>37987</v>
          </cell>
          <cell r="C2">
            <v>38018</v>
          </cell>
          <cell r="D2">
            <v>38047</v>
          </cell>
          <cell r="E2">
            <v>38078</v>
          </cell>
          <cell r="F2">
            <v>38108</v>
          </cell>
          <cell r="G2">
            <v>38139</v>
          </cell>
          <cell r="H2">
            <v>38169</v>
          </cell>
          <cell r="I2">
            <v>38200</v>
          </cell>
          <cell r="J2">
            <v>38231</v>
          </cell>
          <cell r="K2">
            <v>38261</v>
          </cell>
          <cell r="L2">
            <v>38292</v>
          </cell>
          <cell r="M2">
            <v>38322</v>
          </cell>
          <cell r="N2" t="str">
            <v>YTD 2004</v>
          </cell>
          <cell r="O2" t="str">
            <v>Q1 2004</v>
          </cell>
          <cell r="P2" t="str">
            <v>Q 2 2004</v>
          </cell>
          <cell r="Q2" t="str">
            <v>Q 3 2004</v>
          </cell>
          <cell r="R2" t="str">
            <v>Q 4 2004</v>
          </cell>
          <cell r="S2" t="str">
            <v>H1 2004</v>
          </cell>
          <cell r="T2" t="str">
            <v>H2 2004</v>
          </cell>
          <cell r="U2">
            <v>37987</v>
          </cell>
          <cell r="V2">
            <v>38018</v>
          </cell>
          <cell r="W2">
            <v>38047</v>
          </cell>
          <cell r="X2">
            <v>38078</v>
          </cell>
          <cell r="Y2">
            <v>38108</v>
          </cell>
          <cell r="Z2">
            <v>38139</v>
          </cell>
          <cell r="AA2">
            <v>38169</v>
          </cell>
          <cell r="AB2">
            <v>38200</v>
          </cell>
          <cell r="AC2">
            <v>38231</v>
          </cell>
          <cell r="AD2">
            <v>38261</v>
          </cell>
          <cell r="AE2">
            <v>38292</v>
          </cell>
          <cell r="AF2">
            <v>38322</v>
          </cell>
          <cell r="AG2" t="str">
            <v>YTD 2004</v>
          </cell>
          <cell r="AH2" t="str">
            <v>Q1 2004</v>
          </cell>
          <cell r="AI2" t="str">
            <v>Q 2 2004</v>
          </cell>
          <cell r="AJ2" t="str">
            <v>Q 3 2004</v>
          </cell>
          <cell r="AK2" t="str">
            <v>Q 4 2004</v>
          </cell>
          <cell r="AL2" t="str">
            <v>H1 2004</v>
          </cell>
          <cell r="AM2" t="str">
            <v>H2 2004</v>
          </cell>
          <cell r="AN2">
            <v>37987</v>
          </cell>
          <cell r="AO2">
            <v>38018</v>
          </cell>
          <cell r="AP2">
            <v>38047</v>
          </cell>
          <cell r="AQ2">
            <v>38078</v>
          </cell>
          <cell r="AR2">
            <v>38108</v>
          </cell>
          <cell r="AS2">
            <v>38139</v>
          </cell>
          <cell r="AT2">
            <v>38169</v>
          </cell>
          <cell r="AU2">
            <v>38200</v>
          </cell>
          <cell r="AV2">
            <v>38231</v>
          </cell>
          <cell r="AW2">
            <v>38261</v>
          </cell>
          <cell r="AX2">
            <v>38292</v>
          </cell>
          <cell r="AY2">
            <v>38322</v>
          </cell>
          <cell r="AZ2" t="str">
            <v>YTD 2004</v>
          </cell>
          <cell r="BA2" t="str">
            <v>Q1 2004</v>
          </cell>
          <cell r="BB2" t="str">
            <v>Q 2 2004</v>
          </cell>
          <cell r="BC2" t="str">
            <v>Q 3 2004</v>
          </cell>
          <cell r="BD2" t="str">
            <v>Q 4 2004</v>
          </cell>
          <cell r="BE2" t="str">
            <v>H1 2004</v>
          </cell>
          <cell r="BF2" t="str">
            <v>H2 2004</v>
          </cell>
        </row>
        <row r="3">
          <cell r="A3" t="str">
            <v xml:space="preserve">Volume (Phy Cases '000s) </v>
          </cell>
        </row>
        <row r="4">
          <cell r="A4" t="str">
            <v xml:space="preserve"> - Customer</v>
          </cell>
          <cell r="N4">
            <v>0</v>
          </cell>
          <cell r="O4">
            <v>0</v>
          </cell>
          <cell r="P4">
            <v>0</v>
          </cell>
          <cell r="Q4">
            <v>0</v>
          </cell>
          <cell r="R4">
            <v>0</v>
          </cell>
          <cell r="S4">
            <v>0</v>
          </cell>
          <cell r="T4">
            <v>0</v>
          </cell>
          <cell r="AG4">
            <v>0</v>
          </cell>
          <cell r="AH4">
            <v>0</v>
          </cell>
          <cell r="AI4">
            <v>0</v>
          </cell>
          <cell r="AJ4">
            <v>0</v>
          </cell>
          <cell r="AK4">
            <v>0</v>
          </cell>
          <cell r="AL4">
            <v>0</v>
          </cell>
          <cell r="AM4">
            <v>0</v>
          </cell>
          <cell r="AZ4">
            <v>0</v>
          </cell>
          <cell r="BA4">
            <v>0</v>
          </cell>
          <cell r="BB4">
            <v>0</v>
          </cell>
          <cell r="BC4">
            <v>0</v>
          </cell>
          <cell r="BD4">
            <v>0</v>
          </cell>
          <cell r="BE4">
            <v>0</v>
          </cell>
          <cell r="BF4">
            <v>0</v>
          </cell>
        </row>
        <row r="5">
          <cell r="A5" t="str">
            <v xml:space="preserve"> - Inter-Unit</v>
          </cell>
          <cell r="N5">
            <v>0</v>
          </cell>
          <cell r="O5">
            <v>0</v>
          </cell>
          <cell r="P5">
            <v>0</v>
          </cell>
          <cell r="Q5">
            <v>0</v>
          </cell>
          <cell r="R5">
            <v>0</v>
          </cell>
          <cell r="S5">
            <v>0</v>
          </cell>
          <cell r="T5">
            <v>0</v>
          </cell>
          <cell r="AG5">
            <v>0</v>
          </cell>
          <cell r="AH5">
            <v>0</v>
          </cell>
          <cell r="AI5">
            <v>0</v>
          </cell>
          <cell r="AJ5">
            <v>0</v>
          </cell>
          <cell r="AK5">
            <v>0</v>
          </cell>
          <cell r="AL5">
            <v>0</v>
          </cell>
          <cell r="AM5">
            <v>0</v>
          </cell>
          <cell r="AZ5">
            <v>0</v>
          </cell>
          <cell r="BA5">
            <v>0</v>
          </cell>
          <cell r="BB5">
            <v>0</v>
          </cell>
          <cell r="BC5">
            <v>0</v>
          </cell>
          <cell r="BD5">
            <v>0</v>
          </cell>
          <cell r="BE5">
            <v>0</v>
          </cell>
          <cell r="BF5">
            <v>0</v>
          </cell>
        </row>
        <row r="6">
          <cell r="A6" t="str">
            <v xml:space="preserve"> - Inter-Franchise</v>
          </cell>
          <cell r="N6">
            <v>0</v>
          </cell>
          <cell r="O6">
            <v>0</v>
          </cell>
          <cell r="P6">
            <v>0</v>
          </cell>
          <cell r="Q6">
            <v>0</v>
          </cell>
          <cell r="R6">
            <v>0</v>
          </cell>
          <cell r="S6">
            <v>0</v>
          </cell>
          <cell r="T6">
            <v>0</v>
          </cell>
          <cell r="AG6">
            <v>0</v>
          </cell>
          <cell r="AH6">
            <v>0</v>
          </cell>
          <cell r="AI6">
            <v>0</v>
          </cell>
          <cell r="AJ6">
            <v>0</v>
          </cell>
          <cell r="AK6">
            <v>0</v>
          </cell>
          <cell r="AL6">
            <v>0</v>
          </cell>
          <cell r="AM6">
            <v>0</v>
          </cell>
          <cell r="AZ6">
            <v>0</v>
          </cell>
          <cell r="BA6">
            <v>0</v>
          </cell>
          <cell r="BB6">
            <v>0</v>
          </cell>
          <cell r="BC6">
            <v>0</v>
          </cell>
          <cell r="BD6">
            <v>0</v>
          </cell>
          <cell r="BE6">
            <v>0</v>
          </cell>
          <cell r="BF6">
            <v>0</v>
          </cell>
        </row>
        <row r="7">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row>
        <row r="8">
          <cell r="A8" t="str">
            <v xml:space="preserve">Volume (Unit Cases '000s) </v>
          </cell>
        </row>
        <row r="9">
          <cell r="A9" t="str">
            <v xml:space="preserve"> - Customer</v>
          </cell>
          <cell r="N9">
            <v>0</v>
          </cell>
          <cell r="O9">
            <v>0</v>
          </cell>
          <cell r="P9">
            <v>0</v>
          </cell>
          <cell r="Q9">
            <v>0</v>
          </cell>
          <cell r="R9">
            <v>0</v>
          </cell>
          <cell r="S9">
            <v>0</v>
          </cell>
          <cell r="T9">
            <v>0</v>
          </cell>
          <cell r="AG9">
            <v>0</v>
          </cell>
          <cell r="AH9">
            <v>0</v>
          </cell>
          <cell r="AI9">
            <v>0</v>
          </cell>
          <cell r="AJ9">
            <v>0</v>
          </cell>
          <cell r="AK9">
            <v>0</v>
          </cell>
          <cell r="AL9">
            <v>0</v>
          </cell>
          <cell r="AM9">
            <v>0</v>
          </cell>
          <cell r="AZ9">
            <v>0</v>
          </cell>
          <cell r="BA9">
            <v>0</v>
          </cell>
          <cell r="BB9">
            <v>0</v>
          </cell>
          <cell r="BC9">
            <v>0</v>
          </cell>
          <cell r="BD9">
            <v>0</v>
          </cell>
          <cell r="BE9">
            <v>0</v>
          </cell>
          <cell r="BF9">
            <v>0</v>
          </cell>
        </row>
        <row r="10">
          <cell r="A10" t="str">
            <v xml:space="preserve"> - Inter-Unit</v>
          </cell>
          <cell r="N10">
            <v>0</v>
          </cell>
          <cell r="O10">
            <v>0</v>
          </cell>
          <cell r="P10">
            <v>0</v>
          </cell>
          <cell r="Q10">
            <v>0</v>
          </cell>
          <cell r="R10">
            <v>0</v>
          </cell>
          <cell r="S10">
            <v>0</v>
          </cell>
          <cell r="T10">
            <v>0</v>
          </cell>
          <cell r="AG10">
            <v>0</v>
          </cell>
          <cell r="AH10">
            <v>0</v>
          </cell>
          <cell r="AI10">
            <v>0</v>
          </cell>
          <cell r="AJ10">
            <v>0</v>
          </cell>
          <cell r="AK10">
            <v>0</v>
          </cell>
          <cell r="AL10">
            <v>0</v>
          </cell>
          <cell r="AM10">
            <v>0</v>
          </cell>
          <cell r="AZ10">
            <v>0</v>
          </cell>
          <cell r="BA10">
            <v>0</v>
          </cell>
          <cell r="BB10">
            <v>0</v>
          </cell>
          <cell r="BC10">
            <v>0</v>
          </cell>
          <cell r="BD10">
            <v>0</v>
          </cell>
          <cell r="BE10">
            <v>0</v>
          </cell>
          <cell r="BF10">
            <v>0</v>
          </cell>
        </row>
        <row r="11">
          <cell r="A11" t="str">
            <v xml:space="preserve"> - Inter-Franchise</v>
          </cell>
          <cell r="N11">
            <v>0</v>
          </cell>
          <cell r="O11">
            <v>0</v>
          </cell>
          <cell r="P11">
            <v>0</v>
          </cell>
          <cell r="Q11">
            <v>0</v>
          </cell>
          <cell r="R11">
            <v>0</v>
          </cell>
          <cell r="S11">
            <v>0</v>
          </cell>
          <cell r="T11">
            <v>0</v>
          </cell>
          <cell r="AG11">
            <v>0</v>
          </cell>
          <cell r="AH11">
            <v>0</v>
          </cell>
          <cell r="AI11">
            <v>0</v>
          </cell>
          <cell r="AJ11">
            <v>0</v>
          </cell>
          <cell r="AK11">
            <v>0</v>
          </cell>
          <cell r="AL11">
            <v>0</v>
          </cell>
          <cell r="AM11">
            <v>0</v>
          </cell>
          <cell r="AZ11">
            <v>0</v>
          </cell>
          <cell r="BA11">
            <v>0</v>
          </cell>
          <cell r="BB11">
            <v>0</v>
          </cell>
          <cell r="BC11">
            <v>0</v>
          </cell>
          <cell r="BD11">
            <v>0</v>
          </cell>
          <cell r="BE11">
            <v>0</v>
          </cell>
          <cell r="BF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row>
        <row r="13">
          <cell r="A13" t="str">
            <v>Volume (Phy Cases '000s) (Input reqd)</v>
          </cell>
        </row>
        <row r="14">
          <cell r="A14" t="str">
            <v xml:space="preserve"> - Manufactured</v>
          </cell>
          <cell r="N14">
            <v>0</v>
          </cell>
          <cell r="O14">
            <v>0</v>
          </cell>
          <cell r="P14">
            <v>0</v>
          </cell>
          <cell r="Q14">
            <v>0</v>
          </cell>
          <cell r="R14">
            <v>0</v>
          </cell>
          <cell r="S14">
            <v>0</v>
          </cell>
          <cell r="T14">
            <v>0</v>
          </cell>
          <cell r="AG14">
            <v>0</v>
          </cell>
          <cell r="AH14">
            <v>0</v>
          </cell>
          <cell r="AI14">
            <v>0</v>
          </cell>
          <cell r="AJ14">
            <v>0</v>
          </cell>
          <cell r="AK14">
            <v>0</v>
          </cell>
          <cell r="AL14">
            <v>0</v>
          </cell>
          <cell r="AM14">
            <v>0</v>
          </cell>
          <cell r="AZ14">
            <v>0</v>
          </cell>
          <cell r="BA14">
            <v>0</v>
          </cell>
          <cell r="BB14">
            <v>0</v>
          </cell>
          <cell r="BC14">
            <v>0</v>
          </cell>
          <cell r="BD14">
            <v>0</v>
          </cell>
          <cell r="BE14">
            <v>0</v>
          </cell>
          <cell r="BF14">
            <v>0</v>
          </cell>
        </row>
        <row r="15">
          <cell r="A15" t="str">
            <v xml:space="preserve"> - Sourced from CBOs</v>
          </cell>
          <cell r="N15">
            <v>0</v>
          </cell>
          <cell r="O15">
            <v>0</v>
          </cell>
          <cell r="P15">
            <v>0</v>
          </cell>
          <cell r="Q15">
            <v>0</v>
          </cell>
          <cell r="R15">
            <v>0</v>
          </cell>
          <cell r="S15">
            <v>0</v>
          </cell>
          <cell r="T15">
            <v>0</v>
          </cell>
          <cell r="AG15">
            <v>0</v>
          </cell>
          <cell r="AH15">
            <v>0</v>
          </cell>
          <cell r="AI15">
            <v>0</v>
          </cell>
          <cell r="AJ15">
            <v>0</v>
          </cell>
          <cell r="AK15">
            <v>0</v>
          </cell>
          <cell r="AL15">
            <v>0</v>
          </cell>
          <cell r="AM15">
            <v>0</v>
          </cell>
          <cell r="AZ15">
            <v>0</v>
          </cell>
          <cell r="BA15">
            <v>0</v>
          </cell>
          <cell r="BB15">
            <v>0</v>
          </cell>
          <cell r="BC15">
            <v>0</v>
          </cell>
          <cell r="BD15">
            <v>0</v>
          </cell>
          <cell r="BE15">
            <v>0</v>
          </cell>
          <cell r="BF15">
            <v>0</v>
          </cell>
        </row>
        <row r="16">
          <cell r="A16" t="str">
            <v xml:space="preserve"> - Sourced from FBOs</v>
          </cell>
          <cell r="N16">
            <v>0</v>
          </cell>
          <cell r="O16">
            <v>0</v>
          </cell>
          <cell r="P16">
            <v>0</v>
          </cell>
          <cell r="Q16">
            <v>0</v>
          </cell>
          <cell r="R16">
            <v>0</v>
          </cell>
          <cell r="S16">
            <v>0</v>
          </cell>
          <cell r="T16">
            <v>0</v>
          </cell>
          <cell r="AG16">
            <v>0</v>
          </cell>
          <cell r="AH16">
            <v>0</v>
          </cell>
          <cell r="AI16">
            <v>0</v>
          </cell>
          <cell r="AJ16">
            <v>0</v>
          </cell>
          <cell r="AK16">
            <v>0</v>
          </cell>
          <cell r="AL16">
            <v>0</v>
          </cell>
          <cell r="AM16">
            <v>0</v>
          </cell>
          <cell r="AZ16">
            <v>0</v>
          </cell>
          <cell r="BA16">
            <v>0</v>
          </cell>
          <cell r="BB16">
            <v>0</v>
          </cell>
          <cell r="BC16">
            <v>0</v>
          </cell>
          <cell r="BD16">
            <v>0</v>
          </cell>
          <cell r="BE16">
            <v>0</v>
          </cell>
          <cell r="BF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row>
        <row r="18">
          <cell r="A18" t="str">
            <v>Gross Revenue</v>
          </cell>
        </row>
        <row r="19">
          <cell r="A19" t="str">
            <v xml:space="preserve"> - Customer</v>
          </cell>
          <cell r="N19">
            <v>0</v>
          </cell>
          <cell r="O19">
            <v>0</v>
          </cell>
          <cell r="P19">
            <v>0</v>
          </cell>
          <cell r="Q19">
            <v>0</v>
          </cell>
          <cell r="R19">
            <v>0</v>
          </cell>
          <cell r="S19">
            <v>0</v>
          </cell>
          <cell r="T19">
            <v>0</v>
          </cell>
          <cell r="AG19">
            <v>0</v>
          </cell>
          <cell r="AH19">
            <v>0</v>
          </cell>
          <cell r="AI19">
            <v>0</v>
          </cell>
          <cell r="AJ19">
            <v>0</v>
          </cell>
          <cell r="AK19">
            <v>0</v>
          </cell>
          <cell r="AL19">
            <v>0</v>
          </cell>
          <cell r="AM19">
            <v>0</v>
          </cell>
          <cell r="AZ19">
            <v>0</v>
          </cell>
          <cell r="BA19">
            <v>0</v>
          </cell>
          <cell r="BB19">
            <v>0</v>
          </cell>
          <cell r="BC19">
            <v>0</v>
          </cell>
          <cell r="BD19">
            <v>0</v>
          </cell>
          <cell r="BE19">
            <v>0</v>
          </cell>
          <cell r="BF19">
            <v>0</v>
          </cell>
        </row>
        <row r="20">
          <cell r="A20" t="str">
            <v xml:space="preserve"> - Inter-Unit</v>
          </cell>
          <cell r="N20">
            <v>0</v>
          </cell>
          <cell r="O20">
            <v>0</v>
          </cell>
          <cell r="P20">
            <v>0</v>
          </cell>
          <cell r="Q20">
            <v>0</v>
          </cell>
          <cell r="R20">
            <v>0</v>
          </cell>
          <cell r="S20">
            <v>0</v>
          </cell>
          <cell r="T20">
            <v>0</v>
          </cell>
          <cell r="AG20">
            <v>0</v>
          </cell>
          <cell r="AH20">
            <v>0</v>
          </cell>
          <cell r="AI20">
            <v>0</v>
          </cell>
          <cell r="AJ20">
            <v>0</v>
          </cell>
          <cell r="AK20">
            <v>0</v>
          </cell>
          <cell r="AL20">
            <v>0</v>
          </cell>
          <cell r="AM20">
            <v>0</v>
          </cell>
          <cell r="AZ20">
            <v>0</v>
          </cell>
          <cell r="BA20">
            <v>0</v>
          </cell>
          <cell r="BB20">
            <v>0</v>
          </cell>
          <cell r="BC20">
            <v>0</v>
          </cell>
          <cell r="BD20">
            <v>0</v>
          </cell>
          <cell r="BE20">
            <v>0</v>
          </cell>
          <cell r="BF20">
            <v>0</v>
          </cell>
        </row>
        <row r="21">
          <cell r="A21" t="str">
            <v xml:space="preserve"> - Inter-Franchise (Input reqd)</v>
          </cell>
          <cell r="N21">
            <v>0</v>
          </cell>
          <cell r="O21">
            <v>0</v>
          </cell>
          <cell r="P21">
            <v>0</v>
          </cell>
          <cell r="Q21">
            <v>0</v>
          </cell>
          <cell r="R21">
            <v>0</v>
          </cell>
          <cell r="S21">
            <v>0</v>
          </cell>
          <cell r="T21">
            <v>0</v>
          </cell>
          <cell r="AG21">
            <v>0</v>
          </cell>
          <cell r="AH21">
            <v>0</v>
          </cell>
          <cell r="AI21">
            <v>0</v>
          </cell>
          <cell r="AJ21">
            <v>0</v>
          </cell>
          <cell r="AK21">
            <v>0</v>
          </cell>
          <cell r="AL21">
            <v>0</v>
          </cell>
          <cell r="AM21">
            <v>0</v>
          </cell>
          <cell r="AZ21">
            <v>0</v>
          </cell>
          <cell r="BA21">
            <v>0</v>
          </cell>
          <cell r="BB21">
            <v>0</v>
          </cell>
          <cell r="BC21">
            <v>0</v>
          </cell>
          <cell r="BD21">
            <v>0</v>
          </cell>
          <cell r="BE21">
            <v>0</v>
          </cell>
          <cell r="BF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row>
        <row r="23">
          <cell r="A23" t="str">
            <v>Deduction From Rev. (DFR)</v>
          </cell>
        </row>
        <row r="24">
          <cell r="A24" t="str">
            <v xml:space="preserve"> - Sales Tax/ Octroi</v>
          </cell>
          <cell r="N24">
            <v>0</v>
          </cell>
          <cell r="O24">
            <v>0</v>
          </cell>
          <cell r="P24">
            <v>0</v>
          </cell>
          <cell r="Q24">
            <v>0</v>
          </cell>
          <cell r="R24">
            <v>0</v>
          </cell>
          <cell r="S24">
            <v>0</v>
          </cell>
          <cell r="T24">
            <v>0</v>
          </cell>
          <cell r="AG24">
            <v>0</v>
          </cell>
          <cell r="AH24">
            <v>0</v>
          </cell>
          <cell r="AI24">
            <v>0</v>
          </cell>
          <cell r="AJ24">
            <v>0</v>
          </cell>
          <cell r="AK24">
            <v>0</v>
          </cell>
          <cell r="AL24">
            <v>0</v>
          </cell>
          <cell r="AM24">
            <v>0</v>
          </cell>
          <cell r="AZ24">
            <v>0</v>
          </cell>
          <cell r="BA24">
            <v>0</v>
          </cell>
          <cell r="BB24">
            <v>0</v>
          </cell>
          <cell r="BC24">
            <v>0</v>
          </cell>
          <cell r="BD24">
            <v>0</v>
          </cell>
          <cell r="BE24">
            <v>0</v>
          </cell>
          <cell r="BF24">
            <v>0</v>
          </cell>
        </row>
        <row r="25">
          <cell r="A25" t="str">
            <v xml:space="preserve"> - Sales Tax Incentive</v>
          </cell>
          <cell r="N25">
            <v>0</v>
          </cell>
          <cell r="O25">
            <v>0</v>
          </cell>
          <cell r="P25">
            <v>0</v>
          </cell>
          <cell r="Q25">
            <v>0</v>
          </cell>
          <cell r="R25">
            <v>0</v>
          </cell>
          <cell r="S25">
            <v>0</v>
          </cell>
          <cell r="T25">
            <v>0</v>
          </cell>
          <cell r="AG25">
            <v>0</v>
          </cell>
          <cell r="AH25">
            <v>0</v>
          </cell>
          <cell r="AI25">
            <v>0</v>
          </cell>
          <cell r="AJ25">
            <v>0</v>
          </cell>
          <cell r="AK25">
            <v>0</v>
          </cell>
          <cell r="AL25">
            <v>0</v>
          </cell>
          <cell r="AM25">
            <v>0</v>
          </cell>
          <cell r="AZ25">
            <v>0</v>
          </cell>
          <cell r="BA25">
            <v>0</v>
          </cell>
          <cell r="BB25">
            <v>0</v>
          </cell>
          <cell r="BC25">
            <v>0</v>
          </cell>
          <cell r="BD25">
            <v>0</v>
          </cell>
          <cell r="BE25">
            <v>0</v>
          </cell>
          <cell r="BF25">
            <v>0</v>
          </cell>
        </row>
        <row r="26">
          <cell r="A26" t="str">
            <v xml:space="preserve"> - Discounts EITF</v>
          </cell>
          <cell r="N26">
            <v>0</v>
          </cell>
          <cell r="O26">
            <v>0</v>
          </cell>
          <cell r="P26">
            <v>0</v>
          </cell>
          <cell r="Q26">
            <v>0</v>
          </cell>
          <cell r="R26">
            <v>0</v>
          </cell>
          <cell r="S26">
            <v>0</v>
          </cell>
          <cell r="T26">
            <v>0</v>
          </cell>
          <cell r="AG26">
            <v>0</v>
          </cell>
          <cell r="AH26">
            <v>0</v>
          </cell>
          <cell r="AI26">
            <v>0</v>
          </cell>
          <cell r="AJ26">
            <v>0</v>
          </cell>
          <cell r="AK26">
            <v>0</v>
          </cell>
          <cell r="AL26">
            <v>0</v>
          </cell>
          <cell r="AM26">
            <v>0</v>
          </cell>
          <cell r="AZ26">
            <v>0</v>
          </cell>
          <cell r="BA26">
            <v>0</v>
          </cell>
          <cell r="BB26">
            <v>0</v>
          </cell>
          <cell r="BC26">
            <v>0</v>
          </cell>
          <cell r="BD26">
            <v>0</v>
          </cell>
          <cell r="BE26">
            <v>0</v>
          </cell>
          <cell r="BF26">
            <v>0</v>
          </cell>
        </row>
        <row r="27">
          <cell r="A27" t="str">
            <v xml:space="preserve"> - Discounts </v>
          </cell>
          <cell r="N27">
            <v>0</v>
          </cell>
          <cell r="O27">
            <v>0</v>
          </cell>
          <cell r="P27">
            <v>0</v>
          </cell>
          <cell r="Q27">
            <v>0</v>
          </cell>
          <cell r="R27">
            <v>0</v>
          </cell>
          <cell r="S27">
            <v>0</v>
          </cell>
          <cell r="T27">
            <v>0</v>
          </cell>
          <cell r="AG27">
            <v>0</v>
          </cell>
          <cell r="AH27">
            <v>0</v>
          </cell>
          <cell r="AI27">
            <v>0</v>
          </cell>
          <cell r="AJ27">
            <v>0</v>
          </cell>
          <cell r="AK27">
            <v>0</v>
          </cell>
          <cell r="AL27">
            <v>0</v>
          </cell>
          <cell r="AM27">
            <v>0</v>
          </cell>
          <cell r="AZ27">
            <v>0</v>
          </cell>
          <cell r="BA27">
            <v>0</v>
          </cell>
          <cell r="BB27">
            <v>0</v>
          </cell>
          <cell r="BC27">
            <v>0</v>
          </cell>
          <cell r="BD27">
            <v>0</v>
          </cell>
          <cell r="BE27">
            <v>0</v>
          </cell>
          <cell r="BF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row>
        <row r="29">
          <cell r="A29" t="str">
            <v>Net Revenue</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row>
        <row r="30">
          <cell r="A30" t="str">
            <v>Variable COGS</v>
          </cell>
        </row>
        <row r="31">
          <cell r="A31" t="str">
            <v xml:space="preserve"> - Concentrate/Pulp</v>
          </cell>
          <cell r="N31">
            <v>0</v>
          </cell>
          <cell r="O31">
            <v>0</v>
          </cell>
          <cell r="P31">
            <v>0</v>
          </cell>
          <cell r="Q31">
            <v>0</v>
          </cell>
          <cell r="R31">
            <v>0</v>
          </cell>
          <cell r="S31">
            <v>0</v>
          </cell>
          <cell r="T31">
            <v>0</v>
          </cell>
          <cell r="AG31">
            <v>0</v>
          </cell>
          <cell r="AH31">
            <v>0</v>
          </cell>
          <cell r="AI31">
            <v>0</v>
          </cell>
          <cell r="AJ31">
            <v>0</v>
          </cell>
          <cell r="AK31">
            <v>0</v>
          </cell>
          <cell r="AL31">
            <v>0</v>
          </cell>
          <cell r="AM31">
            <v>0</v>
          </cell>
          <cell r="AZ31">
            <v>0</v>
          </cell>
          <cell r="BA31">
            <v>0</v>
          </cell>
          <cell r="BB31">
            <v>0</v>
          </cell>
          <cell r="BC31">
            <v>0</v>
          </cell>
          <cell r="BD31">
            <v>0</v>
          </cell>
          <cell r="BE31">
            <v>0</v>
          </cell>
          <cell r="BF31">
            <v>0</v>
          </cell>
        </row>
        <row r="32">
          <cell r="A32" t="str">
            <v xml:space="preserve"> - Royalty</v>
          </cell>
          <cell r="N32">
            <v>0</v>
          </cell>
          <cell r="O32">
            <v>0</v>
          </cell>
          <cell r="P32">
            <v>0</v>
          </cell>
          <cell r="Q32">
            <v>0</v>
          </cell>
          <cell r="R32">
            <v>0</v>
          </cell>
          <cell r="S32">
            <v>0</v>
          </cell>
          <cell r="T32">
            <v>0</v>
          </cell>
          <cell r="AG32">
            <v>0</v>
          </cell>
          <cell r="AH32">
            <v>0</v>
          </cell>
          <cell r="AI32">
            <v>0</v>
          </cell>
          <cell r="AJ32">
            <v>0</v>
          </cell>
          <cell r="AK32">
            <v>0</v>
          </cell>
          <cell r="AL32">
            <v>0</v>
          </cell>
          <cell r="AM32">
            <v>0</v>
          </cell>
          <cell r="AZ32">
            <v>0</v>
          </cell>
          <cell r="BA32">
            <v>0</v>
          </cell>
          <cell r="BB32">
            <v>0</v>
          </cell>
          <cell r="BC32">
            <v>0</v>
          </cell>
          <cell r="BD32">
            <v>0</v>
          </cell>
          <cell r="BE32">
            <v>0</v>
          </cell>
          <cell r="BF32">
            <v>0</v>
          </cell>
        </row>
        <row r="33">
          <cell r="A33" t="str">
            <v xml:space="preserve"> - Sugar</v>
          </cell>
          <cell r="N33">
            <v>0</v>
          </cell>
          <cell r="O33">
            <v>0</v>
          </cell>
          <cell r="P33">
            <v>0</v>
          </cell>
          <cell r="Q33">
            <v>0</v>
          </cell>
          <cell r="R33">
            <v>0</v>
          </cell>
          <cell r="S33">
            <v>0</v>
          </cell>
          <cell r="T33">
            <v>0</v>
          </cell>
          <cell r="AG33">
            <v>0</v>
          </cell>
          <cell r="AH33">
            <v>0</v>
          </cell>
          <cell r="AI33">
            <v>0</v>
          </cell>
          <cell r="AJ33">
            <v>0</v>
          </cell>
          <cell r="AK33">
            <v>0</v>
          </cell>
          <cell r="AL33">
            <v>0</v>
          </cell>
          <cell r="AM33">
            <v>0</v>
          </cell>
          <cell r="AZ33">
            <v>0</v>
          </cell>
          <cell r="BA33">
            <v>0</v>
          </cell>
          <cell r="BB33">
            <v>0</v>
          </cell>
          <cell r="BC33">
            <v>0</v>
          </cell>
          <cell r="BD33">
            <v>0</v>
          </cell>
          <cell r="BE33">
            <v>0</v>
          </cell>
          <cell r="BF33">
            <v>0</v>
          </cell>
        </row>
        <row r="34">
          <cell r="A34" t="str">
            <v xml:space="preserve"> - Crowns</v>
          </cell>
          <cell r="N34">
            <v>0</v>
          </cell>
          <cell r="O34">
            <v>0</v>
          </cell>
          <cell r="P34">
            <v>0</v>
          </cell>
          <cell r="Q34">
            <v>0</v>
          </cell>
          <cell r="R34">
            <v>0</v>
          </cell>
          <cell r="S34">
            <v>0</v>
          </cell>
          <cell r="T34">
            <v>0</v>
          </cell>
          <cell r="AG34">
            <v>0</v>
          </cell>
          <cell r="AH34">
            <v>0</v>
          </cell>
          <cell r="AI34">
            <v>0</v>
          </cell>
          <cell r="AJ34">
            <v>0</v>
          </cell>
          <cell r="AK34">
            <v>0</v>
          </cell>
          <cell r="AL34">
            <v>0</v>
          </cell>
          <cell r="AM34">
            <v>0</v>
          </cell>
          <cell r="AZ34">
            <v>0</v>
          </cell>
          <cell r="BA34">
            <v>0</v>
          </cell>
          <cell r="BB34">
            <v>0</v>
          </cell>
          <cell r="BC34">
            <v>0</v>
          </cell>
          <cell r="BD34">
            <v>0</v>
          </cell>
          <cell r="BE34">
            <v>0</v>
          </cell>
          <cell r="BF34">
            <v>0</v>
          </cell>
        </row>
        <row r="35">
          <cell r="A35" t="str">
            <v xml:space="preserve"> - Other Raw/ Pkg materials</v>
          </cell>
          <cell r="N35">
            <v>0</v>
          </cell>
          <cell r="O35">
            <v>0</v>
          </cell>
          <cell r="P35">
            <v>0</v>
          </cell>
          <cell r="Q35">
            <v>0</v>
          </cell>
          <cell r="R35">
            <v>0</v>
          </cell>
          <cell r="S35">
            <v>0</v>
          </cell>
          <cell r="T35">
            <v>0</v>
          </cell>
          <cell r="AG35">
            <v>0</v>
          </cell>
          <cell r="AH35">
            <v>0</v>
          </cell>
          <cell r="AI35">
            <v>0</v>
          </cell>
          <cell r="AJ35">
            <v>0</v>
          </cell>
          <cell r="AK35">
            <v>0</v>
          </cell>
          <cell r="AL35">
            <v>0</v>
          </cell>
          <cell r="AM35">
            <v>0</v>
          </cell>
          <cell r="AZ35">
            <v>0</v>
          </cell>
          <cell r="BA35">
            <v>0</v>
          </cell>
          <cell r="BB35">
            <v>0</v>
          </cell>
          <cell r="BC35">
            <v>0</v>
          </cell>
          <cell r="BD35">
            <v>0</v>
          </cell>
          <cell r="BE35">
            <v>0</v>
          </cell>
          <cell r="BF35">
            <v>0</v>
          </cell>
        </row>
        <row r="36">
          <cell r="A36" t="str">
            <v xml:space="preserve"> - Contract Packaging</v>
          </cell>
          <cell r="N36">
            <v>0</v>
          </cell>
          <cell r="O36">
            <v>0</v>
          </cell>
          <cell r="P36">
            <v>0</v>
          </cell>
          <cell r="Q36">
            <v>0</v>
          </cell>
          <cell r="R36">
            <v>0</v>
          </cell>
          <cell r="S36">
            <v>0</v>
          </cell>
          <cell r="T36">
            <v>0</v>
          </cell>
          <cell r="AG36">
            <v>0</v>
          </cell>
          <cell r="AH36">
            <v>0</v>
          </cell>
          <cell r="AI36">
            <v>0</v>
          </cell>
          <cell r="AJ36">
            <v>0</v>
          </cell>
          <cell r="AK36">
            <v>0</v>
          </cell>
          <cell r="AL36">
            <v>0</v>
          </cell>
          <cell r="AM36">
            <v>0</v>
          </cell>
          <cell r="AZ36">
            <v>0</v>
          </cell>
          <cell r="BA36">
            <v>0</v>
          </cell>
          <cell r="BB36">
            <v>0</v>
          </cell>
          <cell r="BC36">
            <v>0</v>
          </cell>
          <cell r="BD36">
            <v>0</v>
          </cell>
          <cell r="BE36">
            <v>0</v>
          </cell>
          <cell r="BF36">
            <v>0</v>
          </cell>
        </row>
        <row r="37">
          <cell r="A37" t="str">
            <v xml:space="preserve"> - Excise Duty</v>
          </cell>
          <cell r="N37">
            <v>0</v>
          </cell>
          <cell r="O37">
            <v>0</v>
          </cell>
          <cell r="P37">
            <v>0</v>
          </cell>
          <cell r="Q37">
            <v>0</v>
          </cell>
          <cell r="R37">
            <v>0</v>
          </cell>
          <cell r="S37">
            <v>0</v>
          </cell>
          <cell r="T37">
            <v>0</v>
          </cell>
          <cell r="AG37">
            <v>0</v>
          </cell>
          <cell r="AH37">
            <v>0</v>
          </cell>
          <cell r="AI37">
            <v>0</v>
          </cell>
          <cell r="AJ37">
            <v>0</v>
          </cell>
          <cell r="AK37">
            <v>0</v>
          </cell>
          <cell r="AL37">
            <v>0</v>
          </cell>
          <cell r="AM37">
            <v>0</v>
          </cell>
          <cell r="AZ37">
            <v>0</v>
          </cell>
          <cell r="BA37">
            <v>0</v>
          </cell>
          <cell r="BB37">
            <v>0</v>
          </cell>
          <cell r="BC37">
            <v>0</v>
          </cell>
          <cell r="BD37">
            <v>0</v>
          </cell>
          <cell r="BE37">
            <v>0</v>
          </cell>
          <cell r="BF37">
            <v>0</v>
          </cell>
        </row>
        <row r="38">
          <cell r="A38" t="str">
            <v xml:space="preserve"> - Product sourcing cost</v>
          </cell>
          <cell r="N38">
            <v>0</v>
          </cell>
          <cell r="O38">
            <v>0</v>
          </cell>
          <cell r="P38">
            <v>0</v>
          </cell>
          <cell r="Q38">
            <v>0</v>
          </cell>
          <cell r="R38">
            <v>0</v>
          </cell>
          <cell r="S38">
            <v>0</v>
          </cell>
          <cell r="T38">
            <v>0</v>
          </cell>
          <cell r="AG38">
            <v>0</v>
          </cell>
          <cell r="AH38">
            <v>0</v>
          </cell>
          <cell r="AI38">
            <v>0</v>
          </cell>
          <cell r="AJ38">
            <v>0</v>
          </cell>
          <cell r="AK38">
            <v>0</v>
          </cell>
          <cell r="AL38">
            <v>0</v>
          </cell>
          <cell r="AM38">
            <v>0</v>
          </cell>
          <cell r="AZ38">
            <v>0</v>
          </cell>
          <cell r="BA38">
            <v>0</v>
          </cell>
          <cell r="BB38">
            <v>0</v>
          </cell>
          <cell r="BC38">
            <v>0</v>
          </cell>
          <cell r="BD38">
            <v>0</v>
          </cell>
          <cell r="BE38">
            <v>0</v>
          </cell>
          <cell r="BF38">
            <v>0</v>
          </cell>
        </row>
        <row r="39">
          <cell r="A39" t="str">
            <v xml:space="preserve"> - Product sourcing Freight</v>
          </cell>
          <cell r="N39">
            <v>0</v>
          </cell>
          <cell r="O39">
            <v>0</v>
          </cell>
          <cell r="P39">
            <v>0</v>
          </cell>
          <cell r="Q39">
            <v>0</v>
          </cell>
          <cell r="R39">
            <v>0</v>
          </cell>
          <cell r="S39">
            <v>0</v>
          </cell>
          <cell r="T39">
            <v>0</v>
          </cell>
          <cell r="AG39">
            <v>0</v>
          </cell>
          <cell r="AH39">
            <v>0</v>
          </cell>
          <cell r="AI39">
            <v>0</v>
          </cell>
          <cell r="AJ39">
            <v>0</v>
          </cell>
          <cell r="AK39">
            <v>0</v>
          </cell>
          <cell r="AL39">
            <v>0</v>
          </cell>
          <cell r="AM39">
            <v>0</v>
          </cell>
          <cell r="AZ39">
            <v>0</v>
          </cell>
          <cell r="BA39">
            <v>0</v>
          </cell>
          <cell r="BB39">
            <v>0</v>
          </cell>
          <cell r="BC39">
            <v>0</v>
          </cell>
          <cell r="BD39">
            <v>0</v>
          </cell>
          <cell r="BE39">
            <v>0</v>
          </cell>
          <cell r="BF39">
            <v>0</v>
          </cell>
        </row>
        <row r="40">
          <cell r="A40" t="str">
            <v xml:space="preserve"> - Comp &amp; Benefits (Casual) Mfg</v>
          </cell>
          <cell r="N40">
            <v>0</v>
          </cell>
          <cell r="O40">
            <v>0</v>
          </cell>
          <cell r="P40">
            <v>0</v>
          </cell>
          <cell r="Q40">
            <v>0</v>
          </cell>
          <cell r="R40">
            <v>0</v>
          </cell>
          <cell r="S40">
            <v>0</v>
          </cell>
          <cell r="T40">
            <v>0</v>
          </cell>
          <cell r="AG40">
            <v>0</v>
          </cell>
          <cell r="AH40">
            <v>0</v>
          </cell>
          <cell r="AI40">
            <v>0</v>
          </cell>
          <cell r="AJ40">
            <v>0</v>
          </cell>
          <cell r="AK40">
            <v>0</v>
          </cell>
          <cell r="AL40">
            <v>0</v>
          </cell>
          <cell r="AM40">
            <v>0</v>
          </cell>
          <cell r="AZ40">
            <v>0</v>
          </cell>
          <cell r="BA40">
            <v>0</v>
          </cell>
          <cell r="BB40">
            <v>0</v>
          </cell>
          <cell r="BC40">
            <v>0</v>
          </cell>
          <cell r="BD40">
            <v>0</v>
          </cell>
          <cell r="BE40">
            <v>0</v>
          </cell>
          <cell r="BF40">
            <v>0</v>
          </cell>
        </row>
        <row r="41">
          <cell r="A41" t="str">
            <v xml:space="preserve"> - Power/ Fuel (Plant only)</v>
          </cell>
          <cell r="N41">
            <v>0</v>
          </cell>
          <cell r="O41">
            <v>0</v>
          </cell>
          <cell r="P41">
            <v>0</v>
          </cell>
          <cell r="Q41">
            <v>0</v>
          </cell>
          <cell r="R41">
            <v>0</v>
          </cell>
          <cell r="S41">
            <v>0</v>
          </cell>
          <cell r="T41">
            <v>0</v>
          </cell>
          <cell r="AG41">
            <v>0</v>
          </cell>
          <cell r="AH41">
            <v>0</v>
          </cell>
          <cell r="AI41">
            <v>0</v>
          </cell>
          <cell r="AJ41">
            <v>0</v>
          </cell>
          <cell r="AK41">
            <v>0</v>
          </cell>
          <cell r="AL41">
            <v>0</v>
          </cell>
          <cell r="AM41">
            <v>0</v>
          </cell>
          <cell r="AZ41">
            <v>0</v>
          </cell>
          <cell r="BA41">
            <v>0</v>
          </cell>
          <cell r="BB41">
            <v>0</v>
          </cell>
          <cell r="BC41">
            <v>0</v>
          </cell>
          <cell r="BD41">
            <v>0</v>
          </cell>
          <cell r="BE41">
            <v>0</v>
          </cell>
          <cell r="BF41">
            <v>0</v>
          </cell>
        </row>
        <row r="42">
          <cell r="A42" t="str">
            <v xml:space="preserve"> - Breakage (in plant)</v>
          </cell>
          <cell r="N42">
            <v>0</v>
          </cell>
          <cell r="O42">
            <v>0</v>
          </cell>
          <cell r="P42">
            <v>0</v>
          </cell>
          <cell r="Q42">
            <v>0</v>
          </cell>
          <cell r="R42">
            <v>0</v>
          </cell>
          <cell r="S42">
            <v>0</v>
          </cell>
          <cell r="T42">
            <v>0</v>
          </cell>
          <cell r="AG42">
            <v>0</v>
          </cell>
          <cell r="AH42">
            <v>0</v>
          </cell>
          <cell r="AI42">
            <v>0</v>
          </cell>
          <cell r="AJ42">
            <v>0</v>
          </cell>
          <cell r="AK42">
            <v>0</v>
          </cell>
          <cell r="AL42">
            <v>0</v>
          </cell>
          <cell r="AM42">
            <v>0</v>
          </cell>
          <cell r="AZ42">
            <v>0</v>
          </cell>
          <cell r="BA42">
            <v>0</v>
          </cell>
          <cell r="BB42">
            <v>0</v>
          </cell>
          <cell r="BC42">
            <v>0</v>
          </cell>
          <cell r="BD42">
            <v>0</v>
          </cell>
          <cell r="BE42">
            <v>0</v>
          </cell>
          <cell r="BF42">
            <v>0</v>
          </cell>
        </row>
        <row r="43">
          <cell r="A43" t="str">
            <v xml:space="preserve"> - Misc Consumables</v>
          </cell>
          <cell r="N43">
            <v>0</v>
          </cell>
          <cell r="O43">
            <v>0</v>
          </cell>
          <cell r="P43">
            <v>0</v>
          </cell>
          <cell r="Q43">
            <v>0</v>
          </cell>
          <cell r="R43">
            <v>0</v>
          </cell>
          <cell r="S43">
            <v>0</v>
          </cell>
          <cell r="T43">
            <v>0</v>
          </cell>
          <cell r="AG43">
            <v>0</v>
          </cell>
          <cell r="AH43">
            <v>0</v>
          </cell>
          <cell r="AI43">
            <v>0</v>
          </cell>
          <cell r="AJ43">
            <v>0</v>
          </cell>
          <cell r="AK43">
            <v>0</v>
          </cell>
          <cell r="AL43">
            <v>0</v>
          </cell>
          <cell r="AM43">
            <v>0</v>
          </cell>
          <cell r="AZ43">
            <v>0</v>
          </cell>
          <cell r="BA43">
            <v>0</v>
          </cell>
          <cell r="BB43">
            <v>0</v>
          </cell>
          <cell r="BC43">
            <v>0</v>
          </cell>
          <cell r="BD43">
            <v>0</v>
          </cell>
          <cell r="BE43">
            <v>0</v>
          </cell>
          <cell r="BF43">
            <v>0</v>
          </cell>
        </row>
        <row r="44">
          <cell r="A44" t="str">
            <v xml:space="preserve"> - Price Variance</v>
          </cell>
          <cell r="N44">
            <v>0</v>
          </cell>
          <cell r="O44">
            <v>0</v>
          </cell>
          <cell r="P44">
            <v>0</v>
          </cell>
          <cell r="Q44">
            <v>0</v>
          </cell>
          <cell r="R44">
            <v>0</v>
          </cell>
          <cell r="S44">
            <v>0</v>
          </cell>
          <cell r="T44">
            <v>0</v>
          </cell>
          <cell r="AG44">
            <v>0</v>
          </cell>
          <cell r="AH44">
            <v>0</v>
          </cell>
          <cell r="AI44">
            <v>0</v>
          </cell>
          <cell r="AJ44">
            <v>0</v>
          </cell>
          <cell r="AK44">
            <v>0</v>
          </cell>
          <cell r="AL44">
            <v>0</v>
          </cell>
          <cell r="AM44">
            <v>0</v>
          </cell>
          <cell r="AZ44">
            <v>0</v>
          </cell>
          <cell r="BA44">
            <v>0</v>
          </cell>
          <cell r="BB44">
            <v>0</v>
          </cell>
          <cell r="BC44">
            <v>0</v>
          </cell>
          <cell r="BD44">
            <v>0</v>
          </cell>
          <cell r="BE44">
            <v>0</v>
          </cell>
          <cell r="BF44">
            <v>0</v>
          </cell>
        </row>
        <row r="45">
          <cell r="A45" t="str">
            <v xml:space="preserve"> - Usage Variance</v>
          </cell>
          <cell r="N45">
            <v>0</v>
          </cell>
          <cell r="O45">
            <v>0</v>
          </cell>
          <cell r="P45">
            <v>0</v>
          </cell>
          <cell r="Q45">
            <v>0</v>
          </cell>
          <cell r="R45">
            <v>0</v>
          </cell>
          <cell r="S45">
            <v>0</v>
          </cell>
          <cell r="T45">
            <v>0</v>
          </cell>
          <cell r="AG45">
            <v>0</v>
          </cell>
          <cell r="AH45">
            <v>0</v>
          </cell>
          <cell r="AI45">
            <v>0</v>
          </cell>
          <cell r="AJ45">
            <v>0</v>
          </cell>
          <cell r="AK45">
            <v>0</v>
          </cell>
          <cell r="AL45">
            <v>0</v>
          </cell>
          <cell r="AM45">
            <v>0</v>
          </cell>
          <cell r="AZ45">
            <v>0</v>
          </cell>
          <cell r="BA45">
            <v>0</v>
          </cell>
          <cell r="BB45">
            <v>0</v>
          </cell>
          <cell r="BC45">
            <v>0</v>
          </cell>
          <cell r="BD45">
            <v>0</v>
          </cell>
          <cell r="BE45">
            <v>0</v>
          </cell>
          <cell r="BF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row>
        <row r="47">
          <cell r="A47" t="str">
            <v>Gross Contribution</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row>
        <row r="48">
          <cell r="A48" t="str">
            <v>Fixed Mfg Expenses</v>
          </cell>
        </row>
        <row r="49">
          <cell r="A49" t="str">
            <v xml:space="preserve"> - Comp &amp; Benefits (Permanent) Mfg</v>
          </cell>
          <cell r="N49">
            <v>0</v>
          </cell>
          <cell r="O49">
            <v>0</v>
          </cell>
          <cell r="P49">
            <v>0</v>
          </cell>
          <cell r="Q49">
            <v>0</v>
          </cell>
          <cell r="R49">
            <v>0</v>
          </cell>
          <cell r="S49">
            <v>0</v>
          </cell>
          <cell r="T49">
            <v>0</v>
          </cell>
          <cell r="AG49">
            <v>0</v>
          </cell>
          <cell r="AH49">
            <v>0</v>
          </cell>
          <cell r="AI49">
            <v>0</v>
          </cell>
          <cell r="AJ49">
            <v>0</v>
          </cell>
          <cell r="AK49">
            <v>0</v>
          </cell>
          <cell r="AL49">
            <v>0</v>
          </cell>
          <cell r="AM49">
            <v>0</v>
          </cell>
          <cell r="AZ49">
            <v>0</v>
          </cell>
          <cell r="BA49">
            <v>0</v>
          </cell>
          <cell r="BB49">
            <v>0</v>
          </cell>
          <cell r="BC49">
            <v>0</v>
          </cell>
          <cell r="BD49">
            <v>0</v>
          </cell>
          <cell r="BE49">
            <v>0</v>
          </cell>
          <cell r="BF49">
            <v>0</v>
          </cell>
        </row>
        <row r="50">
          <cell r="A50" t="str">
            <v xml:space="preserve"> - Repairs &amp; Maint (Plant only)</v>
          </cell>
          <cell r="N50">
            <v>0</v>
          </cell>
          <cell r="O50">
            <v>0</v>
          </cell>
          <cell r="P50">
            <v>0</v>
          </cell>
          <cell r="Q50">
            <v>0</v>
          </cell>
          <cell r="R50">
            <v>0</v>
          </cell>
          <cell r="S50">
            <v>0</v>
          </cell>
          <cell r="T50">
            <v>0</v>
          </cell>
          <cell r="AG50">
            <v>0</v>
          </cell>
          <cell r="AH50">
            <v>0</v>
          </cell>
          <cell r="AI50">
            <v>0</v>
          </cell>
          <cell r="AJ50">
            <v>0</v>
          </cell>
          <cell r="AK50">
            <v>0</v>
          </cell>
          <cell r="AL50">
            <v>0</v>
          </cell>
          <cell r="AM50">
            <v>0</v>
          </cell>
          <cell r="AZ50">
            <v>0</v>
          </cell>
          <cell r="BA50">
            <v>0</v>
          </cell>
          <cell r="BB50">
            <v>0</v>
          </cell>
          <cell r="BC50">
            <v>0</v>
          </cell>
          <cell r="BD50">
            <v>0</v>
          </cell>
          <cell r="BE50">
            <v>0</v>
          </cell>
          <cell r="BF50">
            <v>0</v>
          </cell>
        </row>
        <row r="51">
          <cell r="A51" t="str">
            <v xml:space="preserve"> - Depreciation (Plant)</v>
          </cell>
          <cell r="N51">
            <v>0</v>
          </cell>
          <cell r="O51">
            <v>0</v>
          </cell>
          <cell r="P51">
            <v>0</v>
          </cell>
          <cell r="Q51">
            <v>0</v>
          </cell>
          <cell r="R51">
            <v>0</v>
          </cell>
          <cell r="S51">
            <v>0</v>
          </cell>
          <cell r="T51">
            <v>0</v>
          </cell>
          <cell r="AG51">
            <v>0</v>
          </cell>
          <cell r="AH51">
            <v>0</v>
          </cell>
          <cell r="AI51">
            <v>0</v>
          </cell>
          <cell r="AJ51">
            <v>0</v>
          </cell>
          <cell r="AK51">
            <v>0</v>
          </cell>
          <cell r="AL51">
            <v>0</v>
          </cell>
          <cell r="AM51">
            <v>0</v>
          </cell>
          <cell r="AZ51">
            <v>0</v>
          </cell>
          <cell r="BA51">
            <v>0</v>
          </cell>
          <cell r="BB51">
            <v>0</v>
          </cell>
          <cell r="BC51">
            <v>0</v>
          </cell>
          <cell r="BD51">
            <v>0</v>
          </cell>
          <cell r="BE51">
            <v>0</v>
          </cell>
          <cell r="BF51">
            <v>0</v>
          </cell>
        </row>
        <row r="52">
          <cell r="A52" t="str">
            <v xml:space="preserve"> - Amortization (Glass / Bottles)</v>
          </cell>
          <cell r="N52">
            <v>0</v>
          </cell>
          <cell r="O52">
            <v>0</v>
          </cell>
          <cell r="P52">
            <v>0</v>
          </cell>
          <cell r="Q52">
            <v>0</v>
          </cell>
          <cell r="R52">
            <v>0</v>
          </cell>
          <cell r="S52">
            <v>0</v>
          </cell>
          <cell r="T52">
            <v>0</v>
          </cell>
          <cell r="AG52">
            <v>0</v>
          </cell>
          <cell r="AH52">
            <v>0</v>
          </cell>
          <cell r="AI52">
            <v>0</v>
          </cell>
          <cell r="AJ52">
            <v>0</v>
          </cell>
          <cell r="AK52">
            <v>0</v>
          </cell>
          <cell r="AL52">
            <v>0</v>
          </cell>
          <cell r="AM52">
            <v>0</v>
          </cell>
          <cell r="AZ52">
            <v>0</v>
          </cell>
          <cell r="BA52">
            <v>0</v>
          </cell>
          <cell r="BB52">
            <v>0</v>
          </cell>
          <cell r="BC52">
            <v>0</v>
          </cell>
          <cell r="BD52">
            <v>0</v>
          </cell>
          <cell r="BE52">
            <v>0</v>
          </cell>
          <cell r="BF52">
            <v>0</v>
          </cell>
        </row>
        <row r="53">
          <cell r="A53" t="str">
            <v xml:space="preserve"> - Security Expenses - Mfg</v>
          </cell>
          <cell r="N53">
            <v>0</v>
          </cell>
          <cell r="O53">
            <v>0</v>
          </cell>
          <cell r="P53">
            <v>0</v>
          </cell>
          <cell r="Q53">
            <v>0</v>
          </cell>
          <cell r="R53">
            <v>0</v>
          </cell>
          <cell r="S53">
            <v>0</v>
          </cell>
          <cell r="T53">
            <v>0</v>
          </cell>
          <cell r="AG53">
            <v>0</v>
          </cell>
          <cell r="AH53">
            <v>0</v>
          </cell>
          <cell r="AI53">
            <v>0</v>
          </cell>
          <cell r="AJ53">
            <v>0</v>
          </cell>
          <cell r="AK53">
            <v>0</v>
          </cell>
          <cell r="AL53">
            <v>0</v>
          </cell>
          <cell r="AM53">
            <v>0</v>
          </cell>
          <cell r="AZ53">
            <v>0</v>
          </cell>
          <cell r="BA53">
            <v>0</v>
          </cell>
          <cell r="BB53">
            <v>0</v>
          </cell>
          <cell r="BC53">
            <v>0</v>
          </cell>
          <cell r="BD53">
            <v>0</v>
          </cell>
          <cell r="BE53">
            <v>0</v>
          </cell>
          <cell r="BF53">
            <v>0</v>
          </cell>
        </row>
        <row r="54">
          <cell r="A54" t="str">
            <v xml:space="preserve"> - Plant G&amp;A</v>
          </cell>
          <cell r="N54">
            <v>0</v>
          </cell>
          <cell r="O54">
            <v>0</v>
          </cell>
          <cell r="P54">
            <v>0</v>
          </cell>
          <cell r="Q54">
            <v>0</v>
          </cell>
          <cell r="R54">
            <v>0</v>
          </cell>
          <cell r="S54">
            <v>0</v>
          </cell>
          <cell r="T54">
            <v>0</v>
          </cell>
          <cell r="AG54">
            <v>0</v>
          </cell>
          <cell r="AH54">
            <v>0</v>
          </cell>
          <cell r="AI54">
            <v>0</v>
          </cell>
          <cell r="AJ54">
            <v>0</v>
          </cell>
          <cell r="AK54">
            <v>0</v>
          </cell>
          <cell r="AL54">
            <v>0</v>
          </cell>
          <cell r="AM54">
            <v>0</v>
          </cell>
          <cell r="AZ54">
            <v>0</v>
          </cell>
          <cell r="BA54">
            <v>0</v>
          </cell>
          <cell r="BB54">
            <v>0</v>
          </cell>
          <cell r="BC54">
            <v>0</v>
          </cell>
          <cell r="BD54">
            <v>0</v>
          </cell>
          <cell r="BE54">
            <v>0</v>
          </cell>
          <cell r="BF54">
            <v>0</v>
          </cell>
        </row>
        <row r="55">
          <cell r="A55" t="str">
            <v xml:space="preserve"> - Pallet Expenses - Mfg</v>
          </cell>
          <cell r="N55">
            <v>0</v>
          </cell>
          <cell r="O55">
            <v>0</v>
          </cell>
          <cell r="P55">
            <v>0</v>
          </cell>
          <cell r="Q55">
            <v>0</v>
          </cell>
          <cell r="R55">
            <v>0</v>
          </cell>
          <cell r="S55">
            <v>0</v>
          </cell>
          <cell r="T55">
            <v>0</v>
          </cell>
          <cell r="AG55">
            <v>0</v>
          </cell>
          <cell r="AH55">
            <v>0</v>
          </cell>
          <cell r="AI55">
            <v>0</v>
          </cell>
          <cell r="AJ55">
            <v>0</v>
          </cell>
          <cell r="AK55">
            <v>0</v>
          </cell>
          <cell r="AL55">
            <v>0</v>
          </cell>
          <cell r="AM55">
            <v>0</v>
          </cell>
          <cell r="AZ55">
            <v>0</v>
          </cell>
          <cell r="BA55">
            <v>0</v>
          </cell>
          <cell r="BB55">
            <v>0</v>
          </cell>
          <cell r="BC55">
            <v>0</v>
          </cell>
          <cell r="BD55">
            <v>0</v>
          </cell>
          <cell r="BE55">
            <v>0</v>
          </cell>
          <cell r="BF55">
            <v>0</v>
          </cell>
        </row>
        <row r="56">
          <cell r="A56" t="str">
            <v xml:space="preserve"> - Other Fixed Mfg Exps</v>
          </cell>
          <cell r="N56">
            <v>0</v>
          </cell>
          <cell r="O56">
            <v>0</v>
          </cell>
          <cell r="P56">
            <v>0</v>
          </cell>
          <cell r="Q56">
            <v>0</v>
          </cell>
          <cell r="R56">
            <v>0</v>
          </cell>
          <cell r="S56">
            <v>0</v>
          </cell>
          <cell r="T56">
            <v>0</v>
          </cell>
          <cell r="AG56">
            <v>0</v>
          </cell>
          <cell r="AH56">
            <v>0</v>
          </cell>
          <cell r="AI56">
            <v>0</v>
          </cell>
          <cell r="AJ56">
            <v>0</v>
          </cell>
          <cell r="AK56">
            <v>0</v>
          </cell>
          <cell r="AL56">
            <v>0</v>
          </cell>
          <cell r="AM56">
            <v>0</v>
          </cell>
          <cell r="AZ56">
            <v>0</v>
          </cell>
          <cell r="BA56">
            <v>0</v>
          </cell>
          <cell r="BB56">
            <v>0</v>
          </cell>
          <cell r="BC56">
            <v>0</v>
          </cell>
          <cell r="BD56">
            <v>0</v>
          </cell>
          <cell r="BE56">
            <v>0</v>
          </cell>
          <cell r="BF56">
            <v>0</v>
          </cell>
        </row>
        <row r="57">
          <cell r="A57" t="str">
            <v xml:space="preserve"> - Overheads loading on FG</v>
          </cell>
          <cell r="N57">
            <v>0</v>
          </cell>
          <cell r="O57">
            <v>0</v>
          </cell>
          <cell r="P57">
            <v>0</v>
          </cell>
          <cell r="Q57">
            <v>0</v>
          </cell>
          <cell r="R57">
            <v>0</v>
          </cell>
          <cell r="S57">
            <v>0</v>
          </cell>
          <cell r="T57">
            <v>0</v>
          </cell>
          <cell r="AG57">
            <v>0</v>
          </cell>
          <cell r="AH57">
            <v>0</v>
          </cell>
          <cell r="AI57">
            <v>0</v>
          </cell>
          <cell r="AJ57">
            <v>0</v>
          </cell>
          <cell r="AK57">
            <v>0</v>
          </cell>
          <cell r="AL57">
            <v>0</v>
          </cell>
          <cell r="AM57">
            <v>0</v>
          </cell>
          <cell r="AZ57">
            <v>0</v>
          </cell>
          <cell r="BA57">
            <v>0</v>
          </cell>
          <cell r="BB57">
            <v>0</v>
          </cell>
          <cell r="BC57">
            <v>0</v>
          </cell>
          <cell r="BD57">
            <v>0</v>
          </cell>
          <cell r="BE57">
            <v>0</v>
          </cell>
          <cell r="BF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row>
        <row r="59">
          <cell r="A59" t="str">
            <v>Gross Profit</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row>
        <row r="60">
          <cell r="A60" t="str">
            <v>Selling &amp; Distribution Exps</v>
          </cell>
        </row>
        <row r="61">
          <cell r="A61" t="str">
            <v xml:space="preserve"> - Comp &amp; Benefits (Permanent) S&amp;D</v>
          </cell>
          <cell r="N61">
            <v>0</v>
          </cell>
          <cell r="O61">
            <v>0</v>
          </cell>
          <cell r="P61">
            <v>0</v>
          </cell>
          <cell r="Q61">
            <v>0</v>
          </cell>
          <cell r="R61">
            <v>0</v>
          </cell>
          <cell r="S61">
            <v>0</v>
          </cell>
          <cell r="T61">
            <v>0</v>
          </cell>
          <cell r="AG61">
            <v>0</v>
          </cell>
          <cell r="AH61">
            <v>0</v>
          </cell>
          <cell r="AI61">
            <v>0</v>
          </cell>
          <cell r="AJ61">
            <v>0</v>
          </cell>
          <cell r="AK61">
            <v>0</v>
          </cell>
          <cell r="AL61">
            <v>0</v>
          </cell>
          <cell r="AM61">
            <v>0</v>
          </cell>
          <cell r="AZ61">
            <v>0</v>
          </cell>
          <cell r="BA61">
            <v>0</v>
          </cell>
          <cell r="BB61">
            <v>0</v>
          </cell>
          <cell r="BC61">
            <v>0</v>
          </cell>
          <cell r="BD61">
            <v>0</v>
          </cell>
          <cell r="BE61">
            <v>0</v>
          </cell>
          <cell r="BF61">
            <v>0</v>
          </cell>
        </row>
        <row r="62">
          <cell r="A62" t="str">
            <v xml:space="preserve"> - Comp &amp; Benefits (Casual) S&amp;D</v>
          </cell>
          <cell r="N62">
            <v>0</v>
          </cell>
          <cell r="O62">
            <v>0</v>
          </cell>
          <cell r="P62">
            <v>0</v>
          </cell>
          <cell r="Q62">
            <v>0</v>
          </cell>
          <cell r="R62">
            <v>0</v>
          </cell>
          <cell r="S62">
            <v>0</v>
          </cell>
          <cell r="T62">
            <v>0</v>
          </cell>
          <cell r="AG62">
            <v>0</v>
          </cell>
          <cell r="AH62">
            <v>0</v>
          </cell>
          <cell r="AI62">
            <v>0</v>
          </cell>
          <cell r="AJ62">
            <v>0</v>
          </cell>
          <cell r="AK62">
            <v>0</v>
          </cell>
          <cell r="AL62">
            <v>0</v>
          </cell>
          <cell r="AM62">
            <v>0</v>
          </cell>
          <cell r="AZ62">
            <v>0</v>
          </cell>
          <cell r="BA62">
            <v>0</v>
          </cell>
          <cell r="BB62">
            <v>0</v>
          </cell>
          <cell r="BC62">
            <v>0</v>
          </cell>
          <cell r="BD62">
            <v>0</v>
          </cell>
          <cell r="BE62">
            <v>0</v>
          </cell>
          <cell r="BF62">
            <v>0</v>
          </cell>
        </row>
        <row r="63">
          <cell r="A63" t="str">
            <v xml:space="preserve"> - Warehousing Labour</v>
          </cell>
          <cell r="N63">
            <v>0</v>
          </cell>
          <cell r="O63">
            <v>0</v>
          </cell>
          <cell r="P63">
            <v>0</v>
          </cell>
          <cell r="Q63">
            <v>0</v>
          </cell>
          <cell r="R63">
            <v>0</v>
          </cell>
          <cell r="S63">
            <v>0</v>
          </cell>
          <cell r="T63">
            <v>0</v>
          </cell>
          <cell r="AG63">
            <v>0</v>
          </cell>
          <cell r="AH63">
            <v>0</v>
          </cell>
          <cell r="AI63">
            <v>0</v>
          </cell>
          <cell r="AJ63">
            <v>0</v>
          </cell>
          <cell r="AK63">
            <v>0</v>
          </cell>
          <cell r="AL63">
            <v>0</v>
          </cell>
          <cell r="AM63">
            <v>0</v>
          </cell>
          <cell r="AZ63">
            <v>0</v>
          </cell>
          <cell r="BA63">
            <v>0</v>
          </cell>
          <cell r="BB63">
            <v>0</v>
          </cell>
          <cell r="BC63">
            <v>0</v>
          </cell>
          <cell r="BD63">
            <v>0</v>
          </cell>
          <cell r="BE63">
            <v>0</v>
          </cell>
          <cell r="BF63">
            <v>0</v>
          </cell>
        </row>
        <row r="64">
          <cell r="A64" t="str">
            <v xml:space="preserve"> - Distributors commission</v>
          </cell>
          <cell r="N64">
            <v>0</v>
          </cell>
          <cell r="O64">
            <v>0</v>
          </cell>
          <cell r="P64">
            <v>0</v>
          </cell>
          <cell r="Q64">
            <v>0</v>
          </cell>
          <cell r="R64">
            <v>0</v>
          </cell>
          <cell r="S64">
            <v>0</v>
          </cell>
          <cell r="T64">
            <v>0</v>
          </cell>
          <cell r="AG64">
            <v>0</v>
          </cell>
          <cell r="AH64">
            <v>0</v>
          </cell>
          <cell r="AI64">
            <v>0</v>
          </cell>
          <cell r="AJ64">
            <v>0</v>
          </cell>
          <cell r="AK64">
            <v>0</v>
          </cell>
          <cell r="AL64">
            <v>0</v>
          </cell>
          <cell r="AM64">
            <v>0</v>
          </cell>
          <cell r="AZ64">
            <v>0</v>
          </cell>
          <cell r="BA64">
            <v>0</v>
          </cell>
          <cell r="BB64">
            <v>0</v>
          </cell>
          <cell r="BC64">
            <v>0</v>
          </cell>
          <cell r="BD64">
            <v>0</v>
          </cell>
          <cell r="BE64">
            <v>0</v>
          </cell>
          <cell r="BF64">
            <v>0</v>
          </cell>
        </row>
        <row r="65">
          <cell r="A65" t="str">
            <v xml:space="preserve"> - Freight</v>
          </cell>
          <cell r="N65">
            <v>0</v>
          </cell>
          <cell r="O65">
            <v>0</v>
          </cell>
          <cell r="P65">
            <v>0</v>
          </cell>
          <cell r="Q65">
            <v>0</v>
          </cell>
          <cell r="R65">
            <v>0</v>
          </cell>
          <cell r="S65">
            <v>0</v>
          </cell>
          <cell r="T65">
            <v>0</v>
          </cell>
          <cell r="AG65">
            <v>0</v>
          </cell>
          <cell r="AH65">
            <v>0</v>
          </cell>
          <cell r="AI65">
            <v>0</v>
          </cell>
          <cell r="AJ65">
            <v>0</v>
          </cell>
          <cell r="AK65">
            <v>0</v>
          </cell>
          <cell r="AL65">
            <v>0</v>
          </cell>
          <cell r="AM65">
            <v>0</v>
          </cell>
          <cell r="AZ65">
            <v>0</v>
          </cell>
          <cell r="BA65">
            <v>0</v>
          </cell>
          <cell r="BB65">
            <v>0</v>
          </cell>
          <cell r="BC65">
            <v>0</v>
          </cell>
          <cell r="BD65">
            <v>0</v>
          </cell>
          <cell r="BE65">
            <v>0</v>
          </cell>
          <cell r="BF65">
            <v>0</v>
          </cell>
        </row>
        <row r="66">
          <cell r="A66" t="str">
            <v xml:space="preserve"> - Rent,Rates &amp; Taxes</v>
          </cell>
          <cell r="N66">
            <v>0</v>
          </cell>
          <cell r="O66">
            <v>0</v>
          </cell>
          <cell r="P66">
            <v>0</v>
          </cell>
          <cell r="Q66">
            <v>0</v>
          </cell>
          <cell r="R66">
            <v>0</v>
          </cell>
          <cell r="S66">
            <v>0</v>
          </cell>
          <cell r="T66">
            <v>0</v>
          </cell>
          <cell r="AG66">
            <v>0</v>
          </cell>
          <cell r="AH66">
            <v>0</v>
          </cell>
          <cell r="AI66">
            <v>0</v>
          </cell>
          <cell r="AJ66">
            <v>0</v>
          </cell>
          <cell r="AK66">
            <v>0</v>
          </cell>
          <cell r="AL66">
            <v>0</v>
          </cell>
          <cell r="AM66">
            <v>0</v>
          </cell>
          <cell r="AZ66">
            <v>0</v>
          </cell>
          <cell r="BA66">
            <v>0</v>
          </cell>
          <cell r="BB66">
            <v>0</v>
          </cell>
          <cell r="BC66">
            <v>0</v>
          </cell>
          <cell r="BD66">
            <v>0</v>
          </cell>
          <cell r="BE66">
            <v>0</v>
          </cell>
          <cell r="BF66">
            <v>0</v>
          </cell>
        </row>
        <row r="67">
          <cell r="A67" t="str">
            <v xml:space="preserve"> - C &amp; F Agent's Charges</v>
          </cell>
          <cell r="N67">
            <v>0</v>
          </cell>
          <cell r="O67">
            <v>0</v>
          </cell>
          <cell r="P67">
            <v>0</v>
          </cell>
          <cell r="Q67">
            <v>0</v>
          </cell>
          <cell r="R67">
            <v>0</v>
          </cell>
          <cell r="S67">
            <v>0</v>
          </cell>
          <cell r="T67">
            <v>0</v>
          </cell>
          <cell r="AG67">
            <v>0</v>
          </cell>
          <cell r="AH67">
            <v>0</v>
          </cell>
          <cell r="AI67">
            <v>0</v>
          </cell>
          <cell r="AJ67">
            <v>0</v>
          </cell>
          <cell r="AK67">
            <v>0</v>
          </cell>
          <cell r="AL67">
            <v>0</v>
          </cell>
          <cell r="AM67">
            <v>0</v>
          </cell>
          <cell r="AZ67">
            <v>0</v>
          </cell>
          <cell r="BA67">
            <v>0</v>
          </cell>
          <cell r="BB67">
            <v>0</v>
          </cell>
          <cell r="BC67">
            <v>0</v>
          </cell>
          <cell r="BD67">
            <v>0</v>
          </cell>
          <cell r="BE67">
            <v>0</v>
          </cell>
          <cell r="BF67">
            <v>0</v>
          </cell>
        </row>
        <row r="68">
          <cell r="A68" t="str">
            <v xml:space="preserve"> - Loading / Unloading charges</v>
          </cell>
          <cell r="N68">
            <v>0</v>
          </cell>
          <cell r="O68">
            <v>0</v>
          </cell>
          <cell r="P68">
            <v>0</v>
          </cell>
          <cell r="Q68">
            <v>0</v>
          </cell>
          <cell r="R68">
            <v>0</v>
          </cell>
          <cell r="S68">
            <v>0</v>
          </cell>
          <cell r="T68">
            <v>0</v>
          </cell>
          <cell r="AG68">
            <v>0</v>
          </cell>
          <cell r="AH68">
            <v>0</v>
          </cell>
          <cell r="AI68">
            <v>0</v>
          </cell>
          <cell r="AJ68">
            <v>0</v>
          </cell>
          <cell r="AK68">
            <v>0</v>
          </cell>
          <cell r="AL68">
            <v>0</v>
          </cell>
          <cell r="AM68">
            <v>0</v>
          </cell>
          <cell r="AZ68">
            <v>0</v>
          </cell>
          <cell r="BA68">
            <v>0</v>
          </cell>
          <cell r="BB68">
            <v>0</v>
          </cell>
          <cell r="BC68">
            <v>0</v>
          </cell>
          <cell r="BD68">
            <v>0</v>
          </cell>
          <cell r="BE68">
            <v>0</v>
          </cell>
          <cell r="BF68">
            <v>0</v>
          </cell>
        </row>
        <row r="69">
          <cell r="A69" t="str">
            <v xml:space="preserve"> - Security Expenses - S&amp;D</v>
          </cell>
          <cell r="N69">
            <v>0</v>
          </cell>
          <cell r="O69">
            <v>0</v>
          </cell>
          <cell r="P69">
            <v>0</v>
          </cell>
          <cell r="Q69">
            <v>0</v>
          </cell>
          <cell r="R69">
            <v>0</v>
          </cell>
          <cell r="S69">
            <v>0</v>
          </cell>
          <cell r="T69">
            <v>0</v>
          </cell>
          <cell r="AG69">
            <v>0</v>
          </cell>
          <cell r="AH69">
            <v>0</v>
          </cell>
          <cell r="AI69">
            <v>0</v>
          </cell>
          <cell r="AJ69">
            <v>0</v>
          </cell>
          <cell r="AK69">
            <v>0</v>
          </cell>
          <cell r="AL69">
            <v>0</v>
          </cell>
          <cell r="AM69">
            <v>0</v>
          </cell>
          <cell r="AZ69">
            <v>0</v>
          </cell>
          <cell r="BA69">
            <v>0</v>
          </cell>
          <cell r="BB69">
            <v>0</v>
          </cell>
          <cell r="BC69">
            <v>0</v>
          </cell>
          <cell r="BD69">
            <v>0</v>
          </cell>
          <cell r="BE69">
            <v>0</v>
          </cell>
          <cell r="BF69">
            <v>0</v>
          </cell>
        </row>
        <row r="70">
          <cell r="A70" t="str">
            <v xml:space="preserve"> - Warehouse breakage</v>
          </cell>
          <cell r="N70">
            <v>0</v>
          </cell>
          <cell r="O70">
            <v>0</v>
          </cell>
          <cell r="P70">
            <v>0</v>
          </cell>
          <cell r="Q70">
            <v>0</v>
          </cell>
          <cell r="R70">
            <v>0</v>
          </cell>
          <cell r="S70">
            <v>0</v>
          </cell>
          <cell r="T70">
            <v>0</v>
          </cell>
          <cell r="AG70">
            <v>0</v>
          </cell>
          <cell r="AH70">
            <v>0</v>
          </cell>
          <cell r="AI70">
            <v>0</v>
          </cell>
          <cell r="AJ70">
            <v>0</v>
          </cell>
          <cell r="AK70">
            <v>0</v>
          </cell>
          <cell r="AL70">
            <v>0</v>
          </cell>
          <cell r="AM70">
            <v>0</v>
          </cell>
          <cell r="AZ70">
            <v>0</v>
          </cell>
          <cell r="BA70">
            <v>0</v>
          </cell>
          <cell r="BB70">
            <v>0</v>
          </cell>
          <cell r="BC70">
            <v>0</v>
          </cell>
          <cell r="BD70">
            <v>0</v>
          </cell>
          <cell r="BE70">
            <v>0</v>
          </cell>
          <cell r="BF70">
            <v>0</v>
          </cell>
        </row>
        <row r="71">
          <cell r="A71" t="str">
            <v xml:space="preserve"> - Staff Welfare S&amp;D</v>
          </cell>
          <cell r="N71">
            <v>0</v>
          </cell>
          <cell r="O71">
            <v>0</v>
          </cell>
          <cell r="P71">
            <v>0</v>
          </cell>
          <cell r="Q71">
            <v>0</v>
          </cell>
          <cell r="R71">
            <v>0</v>
          </cell>
          <cell r="S71">
            <v>0</v>
          </cell>
          <cell r="T71">
            <v>0</v>
          </cell>
          <cell r="AG71">
            <v>0</v>
          </cell>
          <cell r="AH71">
            <v>0</v>
          </cell>
          <cell r="AI71">
            <v>0</v>
          </cell>
          <cell r="AJ71">
            <v>0</v>
          </cell>
          <cell r="AK71">
            <v>0</v>
          </cell>
          <cell r="AL71">
            <v>0</v>
          </cell>
          <cell r="AM71">
            <v>0</v>
          </cell>
          <cell r="AZ71">
            <v>0</v>
          </cell>
          <cell r="BA71">
            <v>0</v>
          </cell>
          <cell r="BB71">
            <v>0</v>
          </cell>
          <cell r="BC71">
            <v>0</v>
          </cell>
          <cell r="BD71">
            <v>0</v>
          </cell>
          <cell r="BE71">
            <v>0</v>
          </cell>
          <cell r="BF71">
            <v>0</v>
          </cell>
        </row>
        <row r="72">
          <cell r="A72" t="str">
            <v xml:space="preserve"> - Salesmen Incentives</v>
          </cell>
          <cell r="N72">
            <v>0</v>
          </cell>
          <cell r="O72">
            <v>0</v>
          </cell>
          <cell r="P72">
            <v>0</v>
          </cell>
          <cell r="Q72">
            <v>0</v>
          </cell>
          <cell r="R72">
            <v>0</v>
          </cell>
          <cell r="S72">
            <v>0</v>
          </cell>
          <cell r="T72">
            <v>0</v>
          </cell>
          <cell r="AG72">
            <v>0</v>
          </cell>
          <cell r="AH72">
            <v>0</v>
          </cell>
          <cell r="AI72">
            <v>0</v>
          </cell>
          <cell r="AJ72">
            <v>0</v>
          </cell>
          <cell r="AK72">
            <v>0</v>
          </cell>
          <cell r="AL72">
            <v>0</v>
          </cell>
          <cell r="AM72">
            <v>0</v>
          </cell>
          <cell r="AZ72">
            <v>0</v>
          </cell>
          <cell r="BA72">
            <v>0</v>
          </cell>
          <cell r="BB72">
            <v>0</v>
          </cell>
          <cell r="BC72">
            <v>0</v>
          </cell>
          <cell r="BD72">
            <v>0</v>
          </cell>
          <cell r="BE72">
            <v>0</v>
          </cell>
          <cell r="BF72">
            <v>0</v>
          </cell>
        </row>
        <row r="73">
          <cell r="A73" t="str">
            <v xml:space="preserve"> - Oil &amp; Fuel</v>
          </cell>
          <cell r="N73">
            <v>0</v>
          </cell>
          <cell r="O73">
            <v>0</v>
          </cell>
          <cell r="P73">
            <v>0</v>
          </cell>
          <cell r="Q73">
            <v>0</v>
          </cell>
          <cell r="R73">
            <v>0</v>
          </cell>
          <cell r="S73">
            <v>0</v>
          </cell>
          <cell r="T73">
            <v>0</v>
          </cell>
          <cell r="AG73">
            <v>0</v>
          </cell>
          <cell r="AH73">
            <v>0</v>
          </cell>
          <cell r="AI73">
            <v>0</v>
          </cell>
          <cell r="AJ73">
            <v>0</v>
          </cell>
          <cell r="AK73">
            <v>0</v>
          </cell>
          <cell r="AL73">
            <v>0</v>
          </cell>
          <cell r="AM73">
            <v>0</v>
          </cell>
          <cell r="AZ73">
            <v>0</v>
          </cell>
          <cell r="BA73">
            <v>0</v>
          </cell>
          <cell r="BB73">
            <v>0</v>
          </cell>
          <cell r="BC73">
            <v>0</v>
          </cell>
          <cell r="BD73">
            <v>0</v>
          </cell>
          <cell r="BE73">
            <v>0</v>
          </cell>
          <cell r="BF73">
            <v>0</v>
          </cell>
        </row>
        <row r="74">
          <cell r="A74" t="str">
            <v xml:space="preserve"> - SGA Maintenance</v>
          </cell>
          <cell r="N74">
            <v>0</v>
          </cell>
          <cell r="O74">
            <v>0</v>
          </cell>
          <cell r="P74">
            <v>0</v>
          </cell>
          <cell r="Q74">
            <v>0</v>
          </cell>
          <cell r="R74">
            <v>0</v>
          </cell>
          <cell r="S74">
            <v>0</v>
          </cell>
          <cell r="T74">
            <v>0</v>
          </cell>
          <cell r="AG74">
            <v>0</v>
          </cell>
          <cell r="AH74">
            <v>0</v>
          </cell>
          <cell r="AI74">
            <v>0</v>
          </cell>
          <cell r="AJ74">
            <v>0</v>
          </cell>
          <cell r="AK74">
            <v>0</v>
          </cell>
          <cell r="AL74">
            <v>0</v>
          </cell>
          <cell r="AM74">
            <v>0</v>
          </cell>
          <cell r="AZ74">
            <v>0</v>
          </cell>
          <cell r="BA74">
            <v>0</v>
          </cell>
          <cell r="BB74">
            <v>0</v>
          </cell>
          <cell r="BC74">
            <v>0</v>
          </cell>
          <cell r="BD74">
            <v>0</v>
          </cell>
          <cell r="BE74">
            <v>0</v>
          </cell>
          <cell r="BF74">
            <v>0</v>
          </cell>
        </row>
        <row r="75">
          <cell r="A75" t="str">
            <v xml:space="preserve"> - Fleet maintainence</v>
          </cell>
          <cell r="N75">
            <v>0</v>
          </cell>
          <cell r="O75">
            <v>0</v>
          </cell>
          <cell r="P75">
            <v>0</v>
          </cell>
          <cell r="Q75">
            <v>0</v>
          </cell>
          <cell r="R75">
            <v>0</v>
          </cell>
          <cell r="S75">
            <v>0</v>
          </cell>
          <cell r="T75">
            <v>0</v>
          </cell>
          <cell r="AG75">
            <v>0</v>
          </cell>
          <cell r="AH75">
            <v>0</v>
          </cell>
          <cell r="AI75">
            <v>0</v>
          </cell>
          <cell r="AJ75">
            <v>0</v>
          </cell>
          <cell r="AK75">
            <v>0</v>
          </cell>
          <cell r="AL75">
            <v>0</v>
          </cell>
          <cell r="AM75">
            <v>0</v>
          </cell>
          <cell r="AZ75">
            <v>0</v>
          </cell>
          <cell r="BA75">
            <v>0</v>
          </cell>
          <cell r="BB75">
            <v>0</v>
          </cell>
          <cell r="BC75">
            <v>0</v>
          </cell>
          <cell r="BD75">
            <v>0</v>
          </cell>
          <cell r="BE75">
            <v>0</v>
          </cell>
          <cell r="BF75">
            <v>0</v>
          </cell>
        </row>
        <row r="76">
          <cell r="A76" t="str">
            <v xml:space="preserve"> - Driver's Shortages (if any)</v>
          </cell>
          <cell r="N76">
            <v>0</v>
          </cell>
          <cell r="O76">
            <v>0</v>
          </cell>
          <cell r="P76">
            <v>0</v>
          </cell>
          <cell r="Q76">
            <v>0</v>
          </cell>
          <cell r="R76">
            <v>0</v>
          </cell>
          <cell r="S76">
            <v>0</v>
          </cell>
          <cell r="T76">
            <v>0</v>
          </cell>
          <cell r="AG76">
            <v>0</v>
          </cell>
          <cell r="AH76">
            <v>0</v>
          </cell>
          <cell r="AI76">
            <v>0</v>
          </cell>
          <cell r="AJ76">
            <v>0</v>
          </cell>
          <cell r="AK76">
            <v>0</v>
          </cell>
          <cell r="AL76">
            <v>0</v>
          </cell>
          <cell r="AM76">
            <v>0</v>
          </cell>
          <cell r="AZ76">
            <v>0</v>
          </cell>
          <cell r="BA76">
            <v>0</v>
          </cell>
          <cell r="BB76">
            <v>0</v>
          </cell>
          <cell r="BC76">
            <v>0</v>
          </cell>
          <cell r="BD76">
            <v>0</v>
          </cell>
          <cell r="BE76">
            <v>0</v>
          </cell>
          <cell r="BF76">
            <v>0</v>
          </cell>
        </row>
        <row r="77">
          <cell r="A77" t="str">
            <v xml:space="preserve"> - Depreciation  (Trucks)</v>
          </cell>
          <cell r="N77">
            <v>0</v>
          </cell>
          <cell r="O77">
            <v>0</v>
          </cell>
          <cell r="P77">
            <v>0</v>
          </cell>
          <cell r="Q77">
            <v>0</v>
          </cell>
          <cell r="R77">
            <v>0</v>
          </cell>
          <cell r="S77">
            <v>0</v>
          </cell>
          <cell r="T77">
            <v>0</v>
          </cell>
          <cell r="AG77">
            <v>0</v>
          </cell>
          <cell r="AH77">
            <v>0</v>
          </cell>
          <cell r="AI77">
            <v>0</v>
          </cell>
          <cell r="AJ77">
            <v>0</v>
          </cell>
          <cell r="AK77">
            <v>0</v>
          </cell>
          <cell r="AL77">
            <v>0</v>
          </cell>
          <cell r="AM77">
            <v>0</v>
          </cell>
          <cell r="AZ77">
            <v>0</v>
          </cell>
          <cell r="BA77">
            <v>0</v>
          </cell>
          <cell r="BB77">
            <v>0</v>
          </cell>
          <cell r="BC77">
            <v>0</v>
          </cell>
          <cell r="BD77">
            <v>0</v>
          </cell>
          <cell r="BE77">
            <v>0</v>
          </cell>
          <cell r="BF77">
            <v>0</v>
          </cell>
        </row>
        <row r="78">
          <cell r="A78" t="str">
            <v xml:space="preserve"> - Depreciation (SGA)</v>
          </cell>
          <cell r="N78">
            <v>0</v>
          </cell>
          <cell r="O78">
            <v>0</v>
          </cell>
          <cell r="P78">
            <v>0</v>
          </cell>
          <cell r="Q78">
            <v>0</v>
          </cell>
          <cell r="R78">
            <v>0</v>
          </cell>
          <cell r="S78">
            <v>0</v>
          </cell>
          <cell r="T78">
            <v>0</v>
          </cell>
          <cell r="AG78">
            <v>0</v>
          </cell>
          <cell r="AH78">
            <v>0</v>
          </cell>
          <cell r="AI78">
            <v>0</v>
          </cell>
          <cell r="AJ78">
            <v>0</v>
          </cell>
          <cell r="AK78">
            <v>0</v>
          </cell>
          <cell r="AL78">
            <v>0</v>
          </cell>
          <cell r="AM78">
            <v>0</v>
          </cell>
          <cell r="AZ78">
            <v>0</v>
          </cell>
          <cell r="BA78">
            <v>0</v>
          </cell>
          <cell r="BB78">
            <v>0</v>
          </cell>
          <cell r="BC78">
            <v>0</v>
          </cell>
          <cell r="BD78">
            <v>0</v>
          </cell>
          <cell r="BE78">
            <v>0</v>
          </cell>
          <cell r="BF78">
            <v>0</v>
          </cell>
        </row>
        <row r="79">
          <cell r="A79" t="str">
            <v xml:space="preserve"> - Ice Chest write off</v>
          </cell>
          <cell r="N79">
            <v>0</v>
          </cell>
          <cell r="O79">
            <v>0</v>
          </cell>
          <cell r="P79">
            <v>0</v>
          </cell>
          <cell r="Q79">
            <v>0</v>
          </cell>
          <cell r="R79">
            <v>0</v>
          </cell>
          <cell r="S79">
            <v>0</v>
          </cell>
          <cell r="T79">
            <v>0</v>
          </cell>
          <cell r="AG79">
            <v>0</v>
          </cell>
          <cell r="AH79">
            <v>0</v>
          </cell>
          <cell r="AI79">
            <v>0</v>
          </cell>
          <cell r="AJ79">
            <v>0</v>
          </cell>
          <cell r="AK79">
            <v>0</v>
          </cell>
          <cell r="AL79">
            <v>0</v>
          </cell>
          <cell r="AM79">
            <v>0</v>
          </cell>
          <cell r="AZ79">
            <v>0</v>
          </cell>
          <cell r="BA79">
            <v>0</v>
          </cell>
          <cell r="BB79">
            <v>0</v>
          </cell>
          <cell r="BC79">
            <v>0</v>
          </cell>
          <cell r="BD79">
            <v>0</v>
          </cell>
          <cell r="BE79">
            <v>0</v>
          </cell>
          <cell r="BF79">
            <v>0</v>
          </cell>
        </row>
        <row r="80">
          <cell r="A80" t="str">
            <v xml:space="preserve"> - Travel S&amp;D</v>
          </cell>
          <cell r="N80">
            <v>0</v>
          </cell>
          <cell r="O80">
            <v>0</v>
          </cell>
          <cell r="P80">
            <v>0</v>
          </cell>
          <cell r="Q80">
            <v>0</v>
          </cell>
          <cell r="R80">
            <v>0</v>
          </cell>
          <cell r="S80">
            <v>0</v>
          </cell>
          <cell r="T80">
            <v>0</v>
          </cell>
          <cell r="AG80">
            <v>0</v>
          </cell>
          <cell r="AH80">
            <v>0</v>
          </cell>
          <cell r="AI80">
            <v>0</v>
          </cell>
          <cell r="AJ80">
            <v>0</v>
          </cell>
          <cell r="AK80">
            <v>0</v>
          </cell>
          <cell r="AL80">
            <v>0</v>
          </cell>
          <cell r="AM80">
            <v>0</v>
          </cell>
          <cell r="AZ80">
            <v>0</v>
          </cell>
          <cell r="BA80">
            <v>0</v>
          </cell>
          <cell r="BB80">
            <v>0</v>
          </cell>
          <cell r="BC80">
            <v>0</v>
          </cell>
          <cell r="BD80">
            <v>0</v>
          </cell>
          <cell r="BE80">
            <v>0</v>
          </cell>
          <cell r="BF80">
            <v>0</v>
          </cell>
        </row>
        <row r="81">
          <cell r="A81" t="str">
            <v xml:space="preserve"> - Utilities - S&amp;D</v>
          </cell>
          <cell r="N81">
            <v>0</v>
          </cell>
          <cell r="O81">
            <v>0</v>
          </cell>
          <cell r="P81">
            <v>0</v>
          </cell>
          <cell r="Q81">
            <v>0</v>
          </cell>
          <cell r="R81">
            <v>0</v>
          </cell>
          <cell r="S81">
            <v>0</v>
          </cell>
          <cell r="T81">
            <v>0</v>
          </cell>
          <cell r="AG81">
            <v>0</v>
          </cell>
          <cell r="AH81">
            <v>0</v>
          </cell>
          <cell r="AI81">
            <v>0</v>
          </cell>
          <cell r="AJ81">
            <v>0</v>
          </cell>
          <cell r="AK81">
            <v>0</v>
          </cell>
          <cell r="AL81">
            <v>0</v>
          </cell>
          <cell r="AM81">
            <v>0</v>
          </cell>
          <cell r="AZ81">
            <v>0</v>
          </cell>
          <cell r="BA81">
            <v>0</v>
          </cell>
          <cell r="BB81">
            <v>0</v>
          </cell>
          <cell r="BC81">
            <v>0</v>
          </cell>
          <cell r="BD81">
            <v>0</v>
          </cell>
          <cell r="BE81">
            <v>0</v>
          </cell>
          <cell r="BF81">
            <v>0</v>
          </cell>
        </row>
        <row r="82">
          <cell r="A82" t="str">
            <v xml:space="preserve"> - Bad Debts (Liquid)</v>
          </cell>
          <cell r="N82">
            <v>0</v>
          </cell>
          <cell r="O82">
            <v>0</v>
          </cell>
          <cell r="P82">
            <v>0</v>
          </cell>
          <cell r="Q82">
            <v>0</v>
          </cell>
          <cell r="R82">
            <v>0</v>
          </cell>
          <cell r="S82">
            <v>0</v>
          </cell>
          <cell r="T82">
            <v>0</v>
          </cell>
          <cell r="AG82">
            <v>0</v>
          </cell>
          <cell r="AH82">
            <v>0</v>
          </cell>
          <cell r="AI82">
            <v>0</v>
          </cell>
          <cell r="AJ82">
            <v>0</v>
          </cell>
          <cell r="AK82">
            <v>0</v>
          </cell>
          <cell r="AL82">
            <v>0</v>
          </cell>
          <cell r="AM82">
            <v>0</v>
          </cell>
          <cell r="AZ82">
            <v>0</v>
          </cell>
          <cell r="BA82">
            <v>0</v>
          </cell>
          <cell r="BB82">
            <v>0</v>
          </cell>
          <cell r="BC82">
            <v>0</v>
          </cell>
          <cell r="BD82">
            <v>0</v>
          </cell>
          <cell r="BE82">
            <v>0</v>
          </cell>
          <cell r="BF82">
            <v>0</v>
          </cell>
        </row>
        <row r="83">
          <cell r="A83" t="str">
            <v xml:space="preserve"> - Bad Debts (Glass)</v>
          </cell>
          <cell r="N83">
            <v>0</v>
          </cell>
          <cell r="O83">
            <v>0</v>
          </cell>
          <cell r="P83">
            <v>0</v>
          </cell>
          <cell r="Q83">
            <v>0</v>
          </cell>
          <cell r="R83">
            <v>0</v>
          </cell>
          <cell r="S83">
            <v>0</v>
          </cell>
          <cell r="T83">
            <v>0</v>
          </cell>
          <cell r="AG83">
            <v>0</v>
          </cell>
          <cell r="AH83">
            <v>0</v>
          </cell>
          <cell r="AI83">
            <v>0</v>
          </cell>
          <cell r="AJ83">
            <v>0</v>
          </cell>
          <cell r="AK83">
            <v>0</v>
          </cell>
          <cell r="AL83">
            <v>0</v>
          </cell>
          <cell r="AM83">
            <v>0</v>
          </cell>
          <cell r="AZ83">
            <v>0</v>
          </cell>
          <cell r="BA83">
            <v>0</v>
          </cell>
          <cell r="BB83">
            <v>0</v>
          </cell>
          <cell r="BC83">
            <v>0</v>
          </cell>
          <cell r="BD83">
            <v>0</v>
          </cell>
          <cell r="BE83">
            <v>0</v>
          </cell>
          <cell r="BF83">
            <v>0</v>
          </cell>
        </row>
        <row r="84">
          <cell r="A84" t="str">
            <v xml:space="preserve"> - Pallet Expenses - S&amp;D</v>
          </cell>
          <cell r="N84">
            <v>0</v>
          </cell>
          <cell r="O84">
            <v>0</v>
          </cell>
          <cell r="P84">
            <v>0</v>
          </cell>
          <cell r="Q84">
            <v>0</v>
          </cell>
          <cell r="R84">
            <v>0</v>
          </cell>
          <cell r="S84">
            <v>0</v>
          </cell>
          <cell r="T84">
            <v>0</v>
          </cell>
          <cell r="AG84">
            <v>0</v>
          </cell>
          <cell r="AH84">
            <v>0</v>
          </cell>
          <cell r="AI84">
            <v>0</v>
          </cell>
          <cell r="AJ84">
            <v>0</v>
          </cell>
          <cell r="AK84">
            <v>0</v>
          </cell>
          <cell r="AL84">
            <v>0</v>
          </cell>
          <cell r="AM84">
            <v>0</v>
          </cell>
          <cell r="AZ84">
            <v>0</v>
          </cell>
          <cell r="BA84">
            <v>0</v>
          </cell>
          <cell r="BB84">
            <v>0</v>
          </cell>
          <cell r="BC84">
            <v>0</v>
          </cell>
          <cell r="BD84">
            <v>0</v>
          </cell>
          <cell r="BE84">
            <v>0</v>
          </cell>
          <cell r="BF84">
            <v>0</v>
          </cell>
        </row>
        <row r="85">
          <cell r="A85" t="str">
            <v xml:space="preserve"> - Empty Exchange</v>
          </cell>
          <cell r="N85">
            <v>0</v>
          </cell>
          <cell r="O85">
            <v>0</v>
          </cell>
          <cell r="P85">
            <v>0</v>
          </cell>
          <cell r="Q85">
            <v>0</v>
          </cell>
          <cell r="R85">
            <v>0</v>
          </cell>
          <cell r="S85">
            <v>0</v>
          </cell>
          <cell r="T85">
            <v>0</v>
          </cell>
          <cell r="AG85">
            <v>0</v>
          </cell>
          <cell r="AH85">
            <v>0</v>
          </cell>
          <cell r="AI85">
            <v>0</v>
          </cell>
          <cell r="AJ85">
            <v>0</v>
          </cell>
          <cell r="AK85">
            <v>0</v>
          </cell>
          <cell r="AL85">
            <v>0</v>
          </cell>
          <cell r="AM85">
            <v>0</v>
          </cell>
          <cell r="AZ85">
            <v>0</v>
          </cell>
          <cell r="BA85">
            <v>0</v>
          </cell>
          <cell r="BB85">
            <v>0</v>
          </cell>
          <cell r="BC85">
            <v>0</v>
          </cell>
          <cell r="BD85">
            <v>0</v>
          </cell>
          <cell r="BE85">
            <v>0</v>
          </cell>
          <cell r="BF85">
            <v>0</v>
          </cell>
        </row>
        <row r="86">
          <cell r="A86" t="str">
            <v xml:space="preserve"> - Telecommunications - S&amp;D</v>
          </cell>
          <cell r="N86">
            <v>0</v>
          </cell>
          <cell r="O86">
            <v>0</v>
          </cell>
          <cell r="P86">
            <v>0</v>
          </cell>
          <cell r="Q86">
            <v>0</v>
          </cell>
          <cell r="R86">
            <v>0</v>
          </cell>
          <cell r="S86">
            <v>0</v>
          </cell>
          <cell r="T86">
            <v>0</v>
          </cell>
          <cell r="AG86">
            <v>0</v>
          </cell>
          <cell r="AH86">
            <v>0</v>
          </cell>
          <cell r="AI86">
            <v>0</v>
          </cell>
          <cell r="AJ86">
            <v>0</v>
          </cell>
          <cell r="AK86">
            <v>0</v>
          </cell>
          <cell r="AL86">
            <v>0</v>
          </cell>
          <cell r="AM86">
            <v>0</v>
          </cell>
          <cell r="AZ86">
            <v>0</v>
          </cell>
          <cell r="BA86">
            <v>0</v>
          </cell>
          <cell r="BB86">
            <v>0</v>
          </cell>
          <cell r="BC86">
            <v>0</v>
          </cell>
          <cell r="BD86">
            <v>0</v>
          </cell>
          <cell r="BE86">
            <v>0</v>
          </cell>
          <cell r="BF86">
            <v>0</v>
          </cell>
        </row>
        <row r="87">
          <cell r="A87" t="str">
            <v xml:space="preserve"> - Supplies - General - Stationary - S&amp;D</v>
          </cell>
          <cell r="N87">
            <v>0</v>
          </cell>
          <cell r="O87">
            <v>0</v>
          </cell>
          <cell r="P87">
            <v>0</v>
          </cell>
          <cell r="Q87">
            <v>0</v>
          </cell>
          <cell r="R87">
            <v>0</v>
          </cell>
          <cell r="S87">
            <v>0</v>
          </cell>
          <cell r="T87">
            <v>0</v>
          </cell>
          <cell r="AG87">
            <v>0</v>
          </cell>
          <cell r="AH87">
            <v>0</v>
          </cell>
          <cell r="AI87">
            <v>0</v>
          </cell>
          <cell r="AJ87">
            <v>0</v>
          </cell>
          <cell r="AK87">
            <v>0</v>
          </cell>
          <cell r="AL87">
            <v>0</v>
          </cell>
          <cell r="AM87">
            <v>0</v>
          </cell>
          <cell r="AZ87">
            <v>0</v>
          </cell>
          <cell r="BA87">
            <v>0</v>
          </cell>
          <cell r="BB87">
            <v>0</v>
          </cell>
          <cell r="BC87">
            <v>0</v>
          </cell>
          <cell r="BD87">
            <v>0</v>
          </cell>
          <cell r="BE87">
            <v>0</v>
          </cell>
          <cell r="BF87">
            <v>0</v>
          </cell>
        </row>
        <row r="88">
          <cell r="A88" t="str">
            <v xml:space="preserve"> - Other S&amp;D</v>
          </cell>
          <cell r="N88">
            <v>0</v>
          </cell>
          <cell r="O88">
            <v>0</v>
          </cell>
          <cell r="P88">
            <v>0</v>
          </cell>
          <cell r="Q88">
            <v>0</v>
          </cell>
          <cell r="R88">
            <v>0</v>
          </cell>
          <cell r="S88">
            <v>0</v>
          </cell>
          <cell r="T88">
            <v>0</v>
          </cell>
          <cell r="AG88">
            <v>0</v>
          </cell>
          <cell r="AH88">
            <v>0</v>
          </cell>
          <cell r="AI88">
            <v>0</v>
          </cell>
          <cell r="AJ88">
            <v>0</v>
          </cell>
          <cell r="AK88">
            <v>0</v>
          </cell>
          <cell r="AL88">
            <v>0</v>
          </cell>
          <cell r="AM88">
            <v>0</v>
          </cell>
          <cell r="AZ88">
            <v>0</v>
          </cell>
          <cell r="BA88">
            <v>0</v>
          </cell>
          <cell r="BB88">
            <v>0</v>
          </cell>
          <cell r="BC88">
            <v>0</v>
          </cell>
          <cell r="BD88">
            <v>0</v>
          </cell>
          <cell r="BE88">
            <v>0</v>
          </cell>
          <cell r="BF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row>
        <row r="90">
          <cell r="A90" t="str">
            <v>Marketing Expenses</v>
          </cell>
        </row>
        <row r="91">
          <cell r="A91" t="str">
            <v xml:space="preserve"> - Direct Mktg Exps </v>
          </cell>
          <cell r="N91">
            <v>0</v>
          </cell>
          <cell r="O91">
            <v>0</v>
          </cell>
          <cell r="P91">
            <v>0</v>
          </cell>
          <cell r="Q91">
            <v>0</v>
          </cell>
          <cell r="R91">
            <v>0</v>
          </cell>
          <cell r="S91">
            <v>0</v>
          </cell>
          <cell r="T91">
            <v>0</v>
          </cell>
          <cell r="AG91">
            <v>0</v>
          </cell>
          <cell r="AH91">
            <v>0</v>
          </cell>
          <cell r="AI91">
            <v>0</v>
          </cell>
          <cell r="AJ91">
            <v>0</v>
          </cell>
          <cell r="AK91">
            <v>0</v>
          </cell>
          <cell r="AL91">
            <v>0</v>
          </cell>
          <cell r="AM91">
            <v>0</v>
          </cell>
          <cell r="AZ91">
            <v>0</v>
          </cell>
          <cell r="BA91">
            <v>0</v>
          </cell>
          <cell r="BB91">
            <v>0</v>
          </cell>
          <cell r="BC91">
            <v>0</v>
          </cell>
          <cell r="BD91">
            <v>0</v>
          </cell>
          <cell r="BE91">
            <v>0</v>
          </cell>
          <cell r="BF91">
            <v>0</v>
          </cell>
        </row>
        <row r="92">
          <cell r="A92" t="str">
            <v xml:space="preserve">  - Other Marketing</v>
          </cell>
          <cell r="N92">
            <v>0</v>
          </cell>
          <cell r="O92">
            <v>0</v>
          </cell>
          <cell r="P92">
            <v>0</v>
          </cell>
          <cell r="Q92">
            <v>0</v>
          </cell>
          <cell r="R92">
            <v>0</v>
          </cell>
          <cell r="S92">
            <v>0</v>
          </cell>
          <cell r="T92">
            <v>0</v>
          </cell>
          <cell r="AG92">
            <v>0</v>
          </cell>
          <cell r="AH92">
            <v>0</v>
          </cell>
          <cell r="AI92">
            <v>0</v>
          </cell>
          <cell r="AJ92">
            <v>0</v>
          </cell>
          <cell r="AK92">
            <v>0</v>
          </cell>
          <cell r="AL92">
            <v>0</v>
          </cell>
          <cell r="AM92">
            <v>0</v>
          </cell>
          <cell r="AZ92">
            <v>0</v>
          </cell>
          <cell r="BA92">
            <v>0</v>
          </cell>
          <cell r="BB92">
            <v>0</v>
          </cell>
          <cell r="BC92">
            <v>0</v>
          </cell>
          <cell r="BD92">
            <v>0</v>
          </cell>
          <cell r="BE92">
            <v>0</v>
          </cell>
          <cell r="BF92">
            <v>0</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row>
        <row r="94">
          <cell r="A94" t="str">
            <v>Admin Expenses</v>
          </cell>
        </row>
        <row r="95">
          <cell r="A95" t="str">
            <v xml:space="preserve"> - Comp &amp; Benefits (Permanent) Admin</v>
          </cell>
          <cell r="N95">
            <v>0</v>
          </cell>
          <cell r="O95">
            <v>0</v>
          </cell>
          <cell r="P95">
            <v>0</v>
          </cell>
          <cell r="Q95">
            <v>0</v>
          </cell>
          <cell r="R95">
            <v>0</v>
          </cell>
          <cell r="S95">
            <v>0</v>
          </cell>
          <cell r="T95">
            <v>0</v>
          </cell>
          <cell r="AG95">
            <v>0</v>
          </cell>
          <cell r="AH95">
            <v>0</v>
          </cell>
          <cell r="AI95">
            <v>0</v>
          </cell>
          <cell r="AJ95">
            <v>0</v>
          </cell>
          <cell r="AK95">
            <v>0</v>
          </cell>
          <cell r="AL95">
            <v>0</v>
          </cell>
          <cell r="AM95">
            <v>0</v>
          </cell>
          <cell r="AZ95">
            <v>0</v>
          </cell>
          <cell r="BA95">
            <v>0</v>
          </cell>
          <cell r="BB95">
            <v>0</v>
          </cell>
          <cell r="BC95">
            <v>0</v>
          </cell>
          <cell r="BD95">
            <v>0</v>
          </cell>
          <cell r="BE95">
            <v>0</v>
          </cell>
          <cell r="BF95">
            <v>0</v>
          </cell>
        </row>
        <row r="96">
          <cell r="A96" t="str">
            <v xml:space="preserve"> - Comp &amp; Benefits (Casual) Admin</v>
          </cell>
          <cell r="N96">
            <v>0</v>
          </cell>
          <cell r="O96">
            <v>0</v>
          </cell>
          <cell r="P96">
            <v>0</v>
          </cell>
          <cell r="Q96">
            <v>0</v>
          </cell>
          <cell r="R96">
            <v>0</v>
          </cell>
          <cell r="S96">
            <v>0</v>
          </cell>
          <cell r="T96">
            <v>0</v>
          </cell>
          <cell r="AG96">
            <v>0</v>
          </cell>
          <cell r="AH96">
            <v>0</v>
          </cell>
          <cell r="AI96">
            <v>0</v>
          </cell>
          <cell r="AJ96">
            <v>0</v>
          </cell>
          <cell r="AK96">
            <v>0</v>
          </cell>
          <cell r="AL96">
            <v>0</v>
          </cell>
          <cell r="AM96">
            <v>0</v>
          </cell>
          <cell r="AZ96">
            <v>0</v>
          </cell>
          <cell r="BA96">
            <v>0</v>
          </cell>
          <cell r="BB96">
            <v>0</v>
          </cell>
          <cell r="BC96">
            <v>0</v>
          </cell>
          <cell r="BD96">
            <v>0</v>
          </cell>
          <cell r="BE96">
            <v>0</v>
          </cell>
          <cell r="BF96">
            <v>0</v>
          </cell>
        </row>
        <row r="97">
          <cell r="A97" t="str">
            <v xml:space="preserve"> - Recruitment, Relocation &amp; Training</v>
          </cell>
          <cell r="N97">
            <v>0</v>
          </cell>
          <cell r="O97">
            <v>0</v>
          </cell>
          <cell r="P97">
            <v>0</v>
          </cell>
          <cell r="Q97">
            <v>0</v>
          </cell>
          <cell r="R97">
            <v>0</v>
          </cell>
          <cell r="S97">
            <v>0</v>
          </cell>
          <cell r="T97">
            <v>0</v>
          </cell>
          <cell r="AG97">
            <v>0</v>
          </cell>
          <cell r="AH97">
            <v>0</v>
          </cell>
          <cell r="AI97">
            <v>0</v>
          </cell>
          <cell r="AJ97">
            <v>0</v>
          </cell>
          <cell r="AK97">
            <v>0</v>
          </cell>
          <cell r="AL97">
            <v>0</v>
          </cell>
          <cell r="AM97">
            <v>0</v>
          </cell>
          <cell r="AZ97">
            <v>0</v>
          </cell>
          <cell r="BA97">
            <v>0</v>
          </cell>
          <cell r="BB97">
            <v>0</v>
          </cell>
          <cell r="BC97">
            <v>0</v>
          </cell>
          <cell r="BD97">
            <v>0</v>
          </cell>
          <cell r="BE97">
            <v>0</v>
          </cell>
          <cell r="BF97">
            <v>0</v>
          </cell>
        </row>
        <row r="98">
          <cell r="A98" t="str">
            <v xml:space="preserve"> - Travel Admin</v>
          </cell>
          <cell r="N98">
            <v>0</v>
          </cell>
          <cell r="O98">
            <v>0</v>
          </cell>
          <cell r="P98">
            <v>0</v>
          </cell>
          <cell r="Q98">
            <v>0</v>
          </cell>
          <cell r="R98">
            <v>0</v>
          </cell>
          <cell r="S98">
            <v>0</v>
          </cell>
          <cell r="T98">
            <v>0</v>
          </cell>
          <cell r="AG98">
            <v>0</v>
          </cell>
          <cell r="AH98">
            <v>0</v>
          </cell>
          <cell r="AI98">
            <v>0</v>
          </cell>
          <cell r="AJ98">
            <v>0</v>
          </cell>
          <cell r="AK98">
            <v>0</v>
          </cell>
          <cell r="AL98">
            <v>0</v>
          </cell>
          <cell r="AM98">
            <v>0</v>
          </cell>
          <cell r="AZ98">
            <v>0</v>
          </cell>
          <cell r="BA98">
            <v>0</v>
          </cell>
          <cell r="BB98">
            <v>0</v>
          </cell>
          <cell r="BC98">
            <v>0</v>
          </cell>
          <cell r="BD98">
            <v>0</v>
          </cell>
          <cell r="BE98">
            <v>0</v>
          </cell>
          <cell r="BF98">
            <v>0</v>
          </cell>
        </row>
        <row r="99">
          <cell r="A99" t="str">
            <v xml:space="preserve"> - Communication</v>
          </cell>
          <cell r="N99">
            <v>0</v>
          </cell>
          <cell r="O99">
            <v>0</v>
          </cell>
          <cell r="P99">
            <v>0</v>
          </cell>
          <cell r="Q99">
            <v>0</v>
          </cell>
          <cell r="R99">
            <v>0</v>
          </cell>
          <cell r="S99">
            <v>0</v>
          </cell>
          <cell r="T99">
            <v>0</v>
          </cell>
          <cell r="AG99">
            <v>0</v>
          </cell>
          <cell r="AH99">
            <v>0</v>
          </cell>
          <cell r="AI99">
            <v>0</v>
          </cell>
          <cell r="AJ99">
            <v>0</v>
          </cell>
          <cell r="AK99">
            <v>0</v>
          </cell>
          <cell r="AL99">
            <v>0</v>
          </cell>
          <cell r="AM99">
            <v>0</v>
          </cell>
          <cell r="AZ99">
            <v>0</v>
          </cell>
          <cell r="BA99">
            <v>0</v>
          </cell>
          <cell r="BB99">
            <v>0</v>
          </cell>
          <cell r="BC99">
            <v>0</v>
          </cell>
          <cell r="BD99">
            <v>0</v>
          </cell>
          <cell r="BE99">
            <v>0</v>
          </cell>
          <cell r="BF99">
            <v>0</v>
          </cell>
        </row>
        <row r="100">
          <cell r="A100" t="str">
            <v xml:space="preserve"> - IS Expenses</v>
          </cell>
          <cell r="N100">
            <v>0</v>
          </cell>
          <cell r="O100">
            <v>0</v>
          </cell>
          <cell r="P100">
            <v>0</v>
          </cell>
          <cell r="Q100">
            <v>0</v>
          </cell>
          <cell r="R100">
            <v>0</v>
          </cell>
          <cell r="S100">
            <v>0</v>
          </cell>
          <cell r="T100">
            <v>0</v>
          </cell>
          <cell r="AG100">
            <v>0</v>
          </cell>
          <cell r="AH100">
            <v>0</v>
          </cell>
          <cell r="AI100">
            <v>0</v>
          </cell>
          <cell r="AJ100">
            <v>0</v>
          </cell>
          <cell r="AK100">
            <v>0</v>
          </cell>
          <cell r="AL100">
            <v>0</v>
          </cell>
          <cell r="AM100">
            <v>0</v>
          </cell>
          <cell r="AZ100">
            <v>0</v>
          </cell>
          <cell r="BA100">
            <v>0</v>
          </cell>
          <cell r="BB100">
            <v>0</v>
          </cell>
          <cell r="BC100">
            <v>0</v>
          </cell>
          <cell r="BD100">
            <v>0</v>
          </cell>
          <cell r="BE100">
            <v>0</v>
          </cell>
          <cell r="BF100">
            <v>0</v>
          </cell>
        </row>
        <row r="101">
          <cell r="A101" t="str">
            <v xml:space="preserve"> - Printing / Stationery</v>
          </cell>
          <cell r="N101">
            <v>0</v>
          </cell>
          <cell r="O101">
            <v>0</v>
          </cell>
          <cell r="P101">
            <v>0</v>
          </cell>
          <cell r="Q101">
            <v>0</v>
          </cell>
          <cell r="R101">
            <v>0</v>
          </cell>
          <cell r="S101">
            <v>0</v>
          </cell>
          <cell r="T101">
            <v>0</v>
          </cell>
          <cell r="AG101">
            <v>0</v>
          </cell>
          <cell r="AH101">
            <v>0</v>
          </cell>
          <cell r="AI101">
            <v>0</v>
          </cell>
          <cell r="AJ101">
            <v>0</v>
          </cell>
          <cell r="AK101">
            <v>0</v>
          </cell>
          <cell r="AL101">
            <v>0</v>
          </cell>
          <cell r="AM101">
            <v>0</v>
          </cell>
          <cell r="AZ101">
            <v>0</v>
          </cell>
          <cell r="BA101">
            <v>0</v>
          </cell>
          <cell r="BB101">
            <v>0</v>
          </cell>
          <cell r="BC101">
            <v>0</v>
          </cell>
          <cell r="BD101">
            <v>0</v>
          </cell>
          <cell r="BE101">
            <v>0</v>
          </cell>
          <cell r="BF101">
            <v>0</v>
          </cell>
        </row>
        <row r="102">
          <cell r="A102" t="str">
            <v xml:space="preserve"> - Meetings / Conferences</v>
          </cell>
          <cell r="N102">
            <v>0</v>
          </cell>
          <cell r="O102">
            <v>0</v>
          </cell>
          <cell r="P102">
            <v>0</v>
          </cell>
          <cell r="Q102">
            <v>0</v>
          </cell>
          <cell r="R102">
            <v>0</v>
          </cell>
          <cell r="S102">
            <v>0</v>
          </cell>
          <cell r="T102">
            <v>0</v>
          </cell>
          <cell r="AG102">
            <v>0</v>
          </cell>
          <cell r="AH102">
            <v>0</v>
          </cell>
          <cell r="AI102">
            <v>0</v>
          </cell>
          <cell r="AJ102">
            <v>0</v>
          </cell>
          <cell r="AK102">
            <v>0</v>
          </cell>
          <cell r="AL102">
            <v>0</v>
          </cell>
          <cell r="AM102">
            <v>0</v>
          </cell>
          <cell r="AZ102">
            <v>0</v>
          </cell>
          <cell r="BA102">
            <v>0</v>
          </cell>
          <cell r="BB102">
            <v>0</v>
          </cell>
          <cell r="BC102">
            <v>0</v>
          </cell>
          <cell r="BD102">
            <v>0</v>
          </cell>
          <cell r="BE102">
            <v>0</v>
          </cell>
          <cell r="BF102">
            <v>0</v>
          </cell>
        </row>
        <row r="103">
          <cell r="A103" t="str">
            <v xml:space="preserve"> - Consultancy / Services</v>
          </cell>
          <cell r="N103">
            <v>0</v>
          </cell>
          <cell r="O103">
            <v>0</v>
          </cell>
          <cell r="P103">
            <v>0</v>
          </cell>
          <cell r="Q103">
            <v>0</v>
          </cell>
          <cell r="R103">
            <v>0</v>
          </cell>
          <cell r="S103">
            <v>0</v>
          </cell>
          <cell r="T103">
            <v>0</v>
          </cell>
          <cell r="AG103">
            <v>0</v>
          </cell>
          <cell r="AH103">
            <v>0</v>
          </cell>
          <cell r="AI103">
            <v>0</v>
          </cell>
          <cell r="AJ103">
            <v>0</v>
          </cell>
          <cell r="AK103">
            <v>0</v>
          </cell>
          <cell r="AL103">
            <v>0</v>
          </cell>
          <cell r="AM103">
            <v>0</v>
          </cell>
          <cell r="AZ103">
            <v>0</v>
          </cell>
          <cell r="BA103">
            <v>0</v>
          </cell>
          <cell r="BB103">
            <v>0</v>
          </cell>
          <cell r="BC103">
            <v>0</v>
          </cell>
          <cell r="BD103">
            <v>0</v>
          </cell>
          <cell r="BE103">
            <v>0</v>
          </cell>
          <cell r="BF103">
            <v>0</v>
          </cell>
        </row>
        <row r="104">
          <cell r="A104" t="str">
            <v xml:space="preserve"> - Insurance</v>
          </cell>
          <cell r="N104">
            <v>0</v>
          </cell>
          <cell r="O104">
            <v>0</v>
          </cell>
          <cell r="P104">
            <v>0</v>
          </cell>
          <cell r="Q104">
            <v>0</v>
          </cell>
          <cell r="R104">
            <v>0</v>
          </cell>
          <cell r="S104">
            <v>0</v>
          </cell>
          <cell r="T104">
            <v>0</v>
          </cell>
          <cell r="AG104">
            <v>0</v>
          </cell>
          <cell r="AH104">
            <v>0</v>
          </cell>
          <cell r="AI104">
            <v>0</v>
          </cell>
          <cell r="AJ104">
            <v>0</v>
          </cell>
          <cell r="AK104">
            <v>0</v>
          </cell>
          <cell r="AL104">
            <v>0</v>
          </cell>
          <cell r="AM104">
            <v>0</v>
          </cell>
          <cell r="AZ104">
            <v>0</v>
          </cell>
          <cell r="BA104">
            <v>0</v>
          </cell>
          <cell r="BB104">
            <v>0</v>
          </cell>
          <cell r="BC104">
            <v>0</v>
          </cell>
          <cell r="BD104">
            <v>0</v>
          </cell>
          <cell r="BE104">
            <v>0</v>
          </cell>
          <cell r="BF104">
            <v>0</v>
          </cell>
        </row>
        <row r="105">
          <cell r="A105" t="str">
            <v xml:space="preserve"> - Staff Welfare Admin</v>
          </cell>
          <cell r="N105">
            <v>0</v>
          </cell>
          <cell r="O105">
            <v>0</v>
          </cell>
          <cell r="P105">
            <v>0</v>
          </cell>
          <cell r="Q105">
            <v>0</v>
          </cell>
          <cell r="R105">
            <v>0</v>
          </cell>
          <cell r="S105">
            <v>0</v>
          </cell>
          <cell r="T105">
            <v>0</v>
          </cell>
          <cell r="AG105">
            <v>0</v>
          </cell>
          <cell r="AH105">
            <v>0</v>
          </cell>
          <cell r="AI105">
            <v>0</v>
          </cell>
          <cell r="AJ105">
            <v>0</v>
          </cell>
          <cell r="AK105">
            <v>0</v>
          </cell>
          <cell r="AL105">
            <v>0</v>
          </cell>
          <cell r="AM105">
            <v>0</v>
          </cell>
          <cell r="AZ105">
            <v>0</v>
          </cell>
          <cell r="BA105">
            <v>0</v>
          </cell>
          <cell r="BB105">
            <v>0</v>
          </cell>
          <cell r="BC105">
            <v>0</v>
          </cell>
          <cell r="BD105">
            <v>0</v>
          </cell>
          <cell r="BE105">
            <v>0</v>
          </cell>
          <cell r="BF105">
            <v>0</v>
          </cell>
        </row>
        <row r="106">
          <cell r="A106" t="str">
            <v xml:space="preserve">  - Depreciation (Automobiles)</v>
          </cell>
          <cell r="N106">
            <v>0</v>
          </cell>
          <cell r="O106">
            <v>0</v>
          </cell>
          <cell r="P106">
            <v>0</v>
          </cell>
          <cell r="Q106">
            <v>0</v>
          </cell>
          <cell r="R106">
            <v>0</v>
          </cell>
          <cell r="S106">
            <v>0</v>
          </cell>
          <cell r="T106">
            <v>0</v>
          </cell>
          <cell r="AG106">
            <v>0</v>
          </cell>
          <cell r="AH106">
            <v>0</v>
          </cell>
          <cell r="AI106">
            <v>0</v>
          </cell>
          <cell r="AJ106">
            <v>0</v>
          </cell>
          <cell r="AK106">
            <v>0</v>
          </cell>
          <cell r="AL106">
            <v>0</v>
          </cell>
          <cell r="AM106">
            <v>0</v>
          </cell>
          <cell r="AZ106">
            <v>0</v>
          </cell>
          <cell r="BA106">
            <v>0</v>
          </cell>
          <cell r="BB106">
            <v>0</v>
          </cell>
          <cell r="BC106">
            <v>0</v>
          </cell>
          <cell r="BD106">
            <v>0</v>
          </cell>
          <cell r="BE106">
            <v>0</v>
          </cell>
          <cell r="BF106">
            <v>0</v>
          </cell>
        </row>
        <row r="107">
          <cell r="A107" t="str">
            <v xml:space="preserve">  - Depreciation (IS)</v>
          </cell>
          <cell r="N107">
            <v>0</v>
          </cell>
          <cell r="O107">
            <v>0</v>
          </cell>
          <cell r="P107">
            <v>0</v>
          </cell>
          <cell r="Q107">
            <v>0</v>
          </cell>
          <cell r="R107">
            <v>0</v>
          </cell>
          <cell r="S107">
            <v>0</v>
          </cell>
          <cell r="T107">
            <v>0</v>
          </cell>
          <cell r="AG107">
            <v>0</v>
          </cell>
          <cell r="AH107">
            <v>0</v>
          </cell>
          <cell r="AI107">
            <v>0</v>
          </cell>
          <cell r="AJ107">
            <v>0</v>
          </cell>
          <cell r="AK107">
            <v>0</v>
          </cell>
          <cell r="AL107">
            <v>0</v>
          </cell>
          <cell r="AM107">
            <v>0</v>
          </cell>
          <cell r="AZ107">
            <v>0</v>
          </cell>
          <cell r="BA107">
            <v>0</v>
          </cell>
          <cell r="BB107">
            <v>0</v>
          </cell>
          <cell r="BC107">
            <v>0</v>
          </cell>
          <cell r="BD107">
            <v>0</v>
          </cell>
          <cell r="BE107">
            <v>0</v>
          </cell>
          <cell r="BF107">
            <v>0</v>
          </cell>
        </row>
        <row r="108">
          <cell r="A108" t="str">
            <v xml:space="preserve">  - Depreciation (Furniture &amp; Fixtures)</v>
          </cell>
          <cell r="N108">
            <v>0</v>
          </cell>
          <cell r="O108">
            <v>0</v>
          </cell>
          <cell r="P108">
            <v>0</v>
          </cell>
          <cell r="Q108">
            <v>0</v>
          </cell>
          <cell r="R108">
            <v>0</v>
          </cell>
          <cell r="S108">
            <v>0</v>
          </cell>
          <cell r="T108">
            <v>0</v>
          </cell>
          <cell r="AG108">
            <v>0</v>
          </cell>
          <cell r="AH108">
            <v>0</v>
          </cell>
          <cell r="AI108">
            <v>0</v>
          </cell>
          <cell r="AJ108">
            <v>0</v>
          </cell>
          <cell r="AK108">
            <v>0</v>
          </cell>
          <cell r="AL108">
            <v>0</v>
          </cell>
          <cell r="AM108">
            <v>0</v>
          </cell>
          <cell r="AZ108">
            <v>0</v>
          </cell>
          <cell r="BA108">
            <v>0</v>
          </cell>
          <cell r="BB108">
            <v>0</v>
          </cell>
          <cell r="BC108">
            <v>0</v>
          </cell>
          <cell r="BD108">
            <v>0</v>
          </cell>
          <cell r="BE108">
            <v>0</v>
          </cell>
          <cell r="BF108">
            <v>0</v>
          </cell>
        </row>
        <row r="109">
          <cell r="A109" t="str">
            <v xml:space="preserve"> - G'will / Non compete Amortisation</v>
          </cell>
          <cell r="N109">
            <v>0</v>
          </cell>
          <cell r="O109">
            <v>0</v>
          </cell>
          <cell r="P109">
            <v>0</v>
          </cell>
          <cell r="Q109">
            <v>0</v>
          </cell>
          <cell r="R109">
            <v>0</v>
          </cell>
          <cell r="S109">
            <v>0</v>
          </cell>
          <cell r="T109">
            <v>0</v>
          </cell>
          <cell r="AG109">
            <v>0</v>
          </cell>
          <cell r="AH109">
            <v>0</v>
          </cell>
          <cell r="AI109">
            <v>0</v>
          </cell>
          <cell r="AJ109">
            <v>0</v>
          </cell>
          <cell r="AK109">
            <v>0</v>
          </cell>
          <cell r="AL109">
            <v>0</v>
          </cell>
          <cell r="AM109">
            <v>0</v>
          </cell>
          <cell r="AZ109">
            <v>0</v>
          </cell>
          <cell r="BA109">
            <v>0</v>
          </cell>
          <cell r="BB109">
            <v>0</v>
          </cell>
          <cell r="BC109">
            <v>0</v>
          </cell>
          <cell r="BD109">
            <v>0</v>
          </cell>
          <cell r="BE109">
            <v>0</v>
          </cell>
          <cell r="BF109">
            <v>0</v>
          </cell>
        </row>
        <row r="110">
          <cell r="A110" t="str">
            <v xml:space="preserve"> - Rents - Admn</v>
          </cell>
          <cell r="N110">
            <v>0</v>
          </cell>
          <cell r="O110">
            <v>0</v>
          </cell>
          <cell r="P110">
            <v>0</v>
          </cell>
          <cell r="Q110">
            <v>0</v>
          </cell>
          <cell r="R110">
            <v>0</v>
          </cell>
          <cell r="S110">
            <v>0</v>
          </cell>
          <cell r="T110">
            <v>0</v>
          </cell>
          <cell r="AG110">
            <v>0</v>
          </cell>
          <cell r="AH110">
            <v>0</v>
          </cell>
          <cell r="AI110">
            <v>0</v>
          </cell>
          <cell r="AJ110">
            <v>0</v>
          </cell>
          <cell r="AK110">
            <v>0</v>
          </cell>
          <cell r="AL110">
            <v>0</v>
          </cell>
          <cell r="AM110">
            <v>0</v>
          </cell>
          <cell r="AZ110">
            <v>0</v>
          </cell>
          <cell r="BA110">
            <v>0</v>
          </cell>
          <cell r="BB110">
            <v>0</v>
          </cell>
          <cell r="BC110">
            <v>0</v>
          </cell>
          <cell r="BD110">
            <v>0</v>
          </cell>
          <cell r="BE110">
            <v>0</v>
          </cell>
          <cell r="BF110">
            <v>0</v>
          </cell>
        </row>
        <row r="111">
          <cell r="A111" t="str">
            <v xml:space="preserve"> - Utilities - Admn</v>
          </cell>
          <cell r="N111">
            <v>0</v>
          </cell>
          <cell r="O111">
            <v>0</v>
          </cell>
          <cell r="P111">
            <v>0</v>
          </cell>
          <cell r="Q111">
            <v>0</v>
          </cell>
          <cell r="R111">
            <v>0</v>
          </cell>
          <cell r="S111">
            <v>0</v>
          </cell>
          <cell r="T111">
            <v>0</v>
          </cell>
          <cell r="AG111">
            <v>0</v>
          </cell>
          <cell r="AH111">
            <v>0</v>
          </cell>
          <cell r="AI111">
            <v>0</v>
          </cell>
          <cell r="AJ111">
            <v>0</v>
          </cell>
          <cell r="AK111">
            <v>0</v>
          </cell>
          <cell r="AL111">
            <v>0</v>
          </cell>
          <cell r="AM111">
            <v>0</v>
          </cell>
          <cell r="AZ111">
            <v>0</v>
          </cell>
          <cell r="BA111">
            <v>0</v>
          </cell>
          <cell r="BB111">
            <v>0</v>
          </cell>
          <cell r="BC111">
            <v>0</v>
          </cell>
          <cell r="BD111">
            <v>0</v>
          </cell>
          <cell r="BE111">
            <v>0</v>
          </cell>
          <cell r="BF111">
            <v>0</v>
          </cell>
        </row>
        <row r="112">
          <cell r="A112" t="str">
            <v xml:space="preserve"> - Security Expenses - Admn</v>
          </cell>
          <cell r="N112">
            <v>0</v>
          </cell>
          <cell r="O112">
            <v>0</v>
          </cell>
          <cell r="P112">
            <v>0</v>
          </cell>
          <cell r="Q112">
            <v>0</v>
          </cell>
          <cell r="R112">
            <v>0</v>
          </cell>
          <cell r="S112">
            <v>0</v>
          </cell>
          <cell r="T112">
            <v>0</v>
          </cell>
          <cell r="AG112">
            <v>0</v>
          </cell>
          <cell r="AH112">
            <v>0</v>
          </cell>
          <cell r="AI112">
            <v>0</v>
          </cell>
          <cell r="AJ112">
            <v>0</v>
          </cell>
          <cell r="AK112">
            <v>0</v>
          </cell>
          <cell r="AL112">
            <v>0</v>
          </cell>
          <cell r="AM112">
            <v>0</v>
          </cell>
          <cell r="AZ112">
            <v>0</v>
          </cell>
          <cell r="BA112">
            <v>0</v>
          </cell>
          <cell r="BB112">
            <v>0</v>
          </cell>
          <cell r="BC112">
            <v>0</v>
          </cell>
          <cell r="BD112">
            <v>0</v>
          </cell>
          <cell r="BE112">
            <v>0</v>
          </cell>
          <cell r="BF112">
            <v>0</v>
          </cell>
        </row>
        <row r="113">
          <cell r="A113" t="str">
            <v xml:space="preserve"> - CCI Chargeback</v>
          </cell>
          <cell r="N113">
            <v>0</v>
          </cell>
          <cell r="O113">
            <v>0</v>
          </cell>
          <cell r="P113">
            <v>0</v>
          </cell>
          <cell r="Q113">
            <v>0</v>
          </cell>
          <cell r="R113">
            <v>0</v>
          </cell>
          <cell r="S113">
            <v>0</v>
          </cell>
          <cell r="T113">
            <v>0</v>
          </cell>
          <cell r="AG113">
            <v>0</v>
          </cell>
          <cell r="AH113">
            <v>0</v>
          </cell>
          <cell r="AI113">
            <v>0</v>
          </cell>
          <cell r="AJ113">
            <v>0</v>
          </cell>
          <cell r="AK113">
            <v>0</v>
          </cell>
          <cell r="AL113">
            <v>0</v>
          </cell>
          <cell r="AM113">
            <v>0</v>
          </cell>
          <cell r="AZ113">
            <v>0</v>
          </cell>
          <cell r="BA113">
            <v>0</v>
          </cell>
          <cell r="BB113">
            <v>0</v>
          </cell>
          <cell r="BC113">
            <v>0</v>
          </cell>
          <cell r="BD113">
            <v>0</v>
          </cell>
          <cell r="BE113">
            <v>0</v>
          </cell>
          <cell r="BF113">
            <v>0</v>
          </cell>
        </row>
        <row r="114">
          <cell r="A114" t="str">
            <v xml:space="preserve"> - Others Admin</v>
          </cell>
          <cell r="N114">
            <v>0</v>
          </cell>
          <cell r="O114">
            <v>0</v>
          </cell>
          <cell r="P114">
            <v>0</v>
          </cell>
          <cell r="Q114">
            <v>0</v>
          </cell>
          <cell r="R114">
            <v>0</v>
          </cell>
          <cell r="S114">
            <v>0</v>
          </cell>
          <cell r="T114">
            <v>0</v>
          </cell>
          <cell r="AG114">
            <v>0</v>
          </cell>
          <cell r="AH114">
            <v>0</v>
          </cell>
          <cell r="AI114">
            <v>0</v>
          </cell>
          <cell r="AJ114">
            <v>0</v>
          </cell>
          <cell r="AK114">
            <v>0</v>
          </cell>
          <cell r="AL114">
            <v>0</v>
          </cell>
          <cell r="AM114">
            <v>0</v>
          </cell>
          <cell r="AZ114">
            <v>0</v>
          </cell>
          <cell r="BA114">
            <v>0</v>
          </cell>
          <cell r="BB114">
            <v>0</v>
          </cell>
          <cell r="BC114">
            <v>0</v>
          </cell>
          <cell r="BD114">
            <v>0</v>
          </cell>
          <cell r="BE114">
            <v>0</v>
          </cell>
          <cell r="BF114">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row>
        <row r="116">
          <cell r="A116" t="str">
            <v>Other Expenses / (Income)</v>
          </cell>
        </row>
        <row r="117">
          <cell r="A117" t="str">
            <v xml:space="preserve"> - Working Capital Charge</v>
          </cell>
          <cell r="N117">
            <v>0</v>
          </cell>
          <cell r="O117">
            <v>0</v>
          </cell>
          <cell r="P117">
            <v>0</v>
          </cell>
          <cell r="Q117">
            <v>0</v>
          </cell>
          <cell r="R117">
            <v>0</v>
          </cell>
          <cell r="S117">
            <v>0</v>
          </cell>
          <cell r="T117">
            <v>0</v>
          </cell>
          <cell r="AG117">
            <v>0</v>
          </cell>
          <cell r="AH117">
            <v>0</v>
          </cell>
          <cell r="AI117">
            <v>0</v>
          </cell>
          <cell r="AJ117">
            <v>0</v>
          </cell>
          <cell r="AK117">
            <v>0</v>
          </cell>
          <cell r="AL117">
            <v>0</v>
          </cell>
          <cell r="AM117">
            <v>0</v>
          </cell>
          <cell r="AZ117">
            <v>0</v>
          </cell>
          <cell r="BA117">
            <v>0</v>
          </cell>
          <cell r="BB117">
            <v>0</v>
          </cell>
          <cell r="BC117">
            <v>0</v>
          </cell>
          <cell r="BD117">
            <v>0</v>
          </cell>
          <cell r="BE117">
            <v>0</v>
          </cell>
          <cell r="BF117">
            <v>0</v>
          </cell>
        </row>
        <row r="118">
          <cell r="A118" t="str">
            <v xml:space="preserve"> - Others Income/Exps</v>
          </cell>
          <cell r="N118">
            <v>0</v>
          </cell>
          <cell r="O118">
            <v>0</v>
          </cell>
          <cell r="P118">
            <v>0</v>
          </cell>
          <cell r="Q118">
            <v>0</v>
          </cell>
          <cell r="R118">
            <v>0</v>
          </cell>
          <cell r="S118">
            <v>0</v>
          </cell>
          <cell r="T118">
            <v>0</v>
          </cell>
          <cell r="AG118">
            <v>0</v>
          </cell>
          <cell r="AH118">
            <v>0</v>
          </cell>
          <cell r="AI118">
            <v>0</v>
          </cell>
          <cell r="AJ118">
            <v>0</v>
          </cell>
          <cell r="AK118">
            <v>0</v>
          </cell>
          <cell r="AL118">
            <v>0</v>
          </cell>
          <cell r="AM118">
            <v>0</v>
          </cell>
          <cell r="AZ118">
            <v>0</v>
          </cell>
          <cell r="BA118">
            <v>0</v>
          </cell>
          <cell r="BB118">
            <v>0</v>
          </cell>
          <cell r="BC118">
            <v>0</v>
          </cell>
          <cell r="BD118">
            <v>0</v>
          </cell>
          <cell r="BE118">
            <v>0</v>
          </cell>
          <cell r="BF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row>
        <row r="120">
          <cell r="A120" t="str">
            <v>Profit Before Tax</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row>
        <row r="121">
          <cell r="A121" t="str">
            <v>Cash Operating Profit</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row>
      </sheetData>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Fixed Assets"/>
    </sheetNames>
    <sheetDataSet>
      <sheetData sheetId="0">
        <row r="2">
          <cell r="A2" t="str">
            <v>Computer HW</v>
          </cell>
          <cell r="B2" t="str">
            <v>HW</v>
          </cell>
          <cell r="C2">
            <v>3</v>
          </cell>
          <cell r="D2">
            <v>0</v>
          </cell>
          <cell r="E2">
            <v>0</v>
          </cell>
          <cell r="F2">
            <v>36</v>
          </cell>
          <cell r="G2">
            <v>1161100</v>
          </cell>
          <cell r="H2">
            <v>1161150</v>
          </cell>
          <cell r="I2">
            <v>6860100</v>
          </cell>
          <cell r="N2" t="str">
            <v>Sales</v>
          </cell>
          <cell r="O2">
            <v>6160100</v>
          </cell>
          <cell r="T2" t="str">
            <v>April</v>
          </cell>
        </row>
        <row r="3">
          <cell r="A3" t="str">
            <v>Computer SW</v>
          </cell>
          <cell r="B3" t="str">
            <v>SW</v>
          </cell>
          <cell r="C3">
            <v>3</v>
          </cell>
          <cell r="D3">
            <v>0</v>
          </cell>
          <cell r="E3">
            <v>0</v>
          </cell>
          <cell r="F3">
            <v>36</v>
          </cell>
          <cell r="G3">
            <v>1161200</v>
          </cell>
          <cell r="H3">
            <v>1161250</v>
          </cell>
          <cell r="I3">
            <v>6860100</v>
          </cell>
          <cell r="N3" t="str">
            <v>Pre-Sales</v>
          </cell>
          <cell r="O3">
            <v>6260100</v>
          </cell>
          <cell r="T3" t="str">
            <v>May</v>
          </cell>
        </row>
        <row r="4">
          <cell r="A4" t="str">
            <v>Furnitures &amp; Fixtures</v>
          </cell>
          <cell r="B4" t="str">
            <v>F&amp;F</v>
          </cell>
          <cell r="C4">
            <v>5</v>
          </cell>
          <cell r="D4">
            <v>0</v>
          </cell>
          <cell r="E4">
            <v>0</v>
          </cell>
          <cell r="F4">
            <v>60</v>
          </cell>
          <cell r="G4">
            <v>1161300</v>
          </cell>
          <cell r="H4">
            <v>1161350</v>
          </cell>
          <cell r="I4">
            <v>6860100</v>
          </cell>
          <cell r="N4" t="str">
            <v>Service</v>
          </cell>
          <cell r="O4">
            <v>6460100</v>
          </cell>
          <cell r="R4">
            <v>41729</v>
          </cell>
          <cell r="T4" t="str">
            <v>June</v>
          </cell>
        </row>
        <row r="5">
          <cell r="A5" t="str">
            <v>UnderRs45K-12 mths</v>
          </cell>
          <cell r="B5" t="str">
            <v>12mths</v>
          </cell>
          <cell r="C5">
            <v>1</v>
          </cell>
          <cell r="D5">
            <v>0</v>
          </cell>
          <cell r="E5">
            <v>0</v>
          </cell>
          <cell r="F5">
            <v>12</v>
          </cell>
          <cell r="G5">
            <v>1161400</v>
          </cell>
          <cell r="H5">
            <v>1161450</v>
          </cell>
          <cell r="I5">
            <v>6860100</v>
          </cell>
          <cell r="N5" t="str">
            <v>Admin</v>
          </cell>
          <cell r="O5">
            <v>6860100</v>
          </cell>
          <cell r="T5" t="str">
            <v>July</v>
          </cell>
        </row>
        <row r="6">
          <cell r="A6" t="str">
            <v>Lease Hold Improvements-60</v>
          </cell>
          <cell r="B6" t="str">
            <v>LHI-60</v>
          </cell>
          <cell r="C6">
            <v>5</v>
          </cell>
          <cell r="D6">
            <v>0</v>
          </cell>
          <cell r="E6">
            <v>0</v>
          </cell>
          <cell r="F6">
            <v>60</v>
          </cell>
          <cell r="G6">
            <v>1161400</v>
          </cell>
          <cell r="H6">
            <v>1161450</v>
          </cell>
          <cell r="I6">
            <v>6860100</v>
          </cell>
          <cell r="T6" t="str">
            <v>August</v>
          </cell>
        </row>
        <row r="7">
          <cell r="A7" t="str">
            <v>Machinery &amp; Equipment</v>
          </cell>
          <cell r="B7" t="str">
            <v>M&amp;E</v>
          </cell>
          <cell r="C7">
            <v>5</v>
          </cell>
          <cell r="D7">
            <v>0</v>
          </cell>
          <cell r="E7">
            <v>0</v>
          </cell>
          <cell r="F7">
            <v>60</v>
          </cell>
          <cell r="G7">
            <v>1161300</v>
          </cell>
          <cell r="H7">
            <v>1161350</v>
          </cell>
          <cell r="I7">
            <v>6860100</v>
          </cell>
          <cell r="T7" t="str">
            <v>September</v>
          </cell>
        </row>
        <row r="8">
          <cell r="A8" t="str">
            <v>Spares-X1</v>
          </cell>
          <cell r="B8" t="str">
            <v>X1</v>
          </cell>
          <cell r="C8">
            <v>4</v>
          </cell>
          <cell r="D8">
            <v>0</v>
          </cell>
          <cell r="E8">
            <v>0</v>
          </cell>
          <cell r="F8">
            <v>48</v>
          </cell>
          <cell r="G8">
            <v>1162100</v>
          </cell>
          <cell r="H8">
            <v>1162150</v>
          </cell>
          <cell r="I8">
            <v>6460100</v>
          </cell>
          <cell r="N8" t="str">
            <v>Delhi</v>
          </cell>
          <cell r="T8" t="str">
            <v>October</v>
          </cell>
        </row>
        <row r="9">
          <cell r="A9" t="str">
            <v>Spares-XT5</v>
          </cell>
          <cell r="B9" t="str">
            <v>XT5</v>
          </cell>
          <cell r="C9">
            <v>3</v>
          </cell>
          <cell r="D9">
            <v>0</v>
          </cell>
          <cell r="E9">
            <v>0</v>
          </cell>
          <cell r="F9">
            <v>36</v>
          </cell>
          <cell r="G9">
            <v>1162400</v>
          </cell>
          <cell r="H9">
            <v>1162450</v>
          </cell>
          <cell r="I9">
            <v>6460100</v>
          </cell>
          <cell r="N9" t="str">
            <v>Kolkata</v>
          </cell>
          <cell r="R9" t="str">
            <v>Devolved</v>
          </cell>
          <cell r="T9" t="str">
            <v>November</v>
          </cell>
        </row>
        <row r="10">
          <cell r="A10" t="str">
            <v>Spares-XT6</v>
          </cell>
          <cell r="B10" t="str">
            <v>XT6</v>
          </cell>
          <cell r="C10">
            <v>3</v>
          </cell>
          <cell r="D10">
            <v>0</v>
          </cell>
          <cell r="E10">
            <v>0</v>
          </cell>
          <cell r="F10">
            <v>36</v>
          </cell>
          <cell r="G10">
            <v>1162400</v>
          </cell>
          <cell r="H10">
            <v>1162450</v>
          </cell>
          <cell r="I10">
            <v>6460100</v>
          </cell>
          <cell r="N10" t="str">
            <v>Mumbai</v>
          </cell>
          <cell r="T10" t="str">
            <v>December</v>
          </cell>
        </row>
        <row r="11">
          <cell r="A11" t="str">
            <v>Spares-XE6</v>
          </cell>
          <cell r="B11" t="str">
            <v>XE6</v>
          </cell>
          <cell r="C11">
            <v>3</v>
          </cell>
          <cell r="D11">
            <v>0</v>
          </cell>
          <cell r="E11">
            <v>0</v>
          </cell>
          <cell r="F11">
            <v>36</v>
          </cell>
          <cell r="G11">
            <v>1163100</v>
          </cell>
          <cell r="H11">
            <v>1163050</v>
          </cell>
          <cell r="I11">
            <v>6460100</v>
          </cell>
          <cell r="N11" t="str">
            <v>Amdebad</v>
          </cell>
          <cell r="T11" t="str">
            <v>January</v>
          </cell>
        </row>
        <row r="12">
          <cell r="A12" t="str">
            <v>Spares-XK6</v>
          </cell>
          <cell r="B12" t="str">
            <v>XE6</v>
          </cell>
          <cell r="C12">
            <v>3</v>
          </cell>
          <cell r="D12">
            <v>0</v>
          </cell>
          <cell r="E12">
            <v>0</v>
          </cell>
          <cell r="F12">
            <v>36</v>
          </cell>
          <cell r="G12">
            <v>1162400</v>
          </cell>
          <cell r="H12">
            <v>1162450</v>
          </cell>
          <cell r="I12">
            <v>6460100</v>
          </cell>
          <cell r="N12" t="str">
            <v>Bangalore</v>
          </cell>
          <cell r="T12" t="str">
            <v>February</v>
          </cell>
        </row>
        <row r="13">
          <cell r="A13" t="str">
            <v>Spares-3P</v>
          </cell>
          <cell r="B13" t="str">
            <v>3P</v>
          </cell>
          <cell r="C13">
            <v>3</v>
          </cell>
          <cell r="D13">
            <v>0</v>
          </cell>
          <cell r="E13">
            <v>0</v>
          </cell>
          <cell r="F13">
            <v>36</v>
          </cell>
          <cell r="G13">
            <v>1162900</v>
          </cell>
          <cell r="H13">
            <v>1162950</v>
          </cell>
          <cell r="I13">
            <v>6460100</v>
          </cell>
          <cell r="T13" t="str">
            <v>March</v>
          </cell>
        </row>
        <row r="14">
          <cell r="A14" t="str">
            <v>Spares-Other</v>
          </cell>
          <cell r="B14" t="str">
            <v>OTHER</v>
          </cell>
          <cell r="C14">
            <v>3</v>
          </cell>
          <cell r="D14">
            <v>0</v>
          </cell>
          <cell r="E14">
            <v>0</v>
          </cell>
          <cell r="F14">
            <v>36</v>
          </cell>
          <cell r="G14">
            <v>1162900</v>
          </cell>
          <cell r="H14">
            <v>1162950</v>
          </cell>
          <cell r="I14">
            <v>6460100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C3" t="str">
            <v>PERFORMERS COLLECTIVE PRIVATE LIMITED</v>
          </cell>
        </row>
        <row r="27">
          <cell r="C27" t="str">
            <v>31ST March 2009</v>
          </cell>
        </row>
        <row r="28">
          <cell r="C28" t="str">
            <v>31ST March 2009</v>
          </cell>
        </row>
        <row r="30">
          <cell r="C30" t="str">
            <v>31-03-08</v>
          </cell>
        </row>
        <row r="34">
          <cell r="C34" t="str">
            <v>2009-2010</v>
          </cell>
        </row>
      </sheetData>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Query"/>
      <sheetName val="BS_Op_reco"/>
      <sheetName val="Trial Balance"/>
      <sheetName val="Sundry Debtors"/>
      <sheetName val="Observation (2)"/>
      <sheetName val="Observation"/>
      <sheetName val="Basic Data"/>
      <sheetName val="BS"/>
      <sheetName val="Sheet3"/>
      <sheetName val="PL"/>
      <sheetName val="cash flow"/>
      <sheetName val="SCHBS"/>
      <sheetName val="SCHPL"/>
      <sheetName val="SCHFA"/>
      <sheetName val="notes"/>
      <sheetName val="Sheet1"/>
      <sheetName val="GLMAP"/>
      <sheetName val="SUPTB"/>
      <sheetName val="TB"/>
      <sheetName val="TBPAR"/>
      <sheetName val="Observation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As At 31st Dec 2012</v>
          </cell>
        </row>
        <row r="3">
          <cell r="B3" t="str">
            <v>As At 30th Sep 2012</v>
          </cell>
        </row>
        <row r="4">
          <cell r="B4" t="str">
            <v>As At 31st Dec 2012</v>
          </cell>
        </row>
        <row r="5">
          <cell r="B5" t="str">
            <v>As At 31 March 2013</v>
          </cell>
        </row>
        <row r="6">
          <cell r="B6" t="str">
            <v>As At 31 March 2012</v>
          </cell>
        </row>
        <row r="7">
          <cell r="B7" t="str">
            <v>For the period ended 31st Dec 2012</v>
          </cell>
        </row>
        <row r="8">
          <cell r="B8" t="str">
            <v>For the period ended 30th Sep 2012</v>
          </cell>
        </row>
        <row r="9">
          <cell r="B9" t="str">
            <v>For the period ended 31st Dec 2012</v>
          </cell>
        </row>
        <row r="10">
          <cell r="B10" t="str">
            <v>For the period ended 31 March 2013</v>
          </cell>
        </row>
        <row r="11">
          <cell r="B11" t="str">
            <v>For the period ended 31 March 2012</v>
          </cell>
        </row>
        <row r="12">
          <cell r="B12" t="str">
            <v>(Amount in Rs. except otherwise stated)</v>
          </cell>
        </row>
        <row r="13">
          <cell r="B13" t="str">
            <v>VFConnect</v>
          </cell>
        </row>
        <row r="14">
          <cell r="B14" t="str">
            <v>Gurgaon</v>
          </cell>
        </row>
        <row r="15">
          <cell r="B15" t="str">
            <v>30th Sep 2012</v>
          </cell>
        </row>
        <row r="16">
          <cell r="B16" t="str">
            <v>Gagan Chadha</v>
          </cell>
        </row>
        <row r="17">
          <cell r="B17" t="str">
            <v>Vishwadeep Bajaj</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A4" t="str">
            <v>Tally Description</v>
          </cell>
        </row>
        <row r="5">
          <cell r="A5" t="str">
            <v>Opening Stock</v>
          </cell>
        </row>
        <row r="6">
          <cell r="A6" t="str">
            <v>Abl Database Marketing</v>
          </cell>
        </row>
        <row r="7">
          <cell r="A7" t="str">
            <v>Adiabs Films Private Limited</v>
          </cell>
        </row>
        <row r="8">
          <cell r="A8" t="str">
            <v>Advacne Gaurav Singh Chandel</v>
          </cell>
        </row>
        <row r="9">
          <cell r="A9" t="str">
            <v>Advance Ahmad Faraz</v>
          </cell>
        </row>
        <row r="10">
          <cell r="A10" t="str">
            <v>Advance Anil Kumar</v>
          </cell>
        </row>
        <row r="11">
          <cell r="A11" t="str">
            <v>Advance Ashish Mathur</v>
          </cell>
        </row>
        <row r="12">
          <cell r="A12" t="str">
            <v>Advance Jayesh Sharma</v>
          </cell>
        </row>
        <row r="13">
          <cell r="A13" t="str">
            <v>Advance- Ravi Kumar Rastogi</v>
          </cell>
        </row>
        <row r="14">
          <cell r="A14" t="str">
            <v>Advance Sachin Tiwari</v>
          </cell>
        </row>
        <row r="15">
          <cell r="A15" t="str">
            <v>Advance Sushil Kumar</v>
          </cell>
        </row>
        <row r="16">
          <cell r="A16" t="str">
            <v>Advance to Employees</v>
          </cell>
        </row>
        <row r="17">
          <cell r="A17" t="str">
            <v>Adv. Krati Chauhan</v>
          </cell>
        </row>
        <row r="18">
          <cell r="A18" t="str">
            <v>Aircel Ltd</v>
          </cell>
        </row>
        <row r="19">
          <cell r="A19" t="str">
            <v>Airfone (India) Limited</v>
          </cell>
        </row>
        <row r="20">
          <cell r="A20" t="str">
            <v>Airtel Mobil No. 9958911182</v>
          </cell>
        </row>
        <row r="21">
          <cell r="A21" t="str">
            <v>Anil Kumar Singh Id No. 26</v>
          </cell>
        </row>
        <row r="22">
          <cell r="A22" t="str">
            <v>Antenna for PCB Board</v>
          </cell>
        </row>
        <row r="23">
          <cell r="A23" t="str">
            <v>Anuj Tayal Id No.37</v>
          </cell>
        </row>
        <row r="24">
          <cell r="A24" t="str">
            <v>Aro Equipments Pvt Ltd</v>
          </cell>
        </row>
        <row r="25">
          <cell r="A25" t="str">
            <v>Arrear on Salary</v>
          </cell>
        </row>
        <row r="26">
          <cell r="A26" t="str">
            <v>Ashish Mahtur Id No.33</v>
          </cell>
        </row>
        <row r="27">
          <cell r="A27" t="str">
            <v>Ashish Mathur Consultant Sale</v>
          </cell>
        </row>
        <row r="28">
          <cell r="A28" t="str">
            <v>Astra Comm</v>
          </cell>
        </row>
        <row r="29">
          <cell r="A29" t="str">
            <v>Astracomm(ATM) Ltd</v>
          </cell>
        </row>
        <row r="30">
          <cell r="A30" t="str">
            <v>Atlas Tours &amp; Travels</v>
          </cell>
        </row>
        <row r="31">
          <cell r="A31" t="str">
            <v>Audit Fee</v>
          </cell>
        </row>
        <row r="32">
          <cell r="A32" t="str">
            <v>Axis Bank Ltd</v>
          </cell>
        </row>
        <row r="33">
          <cell r="A33" t="str">
            <v>Axis Securities &amp; Sales</v>
          </cell>
        </row>
        <row r="34">
          <cell r="A34" t="str">
            <v>Bad Debts</v>
          </cell>
        </row>
        <row r="35">
          <cell r="A35" t="str">
            <v>Bank Charges</v>
          </cell>
        </row>
        <row r="36">
          <cell r="A36" t="str">
            <v>Basic Salary</v>
          </cell>
        </row>
        <row r="37">
          <cell r="A37" t="str">
            <v>Bennett Coleman &amp; Company Ltd</v>
          </cell>
        </row>
        <row r="38">
          <cell r="A38" t="str">
            <v>Big Tree</v>
          </cell>
        </row>
        <row r="39">
          <cell r="A39" t="str">
            <v>Bigtree Entertainment P Ltd</v>
          </cell>
        </row>
        <row r="40">
          <cell r="A40" t="str">
            <v>Biju Nair (Consultant of Sale)</v>
          </cell>
        </row>
        <row r="41">
          <cell r="A41" t="str">
            <v>Billionton System Inc</v>
          </cell>
        </row>
        <row r="42">
          <cell r="A42" t="str">
            <v>BLR Logistics ( A Div. of BLR India Pvt Ltd)</v>
          </cell>
        </row>
        <row r="43">
          <cell r="A43" t="str">
            <v>Bluecasting Activity</v>
          </cell>
        </row>
        <row r="44">
          <cell r="A44" t="str">
            <v>Blue Dart Express Limited</v>
          </cell>
        </row>
        <row r="45">
          <cell r="A45" t="str">
            <v>Bluetooth Dongle</v>
          </cell>
        </row>
        <row r="46">
          <cell r="A46" t="str">
            <v>Book and Periodical</v>
          </cell>
        </row>
        <row r="47">
          <cell r="A47" t="str">
            <v>Business Promotion</v>
          </cell>
        </row>
        <row r="48">
          <cell r="A48" t="str">
            <v>Buzzworks Business Services Ltd.</v>
          </cell>
        </row>
        <row r="49">
          <cell r="A49" t="str">
            <v>Cache Infotech Pvt. Ltd.</v>
          </cell>
        </row>
        <row r="50">
          <cell r="A50" t="str">
            <v>Capital WIP</v>
          </cell>
        </row>
        <row r="51">
          <cell r="A51" t="str">
            <v>Car Reimburshment  Employee</v>
          </cell>
        </row>
        <row r="52">
          <cell r="A52" t="str">
            <v>Carrier Invertigation Agency</v>
          </cell>
        </row>
        <row r="53">
          <cell r="A53" t="str">
            <v>Cash</v>
          </cell>
        </row>
        <row r="54">
          <cell r="A54" t="str">
            <v>Cellstrat</v>
          </cell>
        </row>
        <row r="55">
          <cell r="A55" t="str">
            <v>City Bank  NA</v>
          </cell>
        </row>
        <row r="56">
          <cell r="A56" t="str">
            <v>Clearing Charges</v>
          </cell>
        </row>
        <row r="57">
          <cell r="A57" t="str">
            <v>Coffee Day Properties India Pvt Ltd</v>
          </cell>
        </row>
        <row r="58">
          <cell r="A58" t="str">
            <v>Commission</v>
          </cell>
        </row>
        <row r="59">
          <cell r="A59" t="str">
            <v>Common Facility Exp</v>
          </cell>
        </row>
        <row r="60">
          <cell r="A60" t="str">
            <v>Computer Account</v>
          </cell>
        </row>
        <row r="61">
          <cell r="A61" t="str">
            <v>Computer R&amp; M Exp</v>
          </cell>
        </row>
        <row r="62">
          <cell r="A62" t="str">
            <v>Conference  Exp</v>
          </cell>
        </row>
        <row r="63">
          <cell r="A63" t="str">
            <v>Connectria Hosting</v>
          </cell>
        </row>
        <row r="64">
          <cell r="A64" t="str">
            <v>Consultancy Expenses On Sale</v>
          </cell>
        </row>
        <row r="65">
          <cell r="A65" t="str">
            <v>Consultancy Goutam Jayraman</v>
          </cell>
        </row>
        <row r="66">
          <cell r="A66" t="str">
            <v>Consultancy on Devlopment</v>
          </cell>
        </row>
        <row r="67">
          <cell r="A67" t="str">
            <v>Consultancy  Siddhant Tewari</v>
          </cell>
        </row>
        <row r="68">
          <cell r="A68" t="str">
            <v>Conveyance Allowance</v>
          </cell>
        </row>
        <row r="69">
          <cell r="A69" t="str">
            <v>Conveyance Exp</v>
          </cell>
        </row>
        <row r="70">
          <cell r="A70" t="str">
            <v>Courier Charges</v>
          </cell>
        </row>
        <row r="71">
          <cell r="A71" t="str">
            <v>Courier Charges on Purchase</v>
          </cell>
        </row>
        <row r="72">
          <cell r="A72" t="str">
            <v>Custom Duty</v>
          </cell>
        </row>
        <row r="73">
          <cell r="A73" t="str">
            <v>Dada Music</v>
          </cell>
        </row>
        <row r="74">
          <cell r="A74" t="str">
            <v>Data Card Exp</v>
          </cell>
        </row>
        <row r="75">
          <cell r="A75" t="str">
            <v>Datacomp Web Technologies</v>
          </cell>
        </row>
        <row r="76">
          <cell r="A76" t="str">
            <v>Deffered Tax</v>
          </cell>
        </row>
        <row r="77">
          <cell r="A77" t="str">
            <v>Depreciation on Fixed Assets</v>
          </cell>
        </row>
        <row r="78">
          <cell r="A78" t="str">
            <v>Deutsche Bank</v>
          </cell>
        </row>
        <row r="79">
          <cell r="A79" t="str">
            <v>DHL  Express  India Pvt. Ltd</v>
          </cell>
        </row>
        <row r="80">
          <cell r="A80" t="str">
            <v>Dial Technology Company</v>
          </cell>
        </row>
        <row r="81">
          <cell r="A81" t="str">
            <v>Documentation Exp of Shipment</v>
          </cell>
        </row>
        <row r="82">
          <cell r="A82" t="str">
            <v>E2E Networks Private Ltd</v>
          </cell>
        </row>
        <row r="83">
          <cell r="A83" t="str">
            <v>E Cess/ H Ecess 3%</v>
          </cell>
        </row>
        <row r="84">
          <cell r="A84" t="str">
            <v>Ecess Modvate</v>
          </cell>
        </row>
        <row r="85">
          <cell r="A85" t="str">
            <v>E Com India Private Limited</v>
          </cell>
        </row>
        <row r="86">
          <cell r="A86" t="str">
            <v>Embedded  V Connect  PCB Bord</v>
          </cell>
        </row>
        <row r="87">
          <cell r="A87" t="str">
            <v>Emboss Inc</v>
          </cell>
        </row>
        <row r="88">
          <cell r="A88" t="str">
            <v>Encaptive</v>
          </cell>
        </row>
        <row r="89">
          <cell r="A89" t="str">
            <v>Encompass Events Pvt. Ltd.</v>
          </cell>
        </row>
        <row r="90">
          <cell r="A90" t="str">
            <v>Energetic Lighting India Pvt. Ltd</v>
          </cell>
        </row>
        <row r="91">
          <cell r="A91" t="str">
            <v>Excess Provision Write Off</v>
          </cell>
        </row>
        <row r="92">
          <cell r="A92" t="str">
            <v>Excess Provision  Written Off</v>
          </cell>
        </row>
        <row r="93">
          <cell r="A93" t="str">
            <v>Expenses Payable</v>
          </cell>
        </row>
        <row r="94">
          <cell r="A94" t="str">
            <v>Fast Rider</v>
          </cell>
        </row>
        <row r="95">
          <cell r="A95" t="str">
            <v>FBT  Expeneses</v>
          </cell>
        </row>
        <row r="96">
          <cell r="A96" t="str">
            <v>FBT Payable</v>
          </cell>
        </row>
        <row r="97">
          <cell r="A97" t="str">
            <v>Federal Exprese Corp</v>
          </cell>
        </row>
        <row r="98">
          <cell r="A98" t="str">
            <v>Focus System Inc.</v>
          </cell>
        </row>
        <row r="99">
          <cell r="A99" t="str">
            <v>Food and Beverage Exp</v>
          </cell>
        </row>
        <row r="100">
          <cell r="A100" t="str">
            <v>Freight Charges on Purchase</v>
          </cell>
        </row>
        <row r="101">
          <cell r="A101" t="str">
            <v>Gagan Chadha Imp</v>
          </cell>
        </row>
        <row r="102">
          <cell r="A102" t="str">
            <v>Gaurav Singh Chandel Id No.24</v>
          </cell>
        </row>
        <row r="103">
          <cell r="A103" t="str">
            <v>Global Brand Enterprises Solution Akai</v>
          </cell>
        </row>
        <row r="104">
          <cell r="A104" t="str">
            <v>Globle Computer System</v>
          </cell>
        </row>
        <row r="105">
          <cell r="A105" t="str">
            <v>Gora Mal Hariram Ltd.</v>
          </cell>
        </row>
        <row r="106">
          <cell r="A106" t="str">
            <v>Gratuity Expenses</v>
          </cell>
        </row>
        <row r="107">
          <cell r="A107" t="str">
            <v>G SS  Partner</v>
          </cell>
        </row>
        <row r="108">
          <cell r="A108" t="str">
            <v>Halonix Ltd</v>
          </cell>
        </row>
        <row r="109">
          <cell r="A109" t="str">
            <v>HDFC BANK LTD-Debtors A/c</v>
          </cell>
        </row>
        <row r="110">
          <cell r="A110" t="str">
            <v>Himalya Simplot Pvt  Ltd</v>
          </cell>
        </row>
        <row r="111">
          <cell r="A111" t="str">
            <v>Holar System</v>
          </cell>
        </row>
        <row r="112">
          <cell r="A112" t="str">
            <v>Hotel, Boarding, and Lodging</v>
          </cell>
        </row>
        <row r="113">
          <cell r="A113" t="str">
            <v>House Rent Allowance</v>
          </cell>
        </row>
        <row r="114">
          <cell r="A114" t="str">
            <v>Housing  Solutions</v>
          </cell>
        </row>
        <row r="115">
          <cell r="A115" t="str">
            <v>ICICI Bank No- . 017705002751</v>
          </cell>
        </row>
        <row r="116">
          <cell r="A116" t="str">
            <v>ICICI Lombard Insurance Co. Ltd</v>
          </cell>
        </row>
        <row r="117">
          <cell r="A117" t="str">
            <v>IDEA Cellular Ltd. 9990244008</v>
          </cell>
        </row>
        <row r="118">
          <cell r="A118" t="str">
            <v>IIFT International  Institute of Fashion  Technolog</v>
          </cell>
        </row>
        <row r="119">
          <cell r="A119" t="str">
            <v>Impairment Loss</v>
          </cell>
        </row>
        <row r="120">
          <cell r="A120" t="str">
            <v>Imp Amit Singh Bhandari</v>
          </cell>
        </row>
        <row r="121">
          <cell r="A121" t="str">
            <v>Imp Anil Kumar</v>
          </cell>
        </row>
        <row r="122">
          <cell r="A122" t="str">
            <v>Imp Anil Kumar Singh</v>
          </cell>
        </row>
        <row r="123">
          <cell r="A123" t="str">
            <v>Imp Apurv Saxena</v>
          </cell>
        </row>
        <row r="124">
          <cell r="A124" t="str">
            <v>Imp Ashish Mathur</v>
          </cell>
        </row>
        <row r="125">
          <cell r="A125" t="str">
            <v>Imp Ashish  Razdan</v>
          </cell>
        </row>
        <row r="126">
          <cell r="A126" t="str">
            <v>Imp Ashok Goutam</v>
          </cell>
        </row>
        <row r="127">
          <cell r="A127" t="str">
            <v>Imp Dharamvir Kumar</v>
          </cell>
        </row>
        <row r="128">
          <cell r="A128" t="str">
            <v>Imp Francis Xavier</v>
          </cell>
        </row>
        <row r="129">
          <cell r="A129" t="str">
            <v>Imp Gaurav Singh Chandel</v>
          </cell>
        </row>
        <row r="130">
          <cell r="A130" t="str">
            <v>Imp. Goutam Jayaraman</v>
          </cell>
        </row>
        <row r="131">
          <cell r="A131" t="str">
            <v>Imp Hariom Seth</v>
          </cell>
        </row>
        <row r="132">
          <cell r="A132" t="str">
            <v>Imp Jayesh Sharma</v>
          </cell>
        </row>
        <row r="133">
          <cell r="A133" t="str">
            <v>Imp Joginder</v>
          </cell>
        </row>
        <row r="134">
          <cell r="A134" t="str">
            <v>Imp Manish Tehlan</v>
          </cell>
        </row>
        <row r="135">
          <cell r="A135" t="str">
            <v>Imp Manju Yadav</v>
          </cell>
        </row>
        <row r="136">
          <cell r="A136" t="str">
            <v>Imp Neeraj Kumar Jha</v>
          </cell>
        </row>
        <row r="137">
          <cell r="A137" t="str">
            <v>Imp Nidhi Aterja</v>
          </cell>
        </row>
        <row r="138">
          <cell r="A138" t="str">
            <v>Import Duty</v>
          </cell>
        </row>
        <row r="139">
          <cell r="A139" t="str">
            <v>Imp Rahil Gupta</v>
          </cell>
        </row>
        <row r="140">
          <cell r="A140" t="str">
            <v>Imp Rahul Jayaraman</v>
          </cell>
        </row>
        <row r="141">
          <cell r="A141" t="str">
            <v>Imp Rajat Bhaita</v>
          </cell>
        </row>
        <row r="142">
          <cell r="A142" t="str">
            <v>Imp Ravi Kumar Rastogi</v>
          </cell>
        </row>
        <row r="143">
          <cell r="A143" t="str">
            <v>Imp Rohit</v>
          </cell>
        </row>
        <row r="144">
          <cell r="A144" t="str">
            <v>Imp Rohit Puri</v>
          </cell>
        </row>
        <row r="145">
          <cell r="A145" t="str">
            <v>Imp Sachin Tiwari</v>
          </cell>
        </row>
        <row r="146">
          <cell r="A146" t="str">
            <v>Imp Sadhana Singh</v>
          </cell>
        </row>
        <row r="147">
          <cell r="A147" t="str">
            <v>Imp Sharique Qamar</v>
          </cell>
        </row>
        <row r="148">
          <cell r="A148" t="str">
            <v>Imp Shashi Kishore Rana</v>
          </cell>
        </row>
        <row r="149">
          <cell r="A149" t="str">
            <v>Imp Shruti Pancholi</v>
          </cell>
        </row>
        <row r="150">
          <cell r="A150" t="str">
            <v>Imp Siddhant Tewari</v>
          </cell>
        </row>
        <row r="151">
          <cell r="A151" t="str">
            <v>Imp Siddharth Kapoor</v>
          </cell>
        </row>
        <row r="152">
          <cell r="A152" t="str">
            <v>Imp Sushil Kumar</v>
          </cell>
        </row>
        <row r="153">
          <cell r="A153" t="str">
            <v>Imp Swaroop Mukherjee</v>
          </cell>
        </row>
        <row r="154">
          <cell r="A154" t="str">
            <v>Imp T Andrew Sudhan</v>
          </cell>
        </row>
        <row r="155">
          <cell r="A155" t="str">
            <v>Imp Tushar Khandelwal</v>
          </cell>
        </row>
        <row r="156">
          <cell r="A156" t="str">
            <v>Incentive</v>
          </cell>
        </row>
        <row r="157">
          <cell r="A157" t="str">
            <v>Income Tax</v>
          </cell>
        </row>
        <row r="158">
          <cell r="A158" t="str">
            <v>Income Tax Refund</v>
          </cell>
        </row>
        <row r="159">
          <cell r="A159" t="str">
            <v>Increase/(Decrease) in Stock</v>
          </cell>
        </row>
        <row r="160">
          <cell r="A160" t="str">
            <v>Indus League Clothing Limited</v>
          </cell>
        </row>
        <row r="161">
          <cell r="A161" t="str">
            <v>Indyarocks Media Services Pvt. Ltd.</v>
          </cell>
        </row>
        <row r="162">
          <cell r="A162" t="str">
            <v>Infosystom Pvt. Ltd</v>
          </cell>
        </row>
        <row r="163">
          <cell r="A163" t="str">
            <v>Inspire Infotech Pvt. Ltd.</v>
          </cell>
        </row>
        <row r="164">
          <cell r="A164" t="str">
            <v>InstacampC/A</v>
          </cell>
        </row>
        <row r="165">
          <cell r="A165" t="str">
            <v>Institute of Fashion</v>
          </cell>
        </row>
        <row r="166">
          <cell r="A166" t="str">
            <v>Interest on Refund</v>
          </cell>
        </row>
        <row r="167">
          <cell r="A167" t="str">
            <v>Interest on Service Tax</v>
          </cell>
        </row>
        <row r="168">
          <cell r="A168" t="str">
            <v>Interest on TDS</v>
          </cell>
        </row>
        <row r="169">
          <cell r="A169" t="str">
            <v>Internet &amp; Networking Charges</v>
          </cell>
        </row>
        <row r="170">
          <cell r="A170" t="str">
            <v>Intt. on Employee Loan</v>
          </cell>
        </row>
        <row r="171">
          <cell r="A171" t="str">
            <v>Intt. on  FBT</v>
          </cell>
        </row>
        <row r="172">
          <cell r="A172" t="str">
            <v>Jungle Hum</v>
          </cell>
        </row>
        <row r="173">
          <cell r="A173" t="str">
            <v>Karan Mehta</v>
          </cell>
        </row>
        <row r="174">
          <cell r="A174" t="str">
            <v>Konnection India</v>
          </cell>
        </row>
        <row r="175">
          <cell r="A175" t="str">
            <v>Kuldeep Singh</v>
          </cell>
        </row>
        <row r="176">
          <cell r="A176" t="str">
            <v>Lalitha Krishanamurthy</v>
          </cell>
        </row>
        <row r="177">
          <cell r="A177" t="str">
            <v>Legal and Professional Charges</v>
          </cell>
        </row>
        <row r="178">
          <cell r="A178" t="str">
            <v>L G Electronics India Pvt. Ltd</v>
          </cell>
        </row>
        <row r="179">
          <cell r="A179" t="str">
            <v>Listening Post Graphics Pvt. Ltd.</v>
          </cell>
        </row>
        <row r="180">
          <cell r="A180" t="str">
            <v>Local Conveyance</v>
          </cell>
        </row>
        <row r="181">
          <cell r="A181" t="str">
            <v>LTA Reimburshment</v>
          </cell>
        </row>
        <row r="182">
          <cell r="A182" t="str">
            <v>Madina Exports</v>
          </cell>
        </row>
        <row r="183">
          <cell r="A183" t="str">
            <v>Mahan Proteins Ltd</v>
          </cell>
        </row>
        <row r="184">
          <cell r="A184" t="str">
            <v>Mahindra&amp;Mahindra Ltd</v>
          </cell>
        </row>
        <row r="185">
          <cell r="A185" t="str">
            <v>Mah Mah Ltd</v>
          </cell>
        </row>
        <row r="186">
          <cell r="A186" t="str">
            <v>Manas Bhattacharya</v>
          </cell>
        </row>
        <row r="187">
          <cell r="A187" t="str">
            <v>Manchanda Herbal Products Pvt Ltd</v>
          </cell>
        </row>
        <row r="188">
          <cell r="A188" t="str">
            <v>Markeing Exp</v>
          </cell>
        </row>
        <row r="189">
          <cell r="A189" t="str">
            <v>Marketing Expenses</v>
          </cell>
        </row>
        <row r="190">
          <cell r="A190" t="str">
            <v>Market Men Private Limited</v>
          </cell>
        </row>
        <row r="191">
          <cell r="A191" t="str">
            <v>Mass Media Makers</v>
          </cell>
        </row>
        <row r="192">
          <cell r="A192" t="str">
            <v>Matchbox World Ventures Pvt Ltd</v>
          </cell>
        </row>
        <row r="193">
          <cell r="A193" t="str">
            <v>Matrix Cellular International Service Pvt Ltd</v>
          </cell>
        </row>
        <row r="194">
          <cell r="A194" t="str">
            <v>Medical  Reimbursement</v>
          </cell>
        </row>
        <row r="195">
          <cell r="A195" t="str">
            <v>Mediclaim Insurance</v>
          </cell>
        </row>
        <row r="196">
          <cell r="A196" t="str">
            <v>Metlife India Insurance Company Ltd</v>
          </cell>
        </row>
        <row r="197">
          <cell r="A197" t="str">
            <v>M G Printers</v>
          </cell>
        </row>
        <row r="198">
          <cell r="A198" t="str">
            <v>Michelin India Tyres Pvt Ltd</v>
          </cell>
        </row>
        <row r="199">
          <cell r="A199" t="str">
            <v>Miscellaneous Expenses</v>
          </cell>
        </row>
        <row r="200">
          <cell r="A200" t="str">
            <v>Mobile 2 Win Private Limited</v>
          </cell>
        </row>
        <row r="201">
          <cell r="A201" t="str">
            <v>Mobile Phone Expenses</v>
          </cell>
        </row>
        <row r="202">
          <cell r="A202" t="str">
            <v>Mobil Equipment</v>
          </cell>
        </row>
        <row r="203">
          <cell r="A203" t="str">
            <v>Mobisir Technologies Private Limtied</v>
          </cell>
        </row>
        <row r="204">
          <cell r="A204" t="str">
            <v>Nair  Associate</v>
          </cell>
        </row>
        <row r="205">
          <cell r="A205" t="str">
            <v>Notic Pay</v>
          </cell>
        </row>
        <row r="206">
          <cell r="A206" t="str">
            <v>Numarck Pharmaceuticals</v>
          </cell>
        </row>
        <row r="207">
          <cell r="A207" t="str">
            <v>OCS</v>
          </cell>
        </row>
        <row r="208">
          <cell r="A208" t="str">
            <v>Office Equipment</v>
          </cell>
        </row>
        <row r="209">
          <cell r="A209" t="str">
            <v>Ozone Ayurgedics Limited</v>
          </cell>
        </row>
        <row r="210">
          <cell r="A210" t="str">
            <v>Panache Infotech Pvt Ltd</v>
          </cell>
        </row>
        <row r="211">
          <cell r="A211" t="str">
            <v>Penalty Service Tax</v>
          </cell>
        </row>
        <row r="212">
          <cell r="A212" t="str">
            <v>Plant &amp; Machinery</v>
          </cell>
        </row>
        <row r="213">
          <cell r="A213" t="str">
            <v>Pravin Imp</v>
          </cell>
        </row>
        <row r="214">
          <cell r="A214" t="str">
            <v>Prepaid Exp</v>
          </cell>
        </row>
        <row r="215">
          <cell r="A215" t="str">
            <v>Printing &amp; Stationery</v>
          </cell>
        </row>
        <row r="216">
          <cell r="A216" t="str">
            <v>Print Media</v>
          </cell>
        </row>
        <row r="217">
          <cell r="A217" t="str">
            <v>Profit &amp; Loss A/c</v>
          </cell>
        </row>
        <row r="218">
          <cell r="A218" t="str">
            <v>Provision for Audit Fee</v>
          </cell>
        </row>
        <row r="219">
          <cell r="A219" t="str">
            <v>Provision for Deferred Tax</v>
          </cell>
        </row>
        <row r="220">
          <cell r="A220" t="str">
            <v>Provision for Depriciation</v>
          </cell>
        </row>
        <row r="221">
          <cell r="A221" t="str">
            <v>Provision for Doubtful Debts</v>
          </cell>
        </row>
        <row r="222">
          <cell r="A222" t="str">
            <v>Provision for Doubtful Debts P/L</v>
          </cell>
        </row>
        <row r="223">
          <cell r="A223" t="str">
            <v>Provision for Gratuity</v>
          </cell>
        </row>
        <row r="224">
          <cell r="A224" t="str">
            <v>Purchases</v>
          </cell>
        </row>
        <row r="225">
          <cell r="A225" t="str">
            <v>Qred</v>
          </cell>
        </row>
        <row r="226">
          <cell r="A226" t="str">
            <v>Rajat Bhatia Consultant</v>
          </cell>
        </row>
        <row r="227">
          <cell r="A227" t="str">
            <v>Raj Marketing</v>
          </cell>
        </row>
        <row r="228">
          <cell r="A228" t="str">
            <v>Rate &amp; Tax Fee</v>
          </cell>
        </row>
        <row r="229">
          <cell r="A229" t="str">
            <v>Ravi Kumar Rastogi Id No.12</v>
          </cell>
        </row>
        <row r="230">
          <cell r="A230" t="str">
            <v>Recruitment Expenses</v>
          </cell>
        </row>
        <row r="231">
          <cell r="A231" t="str">
            <v>Regency Inn</v>
          </cell>
        </row>
        <row r="232">
          <cell r="A232" t="str">
            <v>Reliance Mobil No 9311419313</v>
          </cell>
        </row>
        <row r="233">
          <cell r="A233" t="str">
            <v>Renni Thomas</v>
          </cell>
        </row>
        <row r="234">
          <cell r="A234" t="str">
            <v>Rent of Device Exp</v>
          </cell>
        </row>
        <row r="235">
          <cell r="A235" t="str">
            <v>Reserve &amp; Surplus</v>
          </cell>
        </row>
        <row r="236">
          <cell r="A236" t="str">
            <v>Result Services Pvt Ltd</v>
          </cell>
        </row>
        <row r="237">
          <cell r="A237" t="str">
            <v>Rohto Pharma India Pvt Ltd</v>
          </cell>
        </row>
        <row r="238">
          <cell r="A238" t="str">
            <v>Round Off</v>
          </cell>
        </row>
        <row r="239">
          <cell r="A239" t="str">
            <v>Sachin Tiwari Id No.15</v>
          </cell>
        </row>
        <row r="240">
          <cell r="A240" t="str">
            <v>Sai Stationers</v>
          </cell>
        </row>
        <row r="241">
          <cell r="A241" t="str">
            <v>Salary Account</v>
          </cell>
        </row>
        <row r="242">
          <cell r="A242" t="str">
            <v>Salary A/c Taxable (Medi)</v>
          </cell>
        </row>
        <row r="243">
          <cell r="A243" t="str">
            <v>Salary Ashok Gautam</v>
          </cell>
        </row>
        <row r="244">
          <cell r="A244" t="str">
            <v>Salary Goutam Jayaraman</v>
          </cell>
        </row>
        <row r="245">
          <cell r="A245" t="str">
            <v>Salary Hariom Seth</v>
          </cell>
        </row>
        <row r="246">
          <cell r="A246" t="str">
            <v>Salary Jayesh Sharma</v>
          </cell>
        </row>
        <row r="247">
          <cell r="A247" t="str">
            <v>Salary Payable</v>
          </cell>
        </row>
        <row r="248">
          <cell r="A248" t="str">
            <v>Salary Rahil Gupta</v>
          </cell>
        </row>
        <row r="249">
          <cell r="A249" t="str">
            <v>Salary Rohit Puri</v>
          </cell>
        </row>
        <row r="250">
          <cell r="A250" t="str">
            <v>Salary Sharique</v>
          </cell>
        </row>
        <row r="251">
          <cell r="A251" t="str">
            <v>Salary Siddhant Tewari</v>
          </cell>
        </row>
        <row r="252">
          <cell r="A252" t="str">
            <v>Salary T Andrew Sudhen</v>
          </cell>
        </row>
        <row r="253">
          <cell r="A253" t="str">
            <v>Sampark</v>
          </cell>
        </row>
        <row r="254">
          <cell r="A254" t="str">
            <v>Saral Infotech</v>
          </cell>
        </row>
        <row r="255">
          <cell r="A255" t="str">
            <v>Sati Export</v>
          </cell>
        </row>
        <row r="256">
          <cell r="A256" t="str">
            <v>Security Deposit Loop Mobile</v>
          </cell>
        </row>
        <row r="257">
          <cell r="A257" t="str">
            <v>Server Hosting Charges</v>
          </cell>
        </row>
        <row r="258">
          <cell r="A258" t="str">
            <v>Server Leasing Chages</v>
          </cell>
        </row>
        <row r="259">
          <cell r="A259" t="str">
            <v>Service Tax 10%  on Sale</v>
          </cell>
        </row>
        <row r="260">
          <cell r="A260" t="str">
            <v>Service Tax(12%)on Sale</v>
          </cell>
        </row>
        <row r="261">
          <cell r="A261" t="str">
            <v>Service Tax Modvate</v>
          </cell>
        </row>
        <row r="262">
          <cell r="A262" t="str">
            <v>Share Capital</v>
          </cell>
        </row>
        <row r="263">
          <cell r="A263" t="str">
            <v>Short Excess Account</v>
          </cell>
        </row>
        <row r="264">
          <cell r="A264" t="str">
            <v>Shree Ganesh Taxi Serviec</v>
          </cell>
        </row>
        <row r="265">
          <cell r="A265" t="str">
            <v>Shree It Solutions Pvt. Ltd</v>
          </cell>
        </row>
        <row r="266">
          <cell r="A266" t="str">
            <v>Shree System</v>
          </cell>
        </row>
        <row r="267">
          <cell r="A267" t="str">
            <v>Siddhant Tewari</v>
          </cell>
        </row>
        <row r="268">
          <cell r="A268" t="str">
            <v>Siddharth Kapoor Id No.45</v>
          </cell>
        </row>
        <row r="269">
          <cell r="A269" t="str">
            <v>Sirez Infosystem Pvt. Ltd.</v>
          </cell>
        </row>
        <row r="270">
          <cell r="A270" t="str">
            <v>Smile PC</v>
          </cell>
        </row>
        <row r="271">
          <cell r="A271" t="str">
            <v>Software</v>
          </cell>
        </row>
        <row r="272">
          <cell r="A272" t="str">
            <v>Software Internally Generated</v>
          </cell>
        </row>
        <row r="273">
          <cell r="A273" t="str">
            <v>Sonu Taxi Service</v>
          </cell>
        </row>
        <row r="274">
          <cell r="A274" t="str">
            <v>Sony India Pvt. Ltd</v>
          </cell>
        </row>
        <row r="275">
          <cell r="A275" t="str">
            <v>Special Allowance</v>
          </cell>
        </row>
        <row r="276">
          <cell r="A276" t="str">
            <v>Spoton Media Pvt Ltd</v>
          </cell>
        </row>
        <row r="277">
          <cell r="A277" t="str">
            <v>Staff Welfare</v>
          </cell>
        </row>
        <row r="278">
          <cell r="A278" t="str">
            <v>Stale Cheque</v>
          </cell>
        </row>
        <row r="279">
          <cell r="A279" t="str">
            <v>Stipend Account</v>
          </cell>
        </row>
        <row r="280">
          <cell r="A280" t="str">
            <v>Stipend Jayesh Sharma</v>
          </cell>
        </row>
        <row r="281">
          <cell r="A281" t="str">
            <v>Stipend Rahil</v>
          </cell>
        </row>
        <row r="282">
          <cell r="A282" t="str">
            <v>Stipend Ravi</v>
          </cell>
        </row>
        <row r="283">
          <cell r="A283" t="str">
            <v>Stipend Richa Jindal</v>
          </cell>
        </row>
        <row r="284">
          <cell r="A284" t="str">
            <v>Stipen Kora Pavan Kumar</v>
          </cell>
        </row>
        <row r="285">
          <cell r="A285" t="str">
            <v>Stipen Rahul Jayaraman</v>
          </cell>
        </row>
        <row r="286">
          <cell r="A286" t="str">
            <v>Sun Advertising Pvt. Ltd.</v>
          </cell>
        </row>
        <row r="287">
          <cell r="A287" t="str">
            <v>Suspense</v>
          </cell>
        </row>
        <row r="288">
          <cell r="A288" t="str">
            <v>Swaroop Mukherjee Id No.38</v>
          </cell>
        </row>
        <row r="289">
          <cell r="A289" t="str">
            <v>S Z Consultant</v>
          </cell>
        </row>
        <row r="290">
          <cell r="A290" t="str">
            <v>Tachyon Infotech (P) Ltd</v>
          </cell>
        </row>
        <row r="291">
          <cell r="A291" t="str">
            <v>TATA Indicom Data Card</v>
          </cell>
        </row>
        <row r="292">
          <cell r="A292" t="str">
            <v>Tds 10% (2012-13)</v>
          </cell>
        </row>
        <row r="293">
          <cell r="A293" t="str">
            <v>Tds (2%) 2012-13</v>
          </cell>
        </row>
        <row r="294">
          <cell r="A294" t="str">
            <v>TDS Aseets F.Y. 2011-12</v>
          </cell>
        </row>
        <row r="295">
          <cell r="A295" t="str">
            <v>Tds Assest F.Y 2012-13</v>
          </cell>
        </row>
        <row r="296">
          <cell r="A296" t="str">
            <v>TDS Assets F.Y. 2008-2009</v>
          </cell>
        </row>
        <row r="297">
          <cell r="A297" t="str">
            <v>TDS Assets F.Y. 2009-10</v>
          </cell>
        </row>
        <row r="298">
          <cell r="A298" t="str">
            <v>TDS Assets F.Y. 2010-11</v>
          </cell>
        </row>
        <row r="299">
          <cell r="A299" t="str">
            <v>Tds  Blr Logistics</v>
          </cell>
        </row>
        <row r="300">
          <cell r="A300" t="str">
            <v>TDS Deduct 10%</v>
          </cell>
        </row>
        <row r="301">
          <cell r="A301" t="str">
            <v>TDS Deduct 2%</v>
          </cell>
        </row>
        <row r="302">
          <cell r="A302" t="str">
            <v>TDS Deduct 20%</v>
          </cell>
        </row>
        <row r="303">
          <cell r="A303" t="str">
            <v>TDS OCS</v>
          </cell>
        </row>
        <row r="304">
          <cell r="A304" t="str">
            <v>TDS on Adv.</v>
          </cell>
        </row>
        <row r="305">
          <cell r="A305" t="str">
            <v>TDS on Commission</v>
          </cell>
        </row>
        <row r="306">
          <cell r="A306" t="str">
            <v>TDS on Consultancy</v>
          </cell>
        </row>
        <row r="307">
          <cell r="A307" t="str">
            <v>TDS on Contactor</v>
          </cell>
        </row>
        <row r="308">
          <cell r="A308" t="str">
            <v>TDS on Salary</v>
          </cell>
        </row>
        <row r="309">
          <cell r="A309" t="str">
            <v>Tds Recoverable</v>
          </cell>
        </row>
        <row r="310">
          <cell r="A310" t="str">
            <v>TDS The Indus Enterprieneurs -Delhi</v>
          </cell>
        </row>
        <row r="311">
          <cell r="A311" t="str">
            <v>TDS Thoughtshow &amp; Event</v>
          </cell>
        </row>
        <row r="312">
          <cell r="A312" t="str">
            <v>TDS Umesh Chand and Co</v>
          </cell>
        </row>
        <row r="313">
          <cell r="A313" t="str">
            <v>Telephone Equipment</v>
          </cell>
        </row>
        <row r="314">
          <cell r="A314" t="str">
            <v>Telephone Exp</v>
          </cell>
        </row>
        <row r="315">
          <cell r="A315" t="str">
            <v>Telephone Reimbursement</v>
          </cell>
        </row>
        <row r="316">
          <cell r="A316" t="str">
            <v>The Design Workshop</v>
          </cell>
        </row>
        <row r="317">
          <cell r="A317" t="str">
            <v>The Indus Ent-Delhi</v>
          </cell>
        </row>
        <row r="318">
          <cell r="A318" t="str">
            <v>The Walt Disney Company I Pvt Ltd</v>
          </cell>
        </row>
        <row r="319">
          <cell r="A319" t="str">
            <v>Thoughtshows &amp; Events Pvt Ltd</v>
          </cell>
        </row>
        <row r="320">
          <cell r="A320" t="str">
            <v>Timpac Healthcare Pvt Ltd</v>
          </cell>
        </row>
        <row r="321">
          <cell r="A321" t="str">
            <v>Traveling Exp Other</v>
          </cell>
        </row>
        <row r="322">
          <cell r="A322" t="str">
            <v>Travelling Exp</v>
          </cell>
        </row>
        <row r="323">
          <cell r="A323" t="str">
            <v>Travelling Exp Foreign</v>
          </cell>
        </row>
        <row r="324">
          <cell r="A324" t="str">
            <v>Travelling Inalnd Miscellaneous</v>
          </cell>
        </row>
        <row r="325">
          <cell r="A325" t="str">
            <v>Travelling Inland Boarding &amp; Lodging</v>
          </cell>
        </row>
        <row r="326">
          <cell r="A326" t="str">
            <v>Travelling Inland Conveyance</v>
          </cell>
        </row>
        <row r="327">
          <cell r="A327" t="str">
            <v>TVM Technologies Pvt. Ltd</v>
          </cell>
        </row>
        <row r="328">
          <cell r="A328" t="str">
            <v>Twin Engineers</v>
          </cell>
        </row>
        <row r="329">
          <cell r="A329" t="str">
            <v>UCG Mancons Private Limited</v>
          </cell>
        </row>
        <row r="330">
          <cell r="A330" t="str">
            <v>Umesh Chand &amp; Company</v>
          </cell>
        </row>
        <row r="331">
          <cell r="A331" t="str">
            <v>Uniform Allowance</v>
          </cell>
        </row>
        <row r="332">
          <cell r="A332" t="str">
            <v>UPS Jetair Express</v>
          </cell>
        </row>
        <row r="333">
          <cell r="A333" t="str">
            <v>ValueFirst Current Account</v>
          </cell>
        </row>
        <row r="334">
          <cell r="A334" t="str">
            <v>Valuefirst Messaging Debtors Account</v>
          </cell>
        </row>
        <row r="335">
          <cell r="A335" t="str">
            <v>Valuefirst Messaging Pvt. Ltd</v>
          </cell>
        </row>
        <row r="336">
          <cell r="A336" t="str">
            <v>ValueFirst Messaging Pvt Ltd  Dr</v>
          </cell>
        </row>
        <row r="337">
          <cell r="A337" t="str">
            <v>VAT -4%</v>
          </cell>
        </row>
        <row r="338">
          <cell r="A338" t="str">
            <v>Vat - 5%</v>
          </cell>
        </row>
        <row r="339">
          <cell r="A339" t="str">
            <v>Vat Modvat 5%</v>
          </cell>
        </row>
        <row r="340">
          <cell r="A340" t="str">
            <v>Vat Modvate 4%</v>
          </cell>
        </row>
        <row r="341">
          <cell r="A341" t="str">
            <v>Vat Sercharges 5% on Vat</v>
          </cell>
        </row>
        <row r="342">
          <cell r="A342" t="str">
            <v>V Connect AMC Charges</v>
          </cell>
        </row>
        <row r="343">
          <cell r="A343" t="str">
            <v>V Connect Bluetooth Campaign</v>
          </cell>
        </row>
        <row r="344">
          <cell r="A344" t="str">
            <v>V Connect Device</v>
          </cell>
        </row>
        <row r="345">
          <cell r="A345" t="str">
            <v>V Connect Dongle</v>
          </cell>
        </row>
        <row r="346">
          <cell r="A346" t="str">
            <v>V Connect Gateway Application</v>
          </cell>
        </row>
        <row r="347">
          <cell r="A347" t="str">
            <v>Venture Helth Care</v>
          </cell>
        </row>
        <row r="348">
          <cell r="A348" t="str">
            <v>VFC Mobile Application</v>
          </cell>
        </row>
        <row r="349">
          <cell r="A349" t="str">
            <v>VF Device Activity</v>
          </cell>
        </row>
        <row r="350">
          <cell r="A350" t="str">
            <v>Vnurture Health Care</v>
          </cell>
        </row>
        <row r="351">
          <cell r="A351" t="str">
            <v>VSM Technologies</v>
          </cell>
        </row>
        <row r="352">
          <cell r="A352" t="str">
            <v>Weizmann Forex Ltd</v>
          </cell>
        </row>
        <row r="353">
          <cell r="A353" t="str">
            <v>Win-Medicare Pvt. Ltd</v>
          </cell>
        </row>
        <row r="354">
          <cell r="A354" t="str">
            <v>Wirefoot India Technology Pvt Ltd</v>
          </cell>
        </row>
        <row r="355">
          <cell r="A355" t="str">
            <v>Xena Techno</v>
          </cell>
        </row>
        <row r="356">
          <cell r="A356" t="str">
            <v>Zuber Shaikh</v>
          </cell>
        </row>
        <row r="357">
          <cell r="A357" t="str">
            <v>Sadhana Singh Id No.</v>
          </cell>
        </row>
        <row r="358">
          <cell r="A358" t="str">
            <v>Consultancy Charges</v>
          </cell>
        </row>
        <row r="359">
          <cell r="A359" t="str">
            <v>Medical Allowance</v>
          </cell>
        </row>
        <row r="360">
          <cell r="A360" t="str">
            <v>Tds -  Rent (Plant &amp; Machinery)</v>
          </cell>
        </row>
        <row r="362">
          <cell r="A362" t="str">
            <v>Total</v>
          </cell>
        </row>
        <row r="363">
          <cell r="A363" t="str">
            <v>subtotal</v>
          </cell>
        </row>
      </sheetData>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rofit &amp; Loss"/>
      <sheetName val="BS Schld"/>
      <sheetName val="FA schld"/>
      <sheetName val="Sheet3"/>
      <sheetName val="Bal sheet Grps"/>
      <sheetName val="REPORTED"/>
    </sheetNames>
    <sheetDataSet>
      <sheetData sheetId="0"/>
      <sheetData sheetId="1"/>
      <sheetData sheetId="2" refreshError="1">
        <row r="74">
          <cell r="H74">
            <v>2507998930</v>
          </cell>
        </row>
      </sheetData>
      <sheetData sheetId="3"/>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S "/>
      <sheetName val="kpmg format"/>
      <sheetName val="cash flow"/>
      <sheetName val="bs scd"/>
      <sheetName val="FAR"/>
      <sheetName val="PL sched"/>
      <sheetName val="adjustments 09"/>
      <sheetName val="Adjustment 10"/>
      <sheetName val="BS grp"/>
      <sheetName val="PL grp"/>
      <sheetName val="CF workings 1"/>
      <sheetName val="Consumption workings"/>
      <sheetName val="CARO disclosure workings"/>
      <sheetName val="Sheet2"/>
      <sheetName val="Reclassification"/>
      <sheetName val="Status of filing"/>
      <sheetName val="Listing"/>
      <sheetName val="Fil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 val="old_serial no_"/>
      <sheetName val="ASICS"/>
      <sheetName val="1999"/>
      <sheetName val="Implied"/>
      <sheetName val="Infra"/>
      <sheetName val="Tran Mat."/>
      <sheetName val="ASICS_Sum"/>
      <sheetName val="BS Schld"/>
      <sheetName val="FDR-Jan-99 "/>
      <sheetName val="MAPPING-Mnth"/>
      <sheetName val="P&amp;L"/>
      <sheetName val="DF"/>
      <sheetName val="Balance Sheet "/>
      <sheetName val="Tables"/>
      <sheetName val="Instructions"/>
      <sheetName val="Vol &amp; Assumpt"/>
      <sheetName val="ASS_PP98"/>
      <sheetName val="Sheet2"/>
      <sheetName val="ALL-IBANK-BRS"/>
      <sheetName val="Colt IO"/>
    </sheetNames>
    <sheetDataSet>
      <sheetData sheetId="0">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Assumptions"/>
      <sheetName val="Tr&amp;Conv"/>
      <sheetName val="Emp"/>
      <sheetName val="Consult"/>
      <sheetName val="Others"/>
      <sheetName val="Summary-Expense "/>
      <sheetName val="Summ Exp"/>
      <sheetName val="3208"/>
      <sheetName val="3201"/>
      <sheetName val="32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sheetName val="Assume"/>
      <sheetName val="Print Menu"/>
      <sheetName val="ResetModule"/>
      <sheetName val="Adjustments"/>
      <sheetName val="Export"/>
      <sheetName val="Income Statement Input"/>
      <sheetName val="Balance Sheet Input"/>
      <sheetName val="Support Schedules"/>
      <sheetName val="Income Statement"/>
      <sheetName val="Balance Sheet"/>
      <sheetName val="NOPAT"/>
      <sheetName val="NOPAT-SBS"/>
      <sheetName val="Capital"/>
      <sheetName val="Capital-SBS"/>
      <sheetName val="Cum Unusual"/>
      <sheetName val="COT"/>
      <sheetName val="CET"/>
      <sheetName val="EVA"/>
      <sheetName val="MVA"/>
      <sheetName val="Graphs-MVA"/>
      <sheetName val="EVA-MVA"/>
      <sheetName val="Graphs-EVA"/>
      <sheetName val="PerfSum"/>
      <sheetName val="SixPanel"/>
      <sheetName val="Forecast-Input"/>
      <sheetName val="Engine NOPAT"/>
      <sheetName val="Engine CAPITAL"/>
      <sheetName val="Valuation"/>
      <sheetName val="Charts"/>
      <sheetName val="Validation"/>
      <sheetName val="Leases"/>
      <sheetName val="Capitalized Expense"/>
      <sheetName val="wwww"/>
      <sheetName val="HideModule"/>
      <sheetName val="ruSureModule"/>
      <sheetName val="PrintModule"/>
      <sheetName val="Reset-Module"/>
      <sheetName val="Hide-Module"/>
      <sheetName val="ruSure-Module"/>
      <sheetName val="Print Module"/>
      <sheetName val="TB9899"/>
      <sheetName val="Capital_by_Years_Valuation"/>
      <sheetName val="ReportsParameters"/>
      <sheetName val="Nopat_by_Years_Valuation"/>
      <sheetName val="Data"/>
    </sheetNames>
    <sheetDataSet>
      <sheetData sheetId="0" refreshError="1"/>
      <sheetData sheetId="1" refreshError="1">
        <row r="6">
          <cell r="D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2">
          <cell r="Q82">
            <v>0</v>
          </cell>
        </row>
        <row r="83">
          <cell r="Q83">
            <v>0</v>
          </cell>
        </row>
        <row r="84">
          <cell r="Q84">
            <v>0</v>
          </cell>
        </row>
        <row r="85">
          <cell r="Q85">
            <v>0</v>
          </cell>
        </row>
        <row r="86">
          <cell r="Q86">
            <v>297.91000000000003</v>
          </cell>
        </row>
        <row r="87">
          <cell r="Q87">
            <v>831.28</v>
          </cell>
        </row>
        <row r="88">
          <cell r="Q88">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3">
          <cell r="U13">
            <v>5633.1400999999996</v>
          </cell>
        </row>
      </sheetData>
      <sheetData sheetId="29" refreshError="1"/>
      <sheetData sheetId="30" refreshError="1">
        <row r="10">
          <cell r="D10" t="b">
            <v>1</v>
          </cell>
          <cell r="E10" t="b">
            <v>1</v>
          </cell>
          <cell r="F10" t="b">
            <v>1</v>
          </cell>
          <cell r="G10" t="b">
            <v>1</v>
          </cell>
          <cell r="H10" t="b">
            <v>1</v>
          </cell>
          <cell r="I10" t="b">
            <v>1</v>
          </cell>
          <cell r="J10" t="b">
            <v>1</v>
          </cell>
          <cell r="K10" t="b">
            <v>1</v>
          </cell>
          <cell r="L10" t="b">
            <v>1</v>
          </cell>
          <cell r="M10" t="b">
            <v>1</v>
          </cell>
          <cell r="N10" t="b">
            <v>1</v>
          </cell>
          <cell r="O10" t="b">
            <v>1</v>
          </cell>
        </row>
        <row r="17">
          <cell r="C17" t="b">
            <v>1</v>
          </cell>
          <cell r="D17" t="b">
            <v>1</v>
          </cell>
          <cell r="E17" t="b">
            <v>1</v>
          </cell>
          <cell r="F17" t="b">
            <v>1</v>
          </cell>
          <cell r="G17" t="b">
            <v>1</v>
          </cell>
          <cell r="H17" t="b">
            <v>1</v>
          </cell>
          <cell r="I17" t="b">
            <v>1</v>
          </cell>
          <cell r="J17" t="b">
            <v>1</v>
          </cell>
          <cell r="K17" t="b">
            <v>1</v>
          </cell>
          <cell r="L17" t="b">
            <v>1</v>
          </cell>
          <cell r="M17" t="b">
            <v>0</v>
          </cell>
          <cell r="N17" t="b">
            <v>0</v>
          </cell>
          <cell r="O17" t="b">
            <v>0</v>
          </cell>
        </row>
        <row r="22">
          <cell r="D22" t="b">
            <v>1</v>
          </cell>
          <cell r="E22" t="b">
            <v>1</v>
          </cell>
          <cell r="F22" t="b">
            <v>1</v>
          </cell>
          <cell r="G22" t="b">
            <v>1</v>
          </cell>
          <cell r="H22" t="b">
            <v>1</v>
          </cell>
          <cell r="I22" t="b">
            <v>1</v>
          </cell>
          <cell r="J22" t="b">
            <v>1</v>
          </cell>
          <cell r="K22" t="b">
            <v>1</v>
          </cell>
          <cell r="L22" t="b">
            <v>1</v>
          </cell>
          <cell r="M22" t="b">
            <v>0</v>
          </cell>
          <cell r="N22" t="b">
            <v>0</v>
          </cell>
          <cell r="O22" t="b">
            <v>0</v>
          </cell>
        </row>
        <row r="27">
          <cell r="C27" t="b">
            <v>1</v>
          </cell>
          <cell r="D27" t="b">
            <v>1</v>
          </cell>
          <cell r="E27" t="b">
            <v>1</v>
          </cell>
          <cell r="F27" t="b">
            <v>1</v>
          </cell>
          <cell r="G27" t="b">
            <v>1</v>
          </cell>
          <cell r="H27" t="b">
            <v>1</v>
          </cell>
          <cell r="I27" t="b">
            <v>1</v>
          </cell>
          <cell r="J27" t="b">
            <v>1</v>
          </cell>
          <cell r="K27" t="b">
            <v>1</v>
          </cell>
          <cell r="L27" t="b">
            <v>1</v>
          </cell>
          <cell r="M27" t="b">
            <v>0</v>
          </cell>
          <cell r="N27" t="b">
            <v>0</v>
          </cell>
          <cell r="O27" t="b">
            <v>0</v>
          </cell>
        </row>
      </sheetData>
      <sheetData sheetId="31" refreshError="1"/>
      <sheetData sheetId="32" refreshError="1"/>
      <sheetData sheetId="33" refreshError="1">
        <row r="64">
          <cell r="D64" t="b">
            <v>1</v>
          </cell>
          <cell r="E64">
            <v>0</v>
          </cell>
          <cell r="F64">
            <v>1</v>
          </cell>
        </row>
        <row r="67">
          <cell r="E67">
            <v>0</v>
          </cell>
          <cell r="F67">
            <v>0</v>
          </cell>
          <cell r="G67">
            <v>0</v>
          </cell>
          <cell r="H67">
            <v>0</v>
          </cell>
          <cell r="I67">
            <v>0</v>
          </cell>
          <cell r="J67">
            <v>0</v>
          </cell>
          <cell r="K67">
            <v>0</v>
          </cell>
          <cell r="L67">
            <v>0</v>
          </cell>
          <cell r="M67">
            <v>0</v>
          </cell>
          <cell r="N67">
            <v>1376.2280000000019</v>
          </cell>
          <cell r="O67">
            <v>1067.4921999999999</v>
          </cell>
          <cell r="P67">
            <v>1532.1284999999998</v>
          </cell>
        </row>
        <row r="69">
          <cell r="E69">
            <v>0</v>
          </cell>
          <cell r="F69">
            <v>0</v>
          </cell>
          <cell r="G69">
            <v>0</v>
          </cell>
          <cell r="H69">
            <v>0</v>
          </cell>
          <cell r="I69">
            <v>0</v>
          </cell>
          <cell r="J69">
            <v>0</v>
          </cell>
          <cell r="K69">
            <v>0</v>
          </cell>
          <cell r="L69">
            <v>0</v>
          </cell>
          <cell r="M69">
            <v>0</v>
          </cell>
          <cell r="N69">
            <v>-471.0813999999981</v>
          </cell>
          <cell r="O69">
            <v>-1482.4250000000031</v>
          </cell>
          <cell r="P69">
            <v>-1332.4639999999986</v>
          </cell>
        </row>
        <row r="70">
          <cell r="E70">
            <v>0</v>
          </cell>
          <cell r="F70">
            <v>0</v>
          </cell>
          <cell r="G70">
            <v>0</v>
          </cell>
          <cell r="H70">
            <v>0</v>
          </cell>
          <cell r="I70">
            <v>0</v>
          </cell>
          <cell r="J70">
            <v>0</v>
          </cell>
          <cell r="K70">
            <v>0</v>
          </cell>
          <cell r="L70">
            <v>0</v>
          </cell>
          <cell r="M70">
            <v>0</v>
          </cell>
          <cell r="N70">
            <v>-471.0813999999981</v>
          </cell>
          <cell r="O70">
            <v>-1482.4250000000031</v>
          </cell>
          <cell r="P70">
            <v>-1332.4639999999986</v>
          </cell>
        </row>
        <row r="77">
          <cell r="P77">
            <v>1.9172729373953573E-3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X Rates"/>
      <sheetName val="Instructions"/>
      <sheetName val="Control"/>
      <sheetName val="CDR"/>
      <sheetName val="Write Offs"/>
      <sheetName val="Acquisition"/>
      <sheetName val="STAT"/>
      <sheetName val="Workforce"/>
      <sheetName val="FRBR"/>
      <sheetName val="PRM"/>
      <sheetName val="SUMMARY"/>
      <sheetName val="Expense Summary"/>
      <sheetName val="NI 03OP vs 02ACT"/>
      <sheetName val="NI 03OP vs 03SII"/>
      <sheetName val="Walks"/>
      <sheetName val="Cost Walk 02ACT to 03OP"/>
      <sheetName val="WFWalk 02ACT to 03OP"/>
      <sheetName val="ERROR"/>
      <sheetName val="OFA"/>
      <sheetName val="Input-Function"/>
      <sheetName val="PARTS"/>
    </sheetNames>
    <sheetDataSet>
      <sheetData sheetId="0"/>
      <sheetData sheetId="1" refreshError="1">
        <row r="3">
          <cell r="E3" t="str">
            <v>Q101A</v>
          </cell>
          <cell r="F3" t="str">
            <v>Q201A</v>
          </cell>
          <cell r="G3" t="str">
            <v>Q301A</v>
          </cell>
          <cell r="H3" t="str">
            <v>Q401A</v>
          </cell>
          <cell r="I3" t="str">
            <v>FY01A</v>
          </cell>
          <cell r="K3" t="str">
            <v>Q102A</v>
          </cell>
          <cell r="L3" t="str">
            <v>Q202A</v>
          </cell>
          <cell r="M3" t="str">
            <v>Q302A</v>
          </cell>
          <cell r="N3" t="str">
            <v>Q402A</v>
          </cell>
          <cell r="O3" t="str">
            <v>FY02A</v>
          </cell>
          <cell r="Q3" t="str">
            <v>Q103OP</v>
          </cell>
          <cell r="R3" t="str">
            <v>Q203OP</v>
          </cell>
          <cell r="S3" t="str">
            <v>Q303OP</v>
          </cell>
          <cell r="T3" t="str">
            <v>Q403OP</v>
          </cell>
          <cell r="U3" t="str">
            <v>FY03OP</v>
          </cell>
          <cell r="W3" t="str">
            <v>Q103SII</v>
          </cell>
          <cell r="X3" t="str">
            <v>Q203SII</v>
          </cell>
          <cell r="Y3" t="str">
            <v>Q303SII</v>
          </cell>
          <cell r="Z3" t="str">
            <v>Q403SII</v>
          </cell>
          <cell r="AA3" t="str">
            <v>FY03SII</v>
          </cell>
          <cell r="AC3" t="str">
            <v>Q102SII</v>
          </cell>
          <cell r="AD3" t="str">
            <v>Q202SII</v>
          </cell>
          <cell r="AE3" t="str">
            <v>Q302SII</v>
          </cell>
          <cell r="AF3" t="str">
            <v>Q402SII</v>
          </cell>
          <cell r="AG3" t="str">
            <v>FY02SII</v>
          </cell>
          <cell r="AI3" t="str">
            <v>Q103SI</v>
          </cell>
          <cell r="AJ3" t="str">
            <v>Q203SI</v>
          </cell>
          <cell r="AK3" t="str">
            <v>Q303SI</v>
          </cell>
          <cell r="AL3" t="str">
            <v>Q403SI</v>
          </cell>
          <cell r="AM3" t="str">
            <v>FY03SI</v>
          </cell>
        </row>
        <row r="4">
          <cell r="A4" t="str">
            <v>Argentina</v>
          </cell>
          <cell r="E4">
            <v>0.9995666666666666</v>
          </cell>
          <cell r="F4">
            <v>0.9996666666666667</v>
          </cell>
          <cell r="G4">
            <v>0.99963333333333326</v>
          </cell>
          <cell r="H4">
            <v>0.99940000000000007</v>
          </cell>
          <cell r="I4">
            <v>0.9995666666666666</v>
          </cell>
          <cell r="K4">
            <v>1.7483333333333333</v>
          </cell>
          <cell r="L4">
            <v>2.8066666666666666</v>
          </cell>
          <cell r="M4">
            <v>3.5566666666666666</v>
          </cell>
          <cell r="N4">
            <v>3.62</v>
          </cell>
          <cell r="O4">
            <v>2.9329166666666664</v>
          </cell>
          <cell r="Q4">
            <v>3.54</v>
          </cell>
          <cell r="R4">
            <v>3.54</v>
          </cell>
          <cell r="S4">
            <v>3.54</v>
          </cell>
          <cell r="T4">
            <v>3.54</v>
          </cell>
          <cell r="U4">
            <v>3.54</v>
          </cell>
          <cell r="W4">
            <v>4.5199999999999996</v>
          </cell>
          <cell r="X4">
            <v>4.5199999999999996</v>
          </cell>
          <cell r="Y4">
            <v>4.5199999999999996</v>
          </cell>
          <cell r="Z4">
            <v>4.5199999999999996</v>
          </cell>
          <cell r="AA4">
            <v>4.5199999999999996</v>
          </cell>
          <cell r="AC4">
            <v>2.25</v>
          </cell>
          <cell r="AD4">
            <v>2.25</v>
          </cell>
          <cell r="AE4">
            <v>2.25</v>
          </cell>
          <cell r="AF4">
            <v>2.25</v>
          </cell>
          <cell r="AG4">
            <v>2.25</v>
          </cell>
          <cell r="AI4">
            <v>4.0999999999999996</v>
          </cell>
          <cell r="AJ4">
            <v>4.0999999999999996</v>
          </cell>
          <cell r="AK4">
            <v>4.0999999999999996</v>
          </cell>
          <cell r="AL4">
            <v>4.0999999999999996</v>
          </cell>
          <cell r="AM4">
            <v>4.0999999999999996</v>
          </cell>
        </row>
        <row r="5">
          <cell r="A5" t="str">
            <v>Australia</v>
          </cell>
          <cell r="E5">
            <v>1.8341407937836376</v>
          </cell>
          <cell r="F5">
            <v>1.963485329880126</v>
          </cell>
          <cell r="G5">
            <v>1.9384207407642176</v>
          </cell>
          <cell r="H5">
            <v>1.9561793380074037</v>
          </cell>
          <cell r="I5">
            <v>1.9230565506088464</v>
          </cell>
          <cell r="K5">
            <v>1.9404833217101816</v>
          </cell>
          <cell r="L5">
            <v>1.8876455788375657</v>
          </cell>
          <cell r="M5">
            <v>1.7968172199832615</v>
          </cell>
          <cell r="N5">
            <v>1.819280881464918</v>
          </cell>
          <cell r="O5">
            <v>1.8610567504989817</v>
          </cell>
          <cell r="Q5">
            <v>1.8021265092809517</v>
          </cell>
          <cell r="R5">
            <v>1.7979000000000001</v>
          </cell>
          <cell r="S5">
            <v>1.7979000000000001</v>
          </cell>
          <cell r="T5">
            <v>1.7979000000000001</v>
          </cell>
          <cell r="U5">
            <v>1.798956627320238</v>
          </cell>
          <cell r="W5">
            <v>1.9231</v>
          </cell>
          <cell r="X5">
            <v>1.9231</v>
          </cell>
          <cell r="Y5">
            <v>1.9231</v>
          </cell>
          <cell r="Z5">
            <v>1.9231</v>
          </cell>
          <cell r="AA5">
            <v>1.9231</v>
          </cell>
          <cell r="AC5">
            <v>1.82</v>
          </cell>
          <cell r="AD5">
            <v>1.82</v>
          </cell>
          <cell r="AE5">
            <v>1.82</v>
          </cell>
          <cell r="AF5">
            <v>1.82</v>
          </cell>
          <cell r="AG5">
            <v>1.82</v>
          </cell>
          <cell r="AI5">
            <v>1.9231</v>
          </cell>
          <cell r="AJ5">
            <v>1.9231</v>
          </cell>
          <cell r="AK5">
            <v>1.9231</v>
          </cell>
          <cell r="AL5">
            <v>1.9231</v>
          </cell>
          <cell r="AM5">
            <v>1.9231</v>
          </cell>
        </row>
        <row r="6">
          <cell r="A6" t="str">
            <v>Austria</v>
          </cell>
          <cell r="E6">
            <v>1.101334404641686</v>
          </cell>
          <cell r="F6">
            <v>1.1086764612800633</v>
          </cell>
          <cell r="G6">
            <v>1.1580838602305075</v>
          </cell>
          <cell r="H6">
            <v>1.100889182235657</v>
          </cell>
          <cell r="I6">
            <v>1.1172459770969785</v>
          </cell>
          <cell r="K6">
            <v>1.1312396333333334</v>
          </cell>
          <cell r="L6">
            <v>1.1313419666666666</v>
          </cell>
          <cell r="M6">
            <v>1.0356932000000001</v>
          </cell>
          <cell r="N6">
            <v>1.0164866000000001</v>
          </cell>
          <cell r="O6">
            <v>1.07869035</v>
          </cell>
          <cell r="Q6">
            <v>1.0259189639892179</v>
          </cell>
          <cell r="R6">
            <v>1.0292309016002636</v>
          </cell>
          <cell r="S6">
            <v>1.0320261865616565</v>
          </cell>
          <cell r="T6">
            <v>1.0341284290123642</v>
          </cell>
          <cell r="U6">
            <v>1.0303261202908756</v>
          </cell>
          <cell r="W6">
            <v>1.1259999999999999</v>
          </cell>
          <cell r="X6">
            <v>1.1259999999999999</v>
          </cell>
          <cell r="Y6">
            <v>1.1259999999999999</v>
          </cell>
          <cell r="Z6">
            <v>1.1259999999999999</v>
          </cell>
          <cell r="AA6">
            <v>1.1259999999999999</v>
          </cell>
          <cell r="AC6">
            <v>1.1100000000000001</v>
          </cell>
          <cell r="AD6">
            <v>1.1100000000000001</v>
          </cell>
          <cell r="AE6">
            <v>1.1100000000000001</v>
          </cell>
          <cell r="AF6">
            <v>1.1100000000000001</v>
          </cell>
          <cell r="AG6">
            <v>1.1100000000000001</v>
          </cell>
          <cell r="AI6">
            <v>1.1259999999999999</v>
          </cell>
          <cell r="AJ6">
            <v>1.1259999999999999</v>
          </cell>
          <cell r="AK6">
            <v>1.1259999999999999</v>
          </cell>
          <cell r="AL6">
            <v>1.1259999999999999</v>
          </cell>
          <cell r="AM6">
            <v>1.1259999999999999</v>
          </cell>
        </row>
        <row r="7">
          <cell r="A7" t="str">
            <v>Ireland</v>
          </cell>
          <cell r="E7">
            <v>1.101334404641686</v>
          </cell>
          <cell r="F7">
            <v>1.1086764612800633</v>
          </cell>
          <cell r="G7">
            <v>1.1580838602305075</v>
          </cell>
          <cell r="H7">
            <v>1.100889182235657</v>
          </cell>
          <cell r="I7">
            <v>1.1172459770969785</v>
          </cell>
          <cell r="K7">
            <v>1.1312396333333334</v>
          </cell>
          <cell r="L7">
            <v>1.1313419666666666</v>
          </cell>
          <cell r="M7">
            <v>1.0356932000000001</v>
          </cell>
          <cell r="N7">
            <v>1.0164866000000001</v>
          </cell>
          <cell r="O7">
            <v>1.07869035</v>
          </cell>
          <cell r="Q7">
            <v>1.0259189639892179</v>
          </cell>
          <cell r="R7">
            <v>1.0292309016002636</v>
          </cell>
          <cell r="S7">
            <v>1.0320261865616565</v>
          </cell>
          <cell r="T7">
            <v>1.0341284290123642</v>
          </cell>
          <cell r="U7">
            <v>1.0303261202908756</v>
          </cell>
          <cell r="W7">
            <v>1.1259999999999999</v>
          </cell>
          <cell r="X7">
            <v>1.1259999999999999</v>
          </cell>
          <cell r="Y7">
            <v>1.1259999999999999</v>
          </cell>
          <cell r="Z7">
            <v>1.1259999999999999</v>
          </cell>
          <cell r="AA7">
            <v>1.1259999999999999</v>
          </cell>
          <cell r="AC7">
            <v>1.1100000000000001</v>
          </cell>
          <cell r="AD7">
            <v>1.1100000000000001</v>
          </cell>
          <cell r="AE7">
            <v>1.1100000000000001</v>
          </cell>
          <cell r="AF7">
            <v>1.1100000000000001</v>
          </cell>
          <cell r="AG7">
            <v>1.1100000000000001</v>
          </cell>
          <cell r="AI7">
            <v>1.1259999999999999</v>
          </cell>
          <cell r="AJ7">
            <v>1.1259999999999999</v>
          </cell>
          <cell r="AK7">
            <v>1.1259999999999999</v>
          </cell>
          <cell r="AL7">
            <v>1.1259999999999999</v>
          </cell>
          <cell r="AM7">
            <v>1.1259999999999999</v>
          </cell>
        </row>
        <row r="8">
          <cell r="A8" t="str">
            <v>Italy</v>
          </cell>
          <cell r="E8">
            <v>1.101334404641686</v>
          </cell>
          <cell r="F8">
            <v>1.1086764612800633</v>
          </cell>
          <cell r="G8">
            <v>1.1580838602305075</v>
          </cell>
          <cell r="H8">
            <v>1.100889182235657</v>
          </cell>
          <cell r="I8">
            <v>1.1172459770969785</v>
          </cell>
          <cell r="K8">
            <v>1.1312396333333334</v>
          </cell>
          <cell r="L8">
            <v>1.1313419666666666</v>
          </cell>
          <cell r="M8">
            <v>1.0356932000000001</v>
          </cell>
          <cell r="N8">
            <v>1.0164866000000001</v>
          </cell>
          <cell r="O8">
            <v>1.07869035</v>
          </cell>
          <cell r="Q8">
            <v>1.0259189639892179</v>
          </cell>
          <cell r="R8">
            <v>1.0292309016002636</v>
          </cell>
          <cell r="S8">
            <v>1.0320261865616565</v>
          </cell>
          <cell r="T8">
            <v>1.0341284290123642</v>
          </cell>
          <cell r="U8">
            <v>1.0303261202908756</v>
          </cell>
          <cell r="W8">
            <v>1.1259999999999999</v>
          </cell>
          <cell r="X8">
            <v>1.1259999999999999</v>
          </cell>
          <cell r="Y8">
            <v>1.1259999999999999</v>
          </cell>
          <cell r="Z8">
            <v>1.1259999999999999</v>
          </cell>
          <cell r="AA8">
            <v>1.1259999999999999</v>
          </cell>
          <cell r="AC8">
            <v>1.1100000000000001</v>
          </cell>
          <cell r="AD8">
            <v>1.1100000000000001</v>
          </cell>
          <cell r="AE8">
            <v>1.1100000000000001</v>
          </cell>
          <cell r="AF8">
            <v>1.1100000000000001</v>
          </cell>
          <cell r="AG8">
            <v>1.1100000000000001</v>
          </cell>
          <cell r="AI8">
            <v>1.1259999999999999</v>
          </cell>
          <cell r="AJ8">
            <v>1.1259999999999999</v>
          </cell>
          <cell r="AK8">
            <v>1.1259999999999999</v>
          </cell>
          <cell r="AL8">
            <v>1.1259999999999999</v>
          </cell>
          <cell r="AM8">
            <v>1.1259999999999999</v>
          </cell>
        </row>
        <row r="9">
          <cell r="A9" t="str">
            <v>Portugal</v>
          </cell>
          <cell r="E9">
            <v>1.101334404641686</v>
          </cell>
          <cell r="F9">
            <v>1.1086764612800633</v>
          </cell>
          <cell r="G9">
            <v>1.1580838602305075</v>
          </cell>
          <cell r="H9">
            <v>1.100889182235657</v>
          </cell>
          <cell r="I9">
            <v>1.1172459770969785</v>
          </cell>
          <cell r="K9">
            <v>1.1312396333333334</v>
          </cell>
          <cell r="L9">
            <v>1.1313419666666666</v>
          </cell>
          <cell r="M9">
            <v>1.0356932000000001</v>
          </cell>
          <cell r="N9">
            <v>1.0164866000000001</v>
          </cell>
          <cell r="O9">
            <v>1.07869035</v>
          </cell>
          <cell r="Q9">
            <v>1.0259189639892179</v>
          </cell>
          <cell r="R9">
            <v>1.0292309016002636</v>
          </cell>
          <cell r="S9">
            <v>1.0320261865616565</v>
          </cell>
          <cell r="T9">
            <v>1.0341284290123642</v>
          </cell>
          <cell r="U9">
            <v>1.0303261202908756</v>
          </cell>
          <cell r="W9">
            <v>1.1259999999999999</v>
          </cell>
          <cell r="X9">
            <v>1.1259999999999999</v>
          </cell>
          <cell r="Y9">
            <v>1.1259999999999999</v>
          </cell>
          <cell r="Z9">
            <v>1.1259999999999999</v>
          </cell>
          <cell r="AA9">
            <v>1.1259999999999999</v>
          </cell>
          <cell r="AC9">
            <v>1.1100000000000001</v>
          </cell>
          <cell r="AD9">
            <v>1.1100000000000001</v>
          </cell>
          <cell r="AE9">
            <v>1.1100000000000001</v>
          </cell>
          <cell r="AF9">
            <v>1.1100000000000001</v>
          </cell>
          <cell r="AG9">
            <v>1.1100000000000001</v>
          </cell>
          <cell r="AI9">
            <v>1.1259999999999999</v>
          </cell>
          <cell r="AJ9">
            <v>1.1259999999999999</v>
          </cell>
          <cell r="AK9">
            <v>1.1259999999999999</v>
          </cell>
          <cell r="AL9">
            <v>1.1259999999999999</v>
          </cell>
          <cell r="AM9">
            <v>1.1259999999999999</v>
          </cell>
        </row>
        <row r="10">
          <cell r="A10" t="str">
            <v>Spain</v>
          </cell>
          <cell r="E10">
            <v>1.101334404641686</v>
          </cell>
          <cell r="F10">
            <v>1.1086764612800633</v>
          </cell>
          <cell r="G10">
            <v>1.1580838602305075</v>
          </cell>
          <cell r="H10">
            <v>1.100889182235657</v>
          </cell>
          <cell r="I10">
            <v>1.1172459770969785</v>
          </cell>
          <cell r="K10">
            <v>1.1312396333333334</v>
          </cell>
          <cell r="L10">
            <v>1.1313419666666666</v>
          </cell>
          <cell r="M10">
            <v>1.0356932000000001</v>
          </cell>
          <cell r="N10">
            <v>1.0164866000000001</v>
          </cell>
          <cell r="O10">
            <v>1.07869035</v>
          </cell>
          <cell r="Q10">
            <v>1.0259189639892179</v>
          </cell>
          <cell r="R10">
            <v>1.0292309016002636</v>
          </cell>
          <cell r="S10">
            <v>1.0320261865616565</v>
          </cell>
          <cell r="T10">
            <v>1.0341284290123642</v>
          </cell>
          <cell r="U10">
            <v>1.0303261202908756</v>
          </cell>
          <cell r="W10">
            <v>1.1259999999999999</v>
          </cell>
          <cell r="X10">
            <v>1.1259999999999999</v>
          </cell>
          <cell r="Y10">
            <v>1.1259999999999999</v>
          </cell>
          <cell r="Z10">
            <v>1.1259999999999999</v>
          </cell>
          <cell r="AA10">
            <v>1.1259999999999999</v>
          </cell>
          <cell r="AC10">
            <v>1.1100000000000001</v>
          </cell>
          <cell r="AD10">
            <v>1.1100000000000001</v>
          </cell>
          <cell r="AE10">
            <v>1.1100000000000001</v>
          </cell>
          <cell r="AF10">
            <v>1.1100000000000001</v>
          </cell>
          <cell r="AG10">
            <v>1.1100000000000001</v>
          </cell>
          <cell r="AI10">
            <v>1.1259999999999999</v>
          </cell>
          <cell r="AJ10">
            <v>1.1259999999999999</v>
          </cell>
          <cell r="AK10">
            <v>1.1259999999999999</v>
          </cell>
          <cell r="AL10">
            <v>1.1259999999999999</v>
          </cell>
          <cell r="AM10">
            <v>1.1259999999999999</v>
          </cell>
        </row>
        <row r="11">
          <cell r="A11" t="str">
            <v>Auto UK</v>
          </cell>
          <cell r="E11">
            <v>0.68472460710060012</v>
          </cell>
          <cell r="F11">
            <v>0.69423586631869727</v>
          </cell>
          <cell r="G11">
            <v>0.70672741224611091</v>
          </cell>
          <cell r="H11">
            <v>0.68672732736537567</v>
          </cell>
          <cell r="I11">
            <v>0.69310380325769594</v>
          </cell>
          <cell r="K11">
            <v>0.69859356666666672</v>
          </cell>
          <cell r="L11">
            <v>0.69623210000000002</v>
          </cell>
          <cell r="M11">
            <v>0.66070323333333325</v>
          </cell>
          <cell r="N11">
            <v>0.64350929999999995</v>
          </cell>
          <cell r="O11">
            <v>0.67475954999999999</v>
          </cell>
          <cell r="Q11">
            <v>0.64374328901410338</v>
          </cell>
          <cell r="R11">
            <v>0.64725130689108901</v>
          </cell>
          <cell r="S11">
            <v>0.65076833047150973</v>
          </cell>
          <cell r="T11">
            <v>0.65419294520231885</v>
          </cell>
          <cell r="U11">
            <v>0.6489655506316524</v>
          </cell>
          <cell r="W11">
            <v>0.69</v>
          </cell>
          <cell r="X11">
            <v>0.69</v>
          </cell>
          <cell r="Y11">
            <v>0.69</v>
          </cell>
          <cell r="Z11">
            <v>0.69</v>
          </cell>
          <cell r="AA11">
            <v>0.69</v>
          </cell>
          <cell r="AC11">
            <v>0.7</v>
          </cell>
          <cell r="AD11">
            <v>0.7</v>
          </cell>
          <cell r="AE11">
            <v>0.7</v>
          </cell>
          <cell r="AF11">
            <v>0.7</v>
          </cell>
          <cell r="AG11">
            <v>0.7</v>
          </cell>
          <cell r="AI11">
            <v>0.69</v>
          </cell>
          <cell r="AJ11">
            <v>0.69</v>
          </cell>
          <cell r="AK11">
            <v>0.69</v>
          </cell>
          <cell r="AL11">
            <v>0.69</v>
          </cell>
          <cell r="AM11">
            <v>0.69</v>
          </cell>
        </row>
        <row r="12">
          <cell r="A12" t="str">
            <v>Brazil</v>
          </cell>
          <cell r="E12">
            <v>1.9616333333333333</v>
          </cell>
          <cell r="F12">
            <v>2.1309</v>
          </cell>
          <cell r="G12">
            <v>2.4148999999999998</v>
          </cell>
          <cell r="H12">
            <v>2.6548666666666665</v>
          </cell>
          <cell r="I12">
            <v>2.290575</v>
          </cell>
          <cell r="K12">
            <v>2.4071666666666669</v>
          </cell>
          <cell r="L12">
            <v>2.3607999999999998</v>
          </cell>
          <cell r="M12">
            <v>2.8013145666666666</v>
          </cell>
          <cell r="N12">
            <v>3.4826363666666666</v>
          </cell>
          <cell r="O12">
            <v>2.7629793999999999</v>
          </cell>
          <cell r="Q12">
            <v>3.7404999999999999</v>
          </cell>
          <cell r="R12">
            <v>3.7404999999999999</v>
          </cell>
          <cell r="S12">
            <v>3.7404999999999999</v>
          </cell>
          <cell r="T12">
            <v>3.7404999999999999</v>
          </cell>
          <cell r="U12">
            <v>3.7404999999999999</v>
          </cell>
          <cell r="W12">
            <v>2.34</v>
          </cell>
          <cell r="X12">
            <v>2.34</v>
          </cell>
          <cell r="Y12">
            <v>2.34</v>
          </cell>
          <cell r="Z12">
            <v>2.34</v>
          </cell>
          <cell r="AA12">
            <v>2.34</v>
          </cell>
          <cell r="AC12">
            <v>2.41</v>
          </cell>
          <cell r="AD12">
            <v>2.41</v>
          </cell>
          <cell r="AE12">
            <v>2.41</v>
          </cell>
          <cell r="AF12">
            <v>2.41</v>
          </cell>
          <cell r="AG12">
            <v>2.41</v>
          </cell>
          <cell r="AI12">
            <v>2.34</v>
          </cell>
          <cell r="AJ12">
            <v>2.34</v>
          </cell>
          <cell r="AK12">
            <v>2.34</v>
          </cell>
          <cell r="AL12">
            <v>2.34</v>
          </cell>
          <cell r="AM12">
            <v>2.34</v>
          </cell>
        </row>
        <row r="13">
          <cell r="A13" t="str">
            <v>Budapest Bank</v>
          </cell>
          <cell r="E13">
            <v>291.82306666666665</v>
          </cell>
          <cell r="F13">
            <v>294.80263333333329</v>
          </cell>
          <cell r="G13">
            <v>288.78086666666667</v>
          </cell>
          <cell r="H13">
            <v>280.53243333333336</v>
          </cell>
          <cell r="I13">
            <v>288.98474999999996</v>
          </cell>
          <cell r="K13">
            <v>278.49409999999995</v>
          </cell>
          <cell r="L13">
            <v>275.50433333333336</v>
          </cell>
          <cell r="M13">
            <v>253.27843470000002</v>
          </cell>
          <cell r="N13">
            <v>247.60113636666665</v>
          </cell>
          <cell r="O13">
            <v>263.7195011</v>
          </cell>
          <cell r="Q13">
            <v>258.32</v>
          </cell>
          <cell r="R13">
            <v>263.25</v>
          </cell>
          <cell r="S13">
            <v>268.08999999999997</v>
          </cell>
          <cell r="T13">
            <v>272.85000000000002</v>
          </cell>
          <cell r="U13">
            <v>265.6275</v>
          </cell>
          <cell r="W13">
            <v>271.60000000000002</v>
          </cell>
          <cell r="X13">
            <v>271.60000000000002</v>
          </cell>
          <cell r="Y13">
            <v>271.60000000000002</v>
          </cell>
          <cell r="Z13">
            <v>271.60000000000002</v>
          </cell>
          <cell r="AA13">
            <v>271.60000000000002</v>
          </cell>
          <cell r="AC13">
            <v>285</v>
          </cell>
          <cell r="AD13">
            <v>285</v>
          </cell>
          <cell r="AE13">
            <v>285</v>
          </cell>
          <cell r="AF13">
            <v>285</v>
          </cell>
          <cell r="AG13">
            <v>285</v>
          </cell>
          <cell r="AI13">
            <v>271.60000000000002</v>
          </cell>
          <cell r="AJ13">
            <v>271.60000000000002</v>
          </cell>
          <cell r="AK13">
            <v>271.60000000000002</v>
          </cell>
          <cell r="AL13">
            <v>271.60000000000002</v>
          </cell>
          <cell r="AM13">
            <v>271.60000000000002</v>
          </cell>
        </row>
        <row r="14">
          <cell r="A14" t="str">
            <v>Czech Republic</v>
          </cell>
          <cell r="E14">
            <v>38.406733333333328</v>
          </cell>
          <cell r="F14">
            <v>38.330333333333336</v>
          </cell>
          <cell r="G14">
            <v>39.357466666666674</v>
          </cell>
          <cell r="H14">
            <v>37.265233333333335</v>
          </cell>
          <cell r="I14">
            <v>38.339941666666668</v>
          </cell>
          <cell r="K14">
            <v>36.572433333333329</v>
          </cell>
          <cell r="L14">
            <v>35.049533333333329</v>
          </cell>
          <cell r="M14">
            <v>31.248837699999999</v>
          </cell>
          <cell r="N14">
            <v>31.086181800000002</v>
          </cell>
          <cell r="O14">
            <v>33.48924654166666</v>
          </cell>
          <cell r="Q14">
            <v>31.15</v>
          </cell>
          <cell r="R14">
            <v>31.23</v>
          </cell>
          <cell r="S14">
            <v>31.295000000000002</v>
          </cell>
          <cell r="T14">
            <v>31.375</v>
          </cell>
          <cell r="U14">
            <v>31.262499999999999</v>
          </cell>
          <cell r="W14">
            <v>34</v>
          </cell>
          <cell r="X14">
            <v>34</v>
          </cell>
          <cell r="Y14">
            <v>34</v>
          </cell>
          <cell r="Z14">
            <v>34</v>
          </cell>
          <cell r="AA14">
            <v>34</v>
          </cell>
          <cell r="AC14">
            <v>38.119999999999997</v>
          </cell>
          <cell r="AD14">
            <v>38.119999999999997</v>
          </cell>
          <cell r="AE14">
            <v>38.119999999999997</v>
          </cell>
          <cell r="AF14">
            <v>38.119999999999997</v>
          </cell>
          <cell r="AG14">
            <v>38.119999999999997</v>
          </cell>
          <cell r="AI14">
            <v>34</v>
          </cell>
          <cell r="AJ14">
            <v>34</v>
          </cell>
          <cell r="AK14">
            <v>34</v>
          </cell>
          <cell r="AL14">
            <v>34</v>
          </cell>
          <cell r="AM14">
            <v>34</v>
          </cell>
        </row>
        <row r="15">
          <cell r="A15" t="str">
            <v>Denmark</v>
          </cell>
          <cell r="E15">
            <v>8.2195666666666671</v>
          </cell>
          <cell r="F15">
            <v>8.2783999999999995</v>
          </cell>
          <cell r="G15">
            <v>8.6320666666666668</v>
          </cell>
          <cell r="H15">
            <v>8.1955000000000009</v>
          </cell>
          <cell r="I15">
            <v>8.3313833333333331</v>
          </cell>
          <cell r="K15">
            <v>8.4145666666666674</v>
          </cell>
          <cell r="L15">
            <v>8.4106666666666658</v>
          </cell>
          <cell r="M15">
            <v>7.7008496333333341</v>
          </cell>
          <cell r="N15">
            <v>7.5525197000000004</v>
          </cell>
          <cell r="O15">
            <v>8.0196506666666671</v>
          </cell>
          <cell r="Q15">
            <v>7.5824333333333334</v>
          </cell>
          <cell r="R15">
            <v>7.6108543478260868</v>
          </cell>
          <cell r="S15">
            <v>7.6361347826086954</v>
          </cell>
          <cell r="T15">
            <v>7.6523479564032693</v>
          </cell>
          <cell r="U15">
            <v>7.6367506275956076</v>
          </cell>
          <cell r="W15">
            <v>8.3699999999999992</v>
          </cell>
          <cell r="X15">
            <v>8.3699999999999992</v>
          </cell>
          <cell r="Y15">
            <v>8.3699999999999992</v>
          </cell>
          <cell r="Z15">
            <v>8.3699999999999992</v>
          </cell>
          <cell r="AA15">
            <v>8.3699999999999992</v>
          </cell>
          <cell r="AC15">
            <v>8.33</v>
          </cell>
          <cell r="AD15">
            <v>8.33</v>
          </cell>
          <cell r="AE15">
            <v>8.33</v>
          </cell>
          <cell r="AF15">
            <v>8.33</v>
          </cell>
          <cell r="AG15">
            <v>8.33</v>
          </cell>
          <cell r="AI15">
            <v>8.3699999999999992</v>
          </cell>
          <cell r="AJ15">
            <v>8.3699999999999992</v>
          </cell>
          <cell r="AK15">
            <v>8.3699999999999992</v>
          </cell>
          <cell r="AL15">
            <v>8.3699999999999992</v>
          </cell>
          <cell r="AM15">
            <v>8.3699999999999992</v>
          </cell>
        </row>
        <row r="16">
          <cell r="A16" t="str">
            <v>DOMs</v>
          </cell>
          <cell r="E16">
            <v>1.101334404641686</v>
          </cell>
          <cell r="F16">
            <v>1.1086764612800633</v>
          </cell>
          <cell r="G16">
            <v>1.1580838602305075</v>
          </cell>
          <cell r="H16">
            <v>1.100889182235657</v>
          </cell>
          <cell r="I16">
            <v>1.1172459770969785</v>
          </cell>
          <cell r="K16">
            <v>1.1312396333333334</v>
          </cell>
          <cell r="L16">
            <v>1.1313419666666666</v>
          </cell>
          <cell r="M16">
            <v>1.0356932000000001</v>
          </cell>
          <cell r="N16">
            <v>1.0164866000000001</v>
          </cell>
          <cell r="O16">
            <v>1.07869035</v>
          </cell>
          <cell r="Q16">
            <v>1.0259189639892179</v>
          </cell>
          <cell r="R16">
            <v>1.0292309016002636</v>
          </cell>
          <cell r="S16">
            <v>1.0320261865616565</v>
          </cell>
          <cell r="T16">
            <v>1.0341284290123642</v>
          </cell>
          <cell r="U16">
            <v>1.0303261202908756</v>
          </cell>
          <cell r="W16">
            <v>1.1259999999999999</v>
          </cell>
          <cell r="X16">
            <v>1.1259999999999999</v>
          </cell>
          <cell r="Y16">
            <v>1.1259999999999999</v>
          </cell>
          <cell r="Z16">
            <v>1.1259999999999999</v>
          </cell>
          <cell r="AA16">
            <v>1.1259999999999999</v>
          </cell>
          <cell r="AC16">
            <v>1.1100000000000001</v>
          </cell>
          <cell r="AD16">
            <v>1.1100000000000001</v>
          </cell>
          <cell r="AE16">
            <v>1.1100000000000001</v>
          </cell>
          <cell r="AF16">
            <v>1.1100000000000001</v>
          </cell>
          <cell r="AG16">
            <v>1.1100000000000001</v>
          </cell>
          <cell r="AI16">
            <v>1.1259999999999999</v>
          </cell>
          <cell r="AJ16">
            <v>1.1259999999999999</v>
          </cell>
          <cell r="AK16">
            <v>1.1259999999999999</v>
          </cell>
          <cell r="AL16">
            <v>1.1259999999999999</v>
          </cell>
          <cell r="AM16">
            <v>1.1259999999999999</v>
          </cell>
        </row>
        <row r="17">
          <cell r="A17" t="str">
            <v>Consumer UK</v>
          </cell>
          <cell r="E17">
            <v>0.68472460710060012</v>
          </cell>
          <cell r="F17">
            <v>0.69423586631869727</v>
          </cell>
          <cell r="G17">
            <v>0.70672741224611091</v>
          </cell>
          <cell r="H17">
            <v>0.68672732736537567</v>
          </cell>
          <cell r="I17">
            <v>0.69310380325769594</v>
          </cell>
          <cell r="K17">
            <v>0.69859356666666672</v>
          </cell>
          <cell r="L17">
            <v>0.69623210000000002</v>
          </cell>
          <cell r="M17">
            <v>0.66070323333333325</v>
          </cell>
          <cell r="N17">
            <v>0.64350929999999995</v>
          </cell>
          <cell r="O17">
            <v>0.67475954999999999</v>
          </cell>
          <cell r="Q17">
            <v>0.64374328901410338</v>
          </cell>
          <cell r="R17">
            <v>0.64725130689108901</v>
          </cell>
          <cell r="S17">
            <v>0.65076833047150973</v>
          </cell>
          <cell r="T17">
            <v>0.65419294520231885</v>
          </cell>
          <cell r="U17">
            <v>0.6489655506316524</v>
          </cell>
          <cell r="W17">
            <v>0.69</v>
          </cell>
          <cell r="X17">
            <v>0.69</v>
          </cell>
          <cell r="Y17">
            <v>0.69</v>
          </cell>
          <cell r="Z17">
            <v>0.69</v>
          </cell>
          <cell r="AA17">
            <v>0.69</v>
          </cell>
          <cell r="AC17">
            <v>0.69</v>
          </cell>
          <cell r="AD17">
            <v>0.69</v>
          </cell>
          <cell r="AE17">
            <v>0.69</v>
          </cell>
          <cell r="AF17">
            <v>0.69</v>
          </cell>
          <cell r="AG17">
            <v>0.69</v>
          </cell>
          <cell r="AI17">
            <v>0.69</v>
          </cell>
          <cell r="AJ17">
            <v>0.69</v>
          </cell>
          <cell r="AK17">
            <v>0.69</v>
          </cell>
          <cell r="AL17">
            <v>0.69</v>
          </cell>
          <cell r="AM17">
            <v>0.69</v>
          </cell>
        </row>
        <row r="18">
          <cell r="A18" t="str">
            <v>Mail Services</v>
          </cell>
          <cell r="E18">
            <v>0.68472460710060012</v>
          </cell>
          <cell r="F18">
            <v>0.69423586631869727</v>
          </cell>
          <cell r="G18">
            <v>0.70672741224611091</v>
          </cell>
          <cell r="H18">
            <v>0.68672732736537567</v>
          </cell>
          <cell r="I18">
            <v>0.69310380325769594</v>
          </cell>
          <cell r="K18">
            <v>0.69859356666666672</v>
          </cell>
          <cell r="L18">
            <v>0.69623210000000002</v>
          </cell>
          <cell r="M18">
            <v>0.66070323333333325</v>
          </cell>
          <cell r="N18">
            <v>0.64350929999999995</v>
          </cell>
          <cell r="O18">
            <v>0.67475954999999999</v>
          </cell>
          <cell r="Q18">
            <v>0.64374328901410338</v>
          </cell>
          <cell r="R18">
            <v>0.64725130689108901</v>
          </cell>
          <cell r="S18">
            <v>0.65076833047150973</v>
          </cell>
          <cell r="T18">
            <v>0.65419294520231885</v>
          </cell>
          <cell r="U18">
            <v>0.6489655506316524</v>
          </cell>
          <cell r="W18">
            <v>0.69</v>
          </cell>
          <cell r="X18">
            <v>0.69</v>
          </cell>
          <cell r="Y18">
            <v>0.69</v>
          </cell>
          <cell r="Z18">
            <v>0.69</v>
          </cell>
          <cell r="AA18">
            <v>0.69</v>
          </cell>
          <cell r="AC18">
            <v>0.69</v>
          </cell>
          <cell r="AD18">
            <v>0.69</v>
          </cell>
          <cell r="AE18">
            <v>0.69</v>
          </cell>
          <cell r="AF18">
            <v>0.69</v>
          </cell>
          <cell r="AG18">
            <v>0.69</v>
          </cell>
          <cell r="AI18">
            <v>0.69</v>
          </cell>
          <cell r="AJ18">
            <v>0.69</v>
          </cell>
          <cell r="AK18">
            <v>0.69</v>
          </cell>
          <cell r="AL18">
            <v>0.69</v>
          </cell>
          <cell r="AM18">
            <v>0.69</v>
          </cell>
        </row>
        <row r="19">
          <cell r="A19" t="str">
            <v>Business Shares UK</v>
          </cell>
          <cell r="E19">
            <v>0.68472460710060012</v>
          </cell>
          <cell r="F19">
            <v>0.69423586631869727</v>
          </cell>
          <cell r="G19">
            <v>0.70672741224611091</v>
          </cell>
          <cell r="H19">
            <v>0.68672732736537567</v>
          </cell>
          <cell r="I19">
            <v>0.69310380325769594</v>
          </cell>
          <cell r="K19">
            <v>0.69859356666666672</v>
          </cell>
          <cell r="L19">
            <v>0.69623210000000002</v>
          </cell>
          <cell r="M19">
            <v>0.66070323333333325</v>
          </cell>
          <cell r="N19">
            <v>0.64350929999999995</v>
          </cell>
          <cell r="O19">
            <v>0.67475954999999999</v>
          </cell>
          <cell r="Q19">
            <v>0.64374328901410338</v>
          </cell>
          <cell r="R19">
            <v>0.64725130689108901</v>
          </cell>
          <cell r="S19">
            <v>0.65076833047150973</v>
          </cell>
          <cell r="T19">
            <v>0.65419294520231885</v>
          </cell>
          <cell r="U19">
            <v>0.6489655506316524</v>
          </cell>
          <cell r="W19">
            <v>0.69</v>
          </cell>
          <cell r="X19">
            <v>0.69</v>
          </cell>
          <cell r="Y19">
            <v>0.69</v>
          </cell>
          <cell r="Z19">
            <v>0.69</v>
          </cell>
          <cell r="AA19">
            <v>0.69</v>
          </cell>
          <cell r="AC19">
            <v>0.69</v>
          </cell>
          <cell r="AD19">
            <v>0.69</v>
          </cell>
          <cell r="AE19">
            <v>0.69</v>
          </cell>
          <cell r="AF19">
            <v>0.69</v>
          </cell>
          <cell r="AG19">
            <v>0.69</v>
          </cell>
          <cell r="AI19">
            <v>0.69</v>
          </cell>
          <cell r="AJ19">
            <v>0.69</v>
          </cell>
          <cell r="AK19">
            <v>0.69</v>
          </cell>
          <cell r="AL19">
            <v>0.69</v>
          </cell>
          <cell r="AM19">
            <v>0.69</v>
          </cell>
        </row>
        <row r="20">
          <cell r="A20" t="str">
            <v>France GECB</v>
          </cell>
          <cell r="E20">
            <v>1.101334404641686</v>
          </cell>
          <cell r="F20">
            <v>1.1086764612800633</v>
          </cell>
          <cell r="G20">
            <v>1.1580838602305075</v>
          </cell>
          <cell r="H20">
            <v>1.100889182235657</v>
          </cell>
          <cell r="I20">
            <v>1.1172459770969785</v>
          </cell>
          <cell r="K20">
            <v>1.1312396333333334</v>
          </cell>
          <cell r="L20">
            <v>1.1313419666666666</v>
          </cell>
          <cell r="M20">
            <v>1.0356932000000001</v>
          </cell>
          <cell r="N20">
            <v>1.0164866000000001</v>
          </cell>
          <cell r="O20">
            <v>1.07869035</v>
          </cell>
          <cell r="Q20">
            <v>1.0259189639892179</v>
          </cell>
          <cell r="R20">
            <v>1.0292309016002636</v>
          </cell>
          <cell r="S20">
            <v>1.0320261865616565</v>
          </cell>
          <cell r="T20">
            <v>1.0341284290123642</v>
          </cell>
          <cell r="U20">
            <v>1.0303261202908756</v>
          </cell>
          <cell r="W20">
            <v>1.1259999999999999</v>
          </cell>
          <cell r="X20">
            <v>1.1259999999999999</v>
          </cell>
          <cell r="Y20">
            <v>1.1259999999999999</v>
          </cell>
          <cell r="Z20">
            <v>1.1259999999999999</v>
          </cell>
          <cell r="AA20">
            <v>1.1259999999999999</v>
          </cell>
          <cell r="AC20">
            <v>1.1100000000000001</v>
          </cell>
          <cell r="AD20">
            <v>1.1100000000000001</v>
          </cell>
          <cell r="AE20">
            <v>1.1100000000000001</v>
          </cell>
          <cell r="AF20">
            <v>1.1100000000000001</v>
          </cell>
          <cell r="AG20">
            <v>1.1100000000000001</v>
          </cell>
          <cell r="AI20">
            <v>1.1259999999999999</v>
          </cell>
          <cell r="AJ20">
            <v>1.1259999999999999</v>
          </cell>
          <cell r="AK20">
            <v>1.1259999999999999</v>
          </cell>
          <cell r="AL20">
            <v>1.1259999999999999</v>
          </cell>
          <cell r="AM20">
            <v>1.1259999999999999</v>
          </cell>
        </row>
        <row r="21">
          <cell r="A21" t="str">
            <v>Gemplus</v>
          </cell>
          <cell r="E21">
            <v>1.101334404641686</v>
          </cell>
          <cell r="F21">
            <v>1.1086764612800633</v>
          </cell>
          <cell r="G21">
            <v>1.1580838602305075</v>
          </cell>
          <cell r="H21">
            <v>1.100889182235657</v>
          </cell>
          <cell r="I21">
            <v>1.1172459770969785</v>
          </cell>
          <cell r="K21">
            <v>1.1312396333333334</v>
          </cell>
          <cell r="L21">
            <v>1.1313419666666666</v>
          </cell>
          <cell r="M21">
            <v>1.0356932000000001</v>
          </cell>
          <cell r="N21">
            <v>1.0164866000000001</v>
          </cell>
          <cell r="O21">
            <v>1.07869035</v>
          </cell>
          <cell r="Q21">
            <v>1.0259189639892179</v>
          </cell>
          <cell r="R21">
            <v>1.0292309016002636</v>
          </cell>
          <cell r="S21">
            <v>1.0320261865616565</v>
          </cell>
          <cell r="T21">
            <v>1.0341284290123642</v>
          </cell>
          <cell r="U21">
            <v>1.0303261202908756</v>
          </cell>
          <cell r="W21">
            <v>1.1259999999999999</v>
          </cell>
          <cell r="X21">
            <v>1.1259999999999999</v>
          </cell>
          <cell r="Y21">
            <v>1.1259999999999999</v>
          </cell>
          <cell r="Z21">
            <v>1.1259999999999999</v>
          </cell>
          <cell r="AA21">
            <v>1.1259999999999999</v>
          </cell>
          <cell r="AC21">
            <v>1.1100000000000001</v>
          </cell>
          <cell r="AD21">
            <v>1.1100000000000001</v>
          </cell>
          <cell r="AE21">
            <v>1.1100000000000001</v>
          </cell>
          <cell r="AF21">
            <v>1.1100000000000001</v>
          </cell>
          <cell r="AG21">
            <v>1.1100000000000001</v>
          </cell>
          <cell r="AI21">
            <v>1.1259999999999999</v>
          </cell>
          <cell r="AJ21">
            <v>1.1259999999999999</v>
          </cell>
          <cell r="AK21">
            <v>1.1259999999999999</v>
          </cell>
          <cell r="AL21">
            <v>1.1259999999999999</v>
          </cell>
          <cell r="AM21">
            <v>1.1259999999999999</v>
          </cell>
        </row>
        <row r="22">
          <cell r="A22" t="str">
            <v>Germany</v>
          </cell>
          <cell r="E22">
            <v>1.101334404641686</v>
          </cell>
          <cell r="F22">
            <v>1.1086764612800633</v>
          </cell>
          <cell r="G22">
            <v>1.1580838602305075</v>
          </cell>
          <cell r="H22">
            <v>1.100889182235657</v>
          </cell>
          <cell r="I22">
            <v>1.1172459770969785</v>
          </cell>
          <cell r="K22">
            <v>1.1312396333333334</v>
          </cell>
          <cell r="L22">
            <v>1.1313419666666666</v>
          </cell>
          <cell r="M22">
            <v>1.0356932000000001</v>
          </cell>
          <cell r="N22">
            <v>1.0164866000000001</v>
          </cell>
          <cell r="O22">
            <v>1.07869035</v>
          </cell>
          <cell r="Q22">
            <v>1.0259189639892179</v>
          </cell>
          <cell r="R22">
            <v>1.0292309016002636</v>
          </cell>
          <cell r="S22">
            <v>1.0320261865616565</v>
          </cell>
          <cell r="T22">
            <v>1.0341284290123642</v>
          </cell>
          <cell r="U22">
            <v>1.0303261202908756</v>
          </cell>
          <cell r="W22">
            <v>1.1259999999999999</v>
          </cell>
          <cell r="X22">
            <v>1.1259999999999999</v>
          </cell>
          <cell r="Y22">
            <v>1.1259999999999999</v>
          </cell>
          <cell r="Z22">
            <v>1.1259999999999999</v>
          </cell>
          <cell r="AA22">
            <v>1.1259999999999999</v>
          </cell>
          <cell r="AC22">
            <v>1.1100000000000001</v>
          </cell>
          <cell r="AD22">
            <v>1.1100000000000001</v>
          </cell>
          <cell r="AE22">
            <v>1.1100000000000001</v>
          </cell>
          <cell r="AF22">
            <v>1.1100000000000001</v>
          </cell>
          <cell r="AG22">
            <v>1.1100000000000001</v>
          </cell>
          <cell r="AI22">
            <v>1.1259999999999999</v>
          </cell>
          <cell r="AJ22">
            <v>1.1259999999999999</v>
          </cell>
          <cell r="AK22">
            <v>1.1259999999999999</v>
          </cell>
          <cell r="AL22">
            <v>1.1259999999999999</v>
          </cell>
          <cell r="AM22">
            <v>1.1259999999999999</v>
          </cell>
        </row>
        <row r="23">
          <cell r="A23" t="str">
            <v>Hong Kong</v>
          </cell>
          <cell r="E23">
            <v>7.7992999999999997</v>
          </cell>
          <cell r="F23">
            <v>7.7995666666666663</v>
          </cell>
          <cell r="G23">
            <v>7.7996000000000008</v>
          </cell>
          <cell r="H23">
            <v>7.799666666666667</v>
          </cell>
          <cell r="I23">
            <v>7.7995333333333337</v>
          </cell>
          <cell r="K23">
            <v>7.7989666666666659</v>
          </cell>
          <cell r="L23">
            <v>7.7993999999999994</v>
          </cell>
          <cell r="M23">
            <v>7.7998260999999998</v>
          </cell>
          <cell r="N23">
            <v>7.7996242666666662</v>
          </cell>
          <cell r="O23">
            <v>7.7994542583333324</v>
          </cell>
          <cell r="Q23">
            <v>7.8</v>
          </cell>
          <cell r="R23">
            <v>7.8</v>
          </cell>
          <cell r="S23">
            <v>7.8</v>
          </cell>
          <cell r="T23">
            <v>7.8</v>
          </cell>
          <cell r="U23">
            <v>7.8</v>
          </cell>
          <cell r="W23">
            <v>7.8</v>
          </cell>
          <cell r="X23">
            <v>7.8</v>
          </cell>
          <cell r="Y23">
            <v>7.8</v>
          </cell>
          <cell r="Z23">
            <v>7.8</v>
          </cell>
          <cell r="AA23">
            <v>7.8</v>
          </cell>
          <cell r="AC23">
            <v>7.8</v>
          </cell>
          <cell r="AD23">
            <v>7.8</v>
          </cell>
          <cell r="AE23">
            <v>7.8</v>
          </cell>
          <cell r="AF23">
            <v>7.8</v>
          </cell>
          <cell r="AG23">
            <v>7.8</v>
          </cell>
          <cell r="AI23">
            <v>7.8</v>
          </cell>
          <cell r="AJ23">
            <v>7.8</v>
          </cell>
          <cell r="AK23">
            <v>7.8</v>
          </cell>
          <cell r="AL23">
            <v>7.8</v>
          </cell>
          <cell r="AM23">
            <v>7.8</v>
          </cell>
        </row>
        <row r="24">
          <cell r="A24" t="str">
            <v>Asia Pacific HQ</v>
          </cell>
          <cell r="E24">
            <v>7.7992999999999997</v>
          </cell>
          <cell r="F24">
            <v>7.7995666666666663</v>
          </cell>
          <cell r="G24">
            <v>7.7996000000000008</v>
          </cell>
          <cell r="H24">
            <v>7.799666666666667</v>
          </cell>
          <cell r="I24">
            <v>7.7995333333333337</v>
          </cell>
          <cell r="K24">
            <v>7.7989666666666659</v>
          </cell>
          <cell r="L24">
            <v>7.7993999999999994</v>
          </cell>
          <cell r="M24">
            <v>7.7998260999999998</v>
          </cell>
          <cell r="N24">
            <v>7.7996242666666662</v>
          </cell>
          <cell r="O24">
            <v>7.7994542583333324</v>
          </cell>
          <cell r="Q24">
            <v>7.8</v>
          </cell>
          <cell r="R24">
            <v>7.8</v>
          </cell>
          <cell r="S24">
            <v>7.8</v>
          </cell>
          <cell r="T24">
            <v>7.8</v>
          </cell>
          <cell r="U24">
            <v>7.8</v>
          </cell>
          <cell r="W24">
            <v>7.8</v>
          </cell>
          <cell r="X24">
            <v>7.8</v>
          </cell>
          <cell r="Y24">
            <v>7.8</v>
          </cell>
          <cell r="Z24">
            <v>7.8</v>
          </cell>
          <cell r="AA24">
            <v>7.8</v>
          </cell>
          <cell r="AC24">
            <v>7.8</v>
          </cell>
          <cell r="AD24">
            <v>7.8</v>
          </cell>
          <cell r="AE24">
            <v>7.8</v>
          </cell>
          <cell r="AF24">
            <v>7.8</v>
          </cell>
          <cell r="AG24">
            <v>7.8</v>
          </cell>
          <cell r="AI24">
            <v>7.8</v>
          </cell>
          <cell r="AJ24">
            <v>7.8</v>
          </cell>
          <cell r="AK24">
            <v>7.8</v>
          </cell>
          <cell r="AL24">
            <v>7.8</v>
          </cell>
          <cell r="AM24">
            <v>7.8</v>
          </cell>
        </row>
        <row r="25">
          <cell r="A25" t="str">
            <v>Housing Bank</v>
          </cell>
          <cell r="E25">
            <v>4.2498999999999993</v>
          </cell>
          <cell r="F25">
            <v>4.0405333333333333</v>
          </cell>
          <cell r="G25">
            <v>4.093866666666667</v>
          </cell>
          <cell r="H25">
            <v>4.1774333333333331</v>
          </cell>
          <cell r="I25">
            <v>4.1404333333333332</v>
          </cell>
          <cell r="K25">
            <v>4.0749003333333329</v>
          </cell>
          <cell r="L25">
            <v>4.0956001999999998</v>
          </cell>
          <cell r="M25">
            <v>4.092869966666667</v>
          </cell>
          <cell r="N25">
            <v>4.1205866999999996</v>
          </cell>
          <cell r="O25">
            <v>4.0959892999999994</v>
          </cell>
          <cell r="Q25">
            <v>4.0267999999999997</v>
          </cell>
          <cell r="R25">
            <v>4.0697999999999999</v>
          </cell>
          <cell r="S25">
            <v>4.1097999999999999</v>
          </cell>
          <cell r="T25">
            <v>4.1458000000000004</v>
          </cell>
          <cell r="U25">
            <v>4.08805</v>
          </cell>
          <cell r="W25">
            <v>4.0199999999999996</v>
          </cell>
          <cell r="X25">
            <v>4.0199999999999996</v>
          </cell>
          <cell r="Y25">
            <v>4.0199999999999996</v>
          </cell>
          <cell r="Z25">
            <v>4.0199999999999996</v>
          </cell>
          <cell r="AA25">
            <v>4.0199999999999996</v>
          </cell>
          <cell r="AC25">
            <v>4.0199999999999996</v>
          </cell>
          <cell r="AD25">
            <v>4.0199999999999996</v>
          </cell>
          <cell r="AE25">
            <v>4.0199999999999996</v>
          </cell>
          <cell r="AF25">
            <v>4.0199999999999996</v>
          </cell>
          <cell r="AG25">
            <v>4.0199999999999996</v>
          </cell>
          <cell r="AI25">
            <v>4.0199999999999996</v>
          </cell>
          <cell r="AJ25">
            <v>4.0199999999999996</v>
          </cell>
          <cell r="AK25">
            <v>4.0199999999999996</v>
          </cell>
          <cell r="AL25">
            <v>4.0199999999999996</v>
          </cell>
          <cell r="AM25">
            <v>4.0199999999999996</v>
          </cell>
        </row>
        <row r="26">
          <cell r="A26" t="str">
            <v>HQ</v>
          </cell>
          <cell r="E26">
            <v>1</v>
          </cell>
          <cell r="F26">
            <v>1</v>
          </cell>
          <cell r="G26">
            <v>1</v>
          </cell>
          <cell r="H26">
            <v>1</v>
          </cell>
          <cell r="I26">
            <v>1</v>
          </cell>
          <cell r="K26">
            <v>1</v>
          </cell>
          <cell r="L26">
            <v>1</v>
          </cell>
          <cell r="M26">
            <v>1</v>
          </cell>
          <cell r="N26">
            <v>1</v>
          </cell>
          <cell r="O26">
            <v>1</v>
          </cell>
          <cell r="Q26">
            <v>1</v>
          </cell>
          <cell r="R26">
            <v>1</v>
          </cell>
          <cell r="S26">
            <v>1</v>
          </cell>
          <cell r="T26">
            <v>1</v>
          </cell>
          <cell r="U26">
            <v>1</v>
          </cell>
          <cell r="W26">
            <v>1</v>
          </cell>
          <cell r="X26">
            <v>1</v>
          </cell>
          <cell r="Y26">
            <v>1</v>
          </cell>
          <cell r="Z26">
            <v>1</v>
          </cell>
          <cell r="AA26">
            <v>1</v>
          </cell>
          <cell r="AC26">
            <v>1</v>
          </cell>
          <cell r="AD26">
            <v>1</v>
          </cell>
          <cell r="AE26">
            <v>1</v>
          </cell>
          <cell r="AF26">
            <v>1</v>
          </cell>
          <cell r="AG26">
            <v>1</v>
          </cell>
          <cell r="AI26">
            <v>1</v>
          </cell>
          <cell r="AJ26">
            <v>1</v>
          </cell>
          <cell r="AK26">
            <v>1</v>
          </cell>
          <cell r="AL26">
            <v>1</v>
          </cell>
          <cell r="AM26">
            <v>1</v>
          </cell>
        </row>
        <row r="27">
          <cell r="A27" t="str">
            <v>North America</v>
          </cell>
          <cell r="E27">
            <v>1</v>
          </cell>
          <cell r="F27">
            <v>1</v>
          </cell>
          <cell r="G27">
            <v>1</v>
          </cell>
          <cell r="H27">
            <v>1</v>
          </cell>
          <cell r="I27">
            <v>1</v>
          </cell>
          <cell r="K27">
            <v>1</v>
          </cell>
          <cell r="L27">
            <v>1</v>
          </cell>
          <cell r="M27">
            <v>1</v>
          </cell>
          <cell r="N27">
            <v>1</v>
          </cell>
          <cell r="O27">
            <v>1</v>
          </cell>
          <cell r="Q27">
            <v>1</v>
          </cell>
          <cell r="R27">
            <v>1</v>
          </cell>
          <cell r="S27">
            <v>1</v>
          </cell>
          <cell r="T27">
            <v>1</v>
          </cell>
          <cell r="U27">
            <v>1</v>
          </cell>
          <cell r="W27">
            <v>1</v>
          </cell>
          <cell r="X27">
            <v>1</v>
          </cell>
          <cell r="Y27">
            <v>1</v>
          </cell>
          <cell r="Z27">
            <v>1</v>
          </cell>
          <cell r="AA27">
            <v>1</v>
          </cell>
          <cell r="AC27">
            <v>1</v>
          </cell>
          <cell r="AD27">
            <v>1</v>
          </cell>
          <cell r="AE27">
            <v>1</v>
          </cell>
          <cell r="AF27">
            <v>1</v>
          </cell>
          <cell r="AG27">
            <v>1</v>
          </cell>
          <cell r="AI27">
            <v>1</v>
          </cell>
          <cell r="AJ27">
            <v>1</v>
          </cell>
          <cell r="AK27">
            <v>1</v>
          </cell>
          <cell r="AL27">
            <v>1</v>
          </cell>
          <cell r="AM27">
            <v>1</v>
          </cell>
        </row>
        <row r="28">
          <cell r="A28" t="str">
            <v>igroup</v>
          </cell>
          <cell r="E28">
            <v>0.68472460710060012</v>
          </cell>
          <cell r="F28">
            <v>0.69423586631869727</v>
          </cell>
          <cell r="G28">
            <v>0.70672741224611091</v>
          </cell>
          <cell r="H28">
            <v>0.68672732736537567</v>
          </cell>
          <cell r="I28">
            <v>0.69310380325769594</v>
          </cell>
          <cell r="K28">
            <v>0.69859356666666672</v>
          </cell>
          <cell r="L28">
            <v>0.69623210000000002</v>
          </cell>
          <cell r="M28">
            <v>0.66070323333333325</v>
          </cell>
          <cell r="N28">
            <v>0.64350929999999995</v>
          </cell>
          <cell r="O28">
            <v>0.67475954999999999</v>
          </cell>
          <cell r="Q28">
            <v>0.64374328901410338</v>
          </cell>
          <cell r="R28">
            <v>0.64725130689108901</v>
          </cell>
          <cell r="S28">
            <v>0.65076833047150973</v>
          </cell>
          <cell r="T28">
            <v>0.65419294520231885</v>
          </cell>
          <cell r="U28">
            <v>0.6489655506316524</v>
          </cell>
          <cell r="W28">
            <v>0.69</v>
          </cell>
          <cell r="X28">
            <v>0.69</v>
          </cell>
          <cell r="Y28">
            <v>0.69</v>
          </cell>
          <cell r="Z28">
            <v>0.69</v>
          </cell>
          <cell r="AA28">
            <v>0.69</v>
          </cell>
          <cell r="AC28">
            <v>0.69</v>
          </cell>
          <cell r="AD28">
            <v>0.69</v>
          </cell>
          <cell r="AE28">
            <v>0.69</v>
          </cell>
          <cell r="AF28">
            <v>0.69</v>
          </cell>
          <cell r="AG28">
            <v>0.69</v>
          </cell>
          <cell r="AI28">
            <v>0.69</v>
          </cell>
          <cell r="AJ28">
            <v>0.69</v>
          </cell>
          <cell r="AK28">
            <v>0.69</v>
          </cell>
          <cell r="AL28">
            <v>0.69</v>
          </cell>
          <cell r="AM28">
            <v>0.69</v>
          </cell>
        </row>
        <row r="29">
          <cell r="A29" t="str">
            <v>India Auto</v>
          </cell>
          <cell r="E29">
            <v>46.637066666666669</v>
          </cell>
          <cell r="F29">
            <v>46.676099999999998</v>
          </cell>
          <cell r="G29">
            <v>47.052099999999996</v>
          </cell>
          <cell r="H29">
            <v>47.716833333333334</v>
          </cell>
          <cell r="I29">
            <v>47.020524999999999</v>
          </cell>
          <cell r="K29">
            <v>48.157766666666667</v>
          </cell>
          <cell r="L29">
            <v>48.801733333333324</v>
          </cell>
          <cell r="M29">
            <v>48.835506500000001</v>
          </cell>
          <cell r="N29">
            <v>48.396060599999998</v>
          </cell>
          <cell r="O29">
            <v>48.547766774999999</v>
          </cell>
          <cell r="Q29">
            <v>48.327300000000001</v>
          </cell>
          <cell r="R29">
            <v>48.327300000000001</v>
          </cell>
          <cell r="S29">
            <v>48.327300000000001</v>
          </cell>
          <cell r="T29">
            <v>48.327300000000001</v>
          </cell>
          <cell r="U29">
            <v>48.327300000000001</v>
          </cell>
          <cell r="W29">
            <v>49</v>
          </cell>
          <cell r="X29">
            <v>49</v>
          </cell>
          <cell r="Y29">
            <v>49</v>
          </cell>
          <cell r="Z29">
            <v>49</v>
          </cell>
          <cell r="AA29">
            <v>49</v>
          </cell>
          <cell r="AC29">
            <v>49</v>
          </cell>
          <cell r="AD29">
            <v>49</v>
          </cell>
          <cell r="AE29">
            <v>49</v>
          </cell>
          <cell r="AF29">
            <v>49</v>
          </cell>
          <cell r="AG29">
            <v>49</v>
          </cell>
          <cell r="AI29">
            <v>49</v>
          </cell>
          <cell r="AJ29">
            <v>49</v>
          </cell>
          <cell r="AK29">
            <v>49</v>
          </cell>
          <cell r="AL29">
            <v>49</v>
          </cell>
          <cell r="AM29">
            <v>49</v>
          </cell>
        </row>
        <row r="30">
          <cell r="A30" t="str">
            <v>GECIS</v>
          </cell>
          <cell r="E30">
            <v>46.637066666666669</v>
          </cell>
          <cell r="F30">
            <v>46.676099999999998</v>
          </cell>
          <cell r="G30">
            <v>47.052099999999996</v>
          </cell>
          <cell r="H30">
            <v>47.716833333333334</v>
          </cell>
          <cell r="I30">
            <v>47.020524999999999</v>
          </cell>
          <cell r="K30">
            <v>48.157766666666667</v>
          </cell>
          <cell r="L30">
            <v>48.801733333333324</v>
          </cell>
          <cell r="M30">
            <v>48.835506500000001</v>
          </cell>
          <cell r="N30">
            <v>48.396060599999998</v>
          </cell>
          <cell r="O30">
            <v>48.547766774999999</v>
          </cell>
          <cell r="Q30">
            <v>48.327300000000001</v>
          </cell>
          <cell r="R30">
            <v>48.327300000000001</v>
          </cell>
          <cell r="S30">
            <v>48.327300000000001</v>
          </cell>
          <cell r="T30">
            <v>48.327300000000001</v>
          </cell>
          <cell r="U30">
            <v>48.327300000000001</v>
          </cell>
          <cell r="W30">
            <v>49</v>
          </cell>
          <cell r="X30">
            <v>49</v>
          </cell>
          <cell r="Y30">
            <v>49</v>
          </cell>
          <cell r="Z30">
            <v>49</v>
          </cell>
          <cell r="AA30">
            <v>49</v>
          </cell>
          <cell r="AC30">
            <v>49</v>
          </cell>
          <cell r="AD30">
            <v>49</v>
          </cell>
          <cell r="AE30">
            <v>49</v>
          </cell>
          <cell r="AF30">
            <v>49</v>
          </cell>
          <cell r="AG30">
            <v>49</v>
          </cell>
          <cell r="AI30">
            <v>49</v>
          </cell>
          <cell r="AJ30">
            <v>49</v>
          </cell>
          <cell r="AK30">
            <v>49</v>
          </cell>
          <cell r="AL30">
            <v>49</v>
          </cell>
          <cell r="AM30">
            <v>49</v>
          </cell>
        </row>
        <row r="31">
          <cell r="A31" t="str">
            <v>Countrywide</v>
          </cell>
          <cell r="E31">
            <v>46.637066666666669</v>
          </cell>
          <cell r="F31">
            <v>46.676099999999998</v>
          </cell>
          <cell r="G31">
            <v>47.052099999999996</v>
          </cell>
          <cell r="H31">
            <v>47.716833333333334</v>
          </cell>
          <cell r="I31">
            <v>47.020524999999999</v>
          </cell>
          <cell r="K31">
            <v>48.157766666666667</v>
          </cell>
          <cell r="L31">
            <v>48.801733333333324</v>
          </cell>
          <cell r="M31">
            <v>48.835506500000001</v>
          </cell>
          <cell r="N31">
            <v>48.396060599999998</v>
          </cell>
          <cell r="O31">
            <v>48.547766774999999</v>
          </cell>
          <cell r="Q31">
            <v>48.327300000000001</v>
          </cell>
          <cell r="R31">
            <v>48.327300000000001</v>
          </cell>
          <cell r="S31">
            <v>48.327300000000001</v>
          </cell>
          <cell r="T31">
            <v>48.327300000000001</v>
          </cell>
          <cell r="U31">
            <v>48.327300000000001</v>
          </cell>
          <cell r="W31">
            <v>49</v>
          </cell>
          <cell r="X31">
            <v>49</v>
          </cell>
          <cell r="Y31">
            <v>49</v>
          </cell>
          <cell r="Z31">
            <v>49</v>
          </cell>
          <cell r="AA31">
            <v>49</v>
          </cell>
          <cell r="AC31">
            <v>49</v>
          </cell>
          <cell r="AD31">
            <v>49</v>
          </cell>
          <cell r="AE31">
            <v>49</v>
          </cell>
          <cell r="AF31">
            <v>49</v>
          </cell>
          <cell r="AG31">
            <v>49</v>
          </cell>
          <cell r="AI31">
            <v>49</v>
          </cell>
          <cell r="AJ31">
            <v>49</v>
          </cell>
          <cell r="AK31">
            <v>49</v>
          </cell>
          <cell r="AL31">
            <v>49</v>
          </cell>
          <cell r="AM31">
            <v>49</v>
          </cell>
        </row>
        <row r="32">
          <cell r="A32" t="str">
            <v>Indonesia</v>
          </cell>
          <cell r="E32">
            <v>9470.7515666666677</v>
          </cell>
          <cell r="F32">
            <v>10523.201666666666</v>
          </cell>
          <cell r="G32">
            <v>10864.363633333332</v>
          </cell>
          <cell r="H32">
            <v>9655.7579333333342</v>
          </cell>
          <cell r="I32">
            <v>10128.518700000001</v>
          </cell>
          <cell r="K32">
            <v>10346.3676</v>
          </cell>
          <cell r="L32">
            <v>9724.4779333333336</v>
          </cell>
          <cell r="M32">
            <v>8901.0266594333316</v>
          </cell>
          <cell r="N32">
            <v>9028.5833333333339</v>
          </cell>
          <cell r="O32">
            <v>9500.1138815249997</v>
          </cell>
          <cell r="Q32">
            <v>9212.93</v>
          </cell>
          <cell r="R32">
            <v>9212.93</v>
          </cell>
          <cell r="S32">
            <v>9212.93</v>
          </cell>
          <cell r="T32">
            <v>9212.93</v>
          </cell>
          <cell r="U32">
            <v>9212.93</v>
          </cell>
          <cell r="W32">
            <v>10685</v>
          </cell>
          <cell r="X32">
            <v>10685</v>
          </cell>
          <cell r="Y32">
            <v>10685</v>
          </cell>
          <cell r="Z32">
            <v>10685</v>
          </cell>
          <cell r="AA32">
            <v>10685</v>
          </cell>
          <cell r="AC32">
            <v>10685</v>
          </cell>
          <cell r="AD32">
            <v>10685</v>
          </cell>
          <cell r="AE32">
            <v>10685</v>
          </cell>
          <cell r="AF32">
            <v>10685</v>
          </cell>
          <cell r="AG32">
            <v>10685</v>
          </cell>
          <cell r="AI32">
            <v>10685</v>
          </cell>
          <cell r="AJ32">
            <v>10685</v>
          </cell>
          <cell r="AK32">
            <v>10685</v>
          </cell>
          <cell r="AL32">
            <v>10685</v>
          </cell>
          <cell r="AM32">
            <v>10685</v>
          </cell>
        </row>
        <row r="33">
          <cell r="A33" t="str">
            <v>Europe HQ</v>
          </cell>
          <cell r="E33">
            <v>1.101334404641686</v>
          </cell>
          <cell r="F33">
            <v>1.1086764612800633</v>
          </cell>
          <cell r="G33">
            <v>1.1580838602305075</v>
          </cell>
          <cell r="H33">
            <v>1.100889182235657</v>
          </cell>
          <cell r="I33">
            <v>1.1172459770969785</v>
          </cell>
          <cell r="K33">
            <v>1.1312396333333334</v>
          </cell>
          <cell r="L33">
            <v>1.1313419666666666</v>
          </cell>
          <cell r="M33">
            <v>1.0356932000000001</v>
          </cell>
          <cell r="N33">
            <v>1.0164866000000001</v>
          </cell>
          <cell r="O33">
            <v>1.07869035</v>
          </cell>
          <cell r="Q33">
            <v>1.0259189639892179</v>
          </cell>
          <cell r="R33">
            <v>1.0292309016002636</v>
          </cell>
          <cell r="S33">
            <v>1.0320261865616565</v>
          </cell>
          <cell r="T33">
            <v>1.0341284290123642</v>
          </cell>
          <cell r="U33">
            <v>1.0303261202908756</v>
          </cell>
          <cell r="W33">
            <v>1.1259999999999999</v>
          </cell>
          <cell r="X33">
            <v>1.1259999999999999</v>
          </cell>
          <cell r="Y33">
            <v>1.1259999999999999</v>
          </cell>
          <cell r="Z33">
            <v>1.1259999999999999</v>
          </cell>
          <cell r="AA33">
            <v>1.1259999999999999</v>
          </cell>
          <cell r="AC33">
            <v>1.1100000000000001</v>
          </cell>
          <cell r="AD33">
            <v>1.1100000000000001</v>
          </cell>
          <cell r="AE33">
            <v>1.1100000000000001</v>
          </cell>
          <cell r="AF33">
            <v>1.1100000000000001</v>
          </cell>
          <cell r="AG33">
            <v>1.1100000000000001</v>
          </cell>
          <cell r="AI33">
            <v>1.1259999999999999</v>
          </cell>
          <cell r="AJ33">
            <v>1.1259999999999999</v>
          </cell>
          <cell r="AK33">
            <v>1.1259999999999999</v>
          </cell>
          <cell r="AL33">
            <v>1.1259999999999999</v>
          </cell>
          <cell r="AM33">
            <v>1.1259999999999999</v>
          </cell>
        </row>
        <row r="34">
          <cell r="A34" t="str">
            <v>Japan - GECCC</v>
          </cell>
          <cell r="E34">
            <v>113.92649999999999</v>
          </cell>
          <cell r="F34">
            <v>121.26100000000001</v>
          </cell>
          <cell r="G34">
            <v>123.03929999999998</v>
          </cell>
          <cell r="H34">
            <v>120.1918</v>
          </cell>
          <cell r="I34">
            <v>119.60464999999999</v>
          </cell>
          <cell r="K34">
            <v>129.38749999999999</v>
          </cell>
          <cell r="L34">
            <v>130.95656666666665</v>
          </cell>
          <cell r="M34">
            <v>121.25071390000001</v>
          </cell>
          <cell r="N34">
            <v>121.46742426666667</v>
          </cell>
          <cell r="O34">
            <v>125.76555120833333</v>
          </cell>
          <cell r="Q34">
            <v>123.97258062983769</v>
          </cell>
          <cell r="R34">
            <v>121.64519357151617</v>
          </cell>
          <cell r="S34">
            <v>121.53501906616742</v>
          </cell>
          <cell r="T34">
            <v>121.00624237592066</v>
          </cell>
          <cell r="U34">
            <v>122.03975891086048</v>
          </cell>
          <cell r="W34">
            <v>130</v>
          </cell>
          <cell r="X34">
            <v>130</v>
          </cell>
          <cell r="Y34">
            <v>130</v>
          </cell>
          <cell r="Z34">
            <v>130</v>
          </cell>
          <cell r="AA34">
            <v>130</v>
          </cell>
          <cell r="AC34">
            <v>120</v>
          </cell>
          <cell r="AD34">
            <v>120</v>
          </cell>
          <cell r="AE34">
            <v>120</v>
          </cell>
          <cell r="AF34">
            <v>120</v>
          </cell>
          <cell r="AG34">
            <v>120</v>
          </cell>
          <cell r="AI34">
            <v>130</v>
          </cell>
          <cell r="AJ34">
            <v>130</v>
          </cell>
          <cell r="AK34">
            <v>130</v>
          </cell>
          <cell r="AL34">
            <v>130</v>
          </cell>
          <cell r="AM34">
            <v>130</v>
          </cell>
        </row>
        <row r="35">
          <cell r="A35" t="str">
            <v>Japan - GECCF</v>
          </cell>
          <cell r="E35">
            <v>113.92649999999999</v>
          </cell>
          <cell r="F35">
            <v>121.26100000000001</v>
          </cell>
          <cell r="G35">
            <v>123.03929999999998</v>
          </cell>
          <cell r="H35">
            <v>120.1918</v>
          </cell>
          <cell r="I35">
            <v>119.60464999999999</v>
          </cell>
          <cell r="K35">
            <v>129.38749999999999</v>
          </cell>
          <cell r="L35">
            <v>130.95656666666665</v>
          </cell>
          <cell r="M35">
            <v>121.25071390000001</v>
          </cell>
          <cell r="N35">
            <v>121.46742426666667</v>
          </cell>
          <cell r="O35">
            <v>125.76555120833333</v>
          </cell>
          <cell r="Q35">
            <v>123.97258062983769</v>
          </cell>
          <cell r="R35">
            <v>121.64519357151617</v>
          </cell>
          <cell r="S35">
            <v>121.53501906616742</v>
          </cell>
          <cell r="T35">
            <v>121.00624237592066</v>
          </cell>
          <cell r="U35">
            <v>122.03975891086048</v>
          </cell>
          <cell r="W35">
            <v>130</v>
          </cell>
          <cell r="X35">
            <v>130</v>
          </cell>
          <cell r="Y35">
            <v>130</v>
          </cell>
          <cell r="Z35">
            <v>130</v>
          </cell>
          <cell r="AA35">
            <v>130</v>
          </cell>
          <cell r="AC35">
            <v>120</v>
          </cell>
          <cell r="AD35">
            <v>120</v>
          </cell>
          <cell r="AE35">
            <v>120</v>
          </cell>
          <cell r="AF35">
            <v>120</v>
          </cell>
          <cell r="AG35">
            <v>120</v>
          </cell>
          <cell r="AI35">
            <v>130</v>
          </cell>
          <cell r="AJ35">
            <v>130</v>
          </cell>
          <cell r="AK35">
            <v>130</v>
          </cell>
          <cell r="AL35">
            <v>130</v>
          </cell>
          <cell r="AM35">
            <v>130</v>
          </cell>
        </row>
        <row r="36">
          <cell r="A36" t="str">
            <v>Japan Stretch</v>
          </cell>
          <cell r="E36">
            <v>113.92649999999999</v>
          </cell>
          <cell r="F36">
            <v>121.26100000000001</v>
          </cell>
          <cell r="G36">
            <v>123.03929999999998</v>
          </cell>
          <cell r="H36">
            <v>120.1918</v>
          </cell>
          <cell r="I36">
            <v>119.60464999999999</v>
          </cell>
          <cell r="K36">
            <v>129.38749999999999</v>
          </cell>
          <cell r="L36">
            <v>130.95656666666665</v>
          </cell>
          <cell r="M36">
            <v>121.25071390000001</v>
          </cell>
          <cell r="N36">
            <v>121.46742426666667</v>
          </cell>
          <cell r="O36">
            <v>125.76555120833333</v>
          </cell>
          <cell r="Q36">
            <v>123.97258062983769</v>
          </cell>
          <cell r="R36">
            <v>121.64519357151617</v>
          </cell>
          <cell r="S36">
            <v>121.53501906616742</v>
          </cell>
          <cell r="T36">
            <v>121.00624237592066</v>
          </cell>
          <cell r="U36">
            <v>122.03975891086048</v>
          </cell>
          <cell r="W36">
            <v>130</v>
          </cell>
          <cell r="X36">
            <v>130</v>
          </cell>
          <cell r="Y36">
            <v>130</v>
          </cell>
          <cell r="Z36">
            <v>130</v>
          </cell>
          <cell r="AA36">
            <v>130</v>
          </cell>
          <cell r="AC36">
            <v>120</v>
          </cell>
          <cell r="AD36">
            <v>120</v>
          </cell>
          <cell r="AE36">
            <v>120</v>
          </cell>
          <cell r="AF36">
            <v>120</v>
          </cell>
          <cell r="AG36">
            <v>120</v>
          </cell>
          <cell r="AI36">
            <v>130</v>
          </cell>
          <cell r="AJ36">
            <v>130</v>
          </cell>
          <cell r="AK36">
            <v>130</v>
          </cell>
          <cell r="AL36">
            <v>130</v>
          </cell>
          <cell r="AM36">
            <v>130</v>
          </cell>
        </row>
        <row r="37">
          <cell r="A37" t="str">
            <v>Korea</v>
          </cell>
          <cell r="E37">
            <v>1233.9317333333331</v>
          </cell>
          <cell r="F37">
            <v>1295.2295000000001</v>
          </cell>
          <cell r="G37">
            <v>1295.2400666666667</v>
          </cell>
          <cell r="H37">
            <v>1291.0098666666665</v>
          </cell>
          <cell r="I37">
            <v>1278.8527916666667</v>
          </cell>
          <cell r="K37">
            <v>1296.2821000000001</v>
          </cell>
          <cell r="L37">
            <v>1310.1537097999999</v>
          </cell>
          <cell r="M37">
            <v>1203.7279220999999</v>
          </cell>
          <cell r="N37">
            <v>1215.5955627666665</v>
          </cell>
          <cell r="O37">
            <v>1256.4398236666666</v>
          </cell>
          <cell r="Q37">
            <v>1228.0999999999999</v>
          </cell>
          <cell r="R37">
            <v>1228.0999999999999</v>
          </cell>
          <cell r="S37">
            <v>1228.0999999999999</v>
          </cell>
          <cell r="T37">
            <v>1228.0999999999999</v>
          </cell>
          <cell r="U37">
            <v>1228.0999999999999</v>
          </cell>
          <cell r="W37">
            <v>1303</v>
          </cell>
          <cell r="X37">
            <v>1303</v>
          </cell>
          <cell r="Y37">
            <v>1303</v>
          </cell>
          <cell r="Z37">
            <v>1303</v>
          </cell>
          <cell r="AA37">
            <v>1303</v>
          </cell>
          <cell r="AC37">
            <v>1321</v>
          </cell>
          <cell r="AD37">
            <v>1321</v>
          </cell>
          <cell r="AE37">
            <v>1321</v>
          </cell>
          <cell r="AF37">
            <v>1321</v>
          </cell>
          <cell r="AG37">
            <v>1321</v>
          </cell>
          <cell r="AI37">
            <v>1303</v>
          </cell>
          <cell r="AJ37">
            <v>1303</v>
          </cell>
          <cell r="AK37">
            <v>1303</v>
          </cell>
          <cell r="AL37">
            <v>1303</v>
          </cell>
          <cell r="AM37">
            <v>1303</v>
          </cell>
        </row>
        <row r="38">
          <cell r="A38" t="str">
            <v>Mexico</v>
          </cell>
          <cell r="E38">
            <v>9.5995666666666661</v>
          </cell>
          <cell r="F38">
            <v>9.475933333333332</v>
          </cell>
          <cell r="G38">
            <v>9.113666666666667</v>
          </cell>
          <cell r="H38">
            <v>9.3136666666666681</v>
          </cell>
          <cell r="I38">
            <v>9.3757083333333338</v>
          </cell>
          <cell r="K38">
            <v>9.1616337000000012</v>
          </cell>
          <cell r="L38">
            <v>9.1647015333333339</v>
          </cell>
          <cell r="M38">
            <v>9.7371834666666661</v>
          </cell>
          <cell r="N38">
            <v>10.060485833333333</v>
          </cell>
          <cell r="O38">
            <v>9.5310011333333335</v>
          </cell>
          <cell r="Q38">
            <v>10.1218</v>
          </cell>
          <cell r="R38">
            <v>10.1218</v>
          </cell>
          <cell r="S38">
            <v>10.1218</v>
          </cell>
          <cell r="T38">
            <v>10.1218</v>
          </cell>
          <cell r="U38">
            <v>10.1218</v>
          </cell>
          <cell r="W38">
            <v>9.23</v>
          </cell>
          <cell r="X38">
            <v>9.23</v>
          </cell>
          <cell r="Y38">
            <v>9.23</v>
          </cell>
          <cell r="Z38">
            <v>9.23</v>
          </cell>
          <cell r="AA38">
            <v>9.23</v>
          </cell>
          <cell r="AC38">
            <v>9.85</v>
          </cell>
          <cell r="AD38">
            <v>9.85</v>
          </cell>
          <cell r="AE38">
            <v>9.85</v>
          </cell>
          <cell r="AF38">
            <v>9.85</v>
          </cell>
          <cell r="AG38">
            <v>9.85</v>
          </cell>
          <cell r="AI38">
            <v>9.23</v>
          </cell>
          <cell r="AJ38">
            <v>9.23</v>
          </cell>
          <cell r="AK38">
            <v>9.23</v>
          </cell>
          <cell r="AL38">
            <v>9.23</v>
          </cell>
          <cell r="AM38">
            <v>9.23</v>
          </cell>
        </row>
        <row r="39">
          <cell r="A39" t="str">
            <v>Norway</v>
          </cell>
          <cell r="E39">
            <v>8.9845333333333333</v>
          </cell>
          <cell r="F39">
            <v>9.025599999999999</v>
          </cell>
          <cell r="G39">
            <v>9.2194333333333329</v>
          </cell>
          <cell r="H39">
            <v>8.8129666666666662</v>
          </cell>
          <cell r="I39">
            <v>9.0106333333333328</v>
          </cell>
          <cell r="K39">
            <v>8.9720698666666667</v>
          </cell>
          <cell r="L39">
            <v>8.6788004333333344</v>
          </cell>
          <cell r="M39">
            <v>7.7070108666666668</v>
          </cell>
          <cell r="N39">
            <v>7.4811354000000003</v>
          </cell>
          <cell r="O39">
            <v>8.2097541416666679</v>
          </cell>
          <cell r="Q39">
            <v>7.595766666666667</v>
          </cell>
          <cell r="R39">
            <v>7.6871152173913044</v>
          </cell>
          <cell r="S39">
            <v>7.7722021739130431</v>
          </cell>
          <cell r="T39">
            <v>7.8360243869209816</v>
          </cell>
          <cell r="U39">
            <v>7.7314067612355801</v>
          </cell>
          <cell r="W39">
            <v>8.57</v>
          </cell>
          <cell r="X39">
            <v>8.57</v>
          </cell>
          <cell r="Y39">
            <v>8.57</v>
          </cell>
          <cell r="Z39">
            <v>8.57</v>
          </cell>
          <cell r="AA39">
            <v>8.57</v>
          </cell>
          <cell r="AC39">
            <v>9.17</v>
          </cell>
          <cell r="AD39">
            <v>9.17</v>
          </cell>
          <cell r="AE39">
            <v>9.17</v>
          </cell>
          <cell r="AF39">
            <v>9.17</v>
          </cell>
          <cell r="AG39">
            <v>9.17</v>
          </cell>
          <cell r="AI39">
            <v>8.57</v>
          </cell>
          <cell r="AJ39">
            <v>8.57</v>
          </cell>
          <cell r="AK39">
            <v>8.57</v>
          </cell>
          <cell r="AL39">
            <v>8.57</v>
          </cell>
          <cell r="AM39">
            <v>8.57</v>
          </cell>
        </row>
        <row r="40">
          <cell r="A40" t="str">
            <v>Poland</v>
          </cell>
          <cell r="E40">
            <v>4.2498999999999993</v>
          </cell>
          <cell r="F40">
            <v>4.0405333333333333</v>
          </cell>
          <cell r="G40">
            <v>4.093866666666667</v>
          </cell>
          <cell r="H40">
            <v>4.1774333333333331</v>
          </cell>
          <cell r="I40">
            <v>4.1404333333333332</v>
          </cell>
          <cell r="K40">
            <v>4.0749003333333329</v>
          </cell>
          <cell r="L40">
            <v>4.0956001999999998</v>
          </cell>
          <cell r="M40">
            <v>4.092869966666667</v>
          </cell>
          <cell r="N40">
            <v>4.1205866999999996</v>
          </cell>
          <cell r="O40">
            <v>4.0959892999999994</v>
          </cell>
          <cell r="Q40">
            <v>4.0267999999999997</v>
          </cell>
          <cell r="R40">
            <v>4.0697999999999999</v>
          </cell>
          <cell r="S40">
            <v>4.1097999999999999</v>
          </cell>
          <cell r="T40">
            <v>4.1458000000000004</v>
          </cell>
          <cell r="U40">
            <v>4.08805</v>
          </cell>
          <cell r="W40">
            <v>4.0199999999999996</v>
          </cell>
          <cell r="X40">
            <v>4.0199999999999996</v>
          </cell>
          <cell r="Y40">
            <v>4.0199999999999996</v>
          </cell>
          <cell r="Z40">
            <v>4.0199999999999996</v>
          </cell>
          <cell r="AA40">
            <v>4.0199999999999996</v>
          </cell>
          <cell r="AC40">
            <v>4.0199999999999996</v>
          </cell>
          <cell r="AD40">
            <v>4.0199999999999996</v>
          </cell>
          <cell r="AE40">
            <v>4.0199999999999996</v>
          </cell>
          <cell r="AF40">
            <v>4.0199999999999996</v>
          </cell>
          <cell r="AG40">
            <v>4.0199999999999996</v>
          </cell>
          <cell r="AI40">
            <v>4.0199999999999996</v>
          </cell>
          <cell r="AJ40">
            <v>4.0199999999999996</v>
          </cell>
          <cell r="AK40">
            <v>4.0199999999999996</v>
          </cell>
          <cell r="AL40">
            <v>4.0199999999999996</v>
          </cell>
          <cell r="AM40">
            <v>4.0199999999999996</v>
          </cell>
        </row>
        <row r="41">
          <cell r="A41" t="str">
            <v>Project Prophet</v>
          </cell>
          <cell r="E41">
            <v>0.68472460710060012</v>
          </cell>
          <cell r="F41">
            <v>0.69423586631869727</v>
          </cell>
          <cell r="G41">
            <v>0.70672741224611091</v>
          </cell>
          <cell r="H41">
            <v>0.68672732736537567</v>
          </cell>
          <cell r="I41">
            <v>0.69310380325769594</v>
          </cell>
          <cell r="K41">
            <v>0.69859356666666672</v>
          </cell>
          <cell r="L41">
            <v>0.69623210000000002</v>
          </cell>
          <cell r="M41">
            <v>0.66070323333333325</v>
          </cell>
          <cell r="N41">
            <v>0.64350929999999995</v>
          </cell>
          <cell r="O41">
            <v>0.67475954999999999</v>
          </cell>
          <cell r="Q41">
            <v>0.64374328901410338</v>
          </cell>
          <cell r="R41">
            <v>0.64725130689108901</v>
          </cell>
          <cell r="S41">
            <v>0.65076833047150973</v>
          </cell>
          <cell r="T41">
            <v>0.65419294520231885</v>
          </cell>
          <cell r="U41">
            <v>0.6489655506316524</v>
          </cell>
          <cell r="W41">
            <v>0.69</v>
          </cell>
          <cell r="X41">
            <v>0.69</v>
          </cell>
          <cell r="Y41">
            <v>0.69</v>
          </cell>
          <cell r="Z41">
            <v>0.69</v>
          </cell>
          <cell r="AA41">
            <v>0.69</v>
          </cell>
          <cell r="AC41">
            <v>0.69</v>
          </cell>
          <cell r="AD41">
            <v>0.69</v>
          </cell>
          <cell r="AE41">
            <v>0.69</v>
          </cell>
          <cell r="AF41">
            <v>0.69</v>
          </cell>
          <cell r="AG41">
            <v>0.69</v>
          </cell>
          <cell r="AI41">
            <v>0.69</v>
          </cell>
          <cell r="AJ41">
            <v>0.69</v>
          </cell>
          <cell r="AK41">
            <v>0.69</v>
          </cell>
          <cell r="AL41">
            <v>0.69</v>
          </cell>
          <cell r="AM41">
            <v>0.69</v>
          </cell>
        </row>
        <row r="42">
          <cell r="A42" t="str">
            <v>Romania</v>
          </cell>
          <cell r="E42">
            <v>25900.544699999999</v>
          </cell>
          <cell r="F42">
            <v>27567.037500000002</v>
          </cell>
          <cell r="G42">
            <v>29161.891099999997</v>
          </cell>
          <cell r="H42">
            <v>30494.297633333335</v>
          </cell>
          <cell r="I42">
            <v>28280.942733333333</v>
          </cell>
          <cell r="K42">
            <v>31790.515266066668</v>
          </cell>
          <cell r="L42">
            <v>32911.441594533331</v>
          </cell>
          <cell r="M42">
            <v>33220.259848499998</v>
          </cell>
          <cell r="N42">
            <v>33205.909090866677</v>
          </cell>
          <cell r="O42">
            <v>32782.031449991671</v>
          </cell>
          <cell r="Q42">
            <v>33402.050000000003</v>
          </cell>
          <cell r="R42">
            <v>33402.050000000003</v>
          </cell>
          <cell r="S42">
            <v>33402.050000000003</v>
          </cell>
          <cell r="T42">
            <v>33402.050000000003</v>
          </cell>
          <cell r="U42">
            <v>33402.050000000003</v>
          </cell>
          <cell r="W42">
            <v>1</v>
          </cell>
          <cell r="X42">
            <v>1</v>
          </cell>
          <cell r="Y42">
            <v>1</v>
          </cell>
          <cell r="Z42">
            <v>1</v>
          </cell>
          <cell r="AA42">
            <v>1</v>
          </cell>
          <cell r="AC42">
            <v>32000</v>
          </cell>
          <cell r="AD42">
            <v>32000</v>
          </cell>
          <cell r="AE42">
            <v>32000</v>
          </cell>
          <cell r="AF42">
            <v>32000</v>
          </cell>
          <cell r="AG42">
            <v>32000</v>
          </cell>
          <cell r="AI42">
            <v>1</v>
          </cell>
          <cell r="AJ42">
            <v>1</v>
          </cell>
          <cell r="AK42">
            <v>1</v>
          </cell>
          <cell r="AL42">
            <v>1</v>
          </cell>
          <cell r="AM42">
            <v>1</v>
          </cell>
        </row>
        <row r="43">
          <cell r="A43" t="str">
            <v>SBI</v>
          </cell>
          <cell r="E43">
            <v>46.637066666666669</v>
          </cell>
          <cell r="F43">
            <v>46.676099999999998</v>
          </cell>
          <cell r="G43">
            <v>47.052099999999996</v>
          </cell>
          <cell r="H43">
            <v>47.716833333333334</v>
          </cell>
          <cell r="I43">
            <v>47.020524999999999</v>
          </cell>
          <cell r="K43">
            <v>48.157766666666667</v>
          </cell>
          <cell r="L43">
            <v>48.801733333333324</v>
          </cell>
          <cell r="M43">
            <v>48.835506500000001</v>
          </cell>
          <cell r="N43">
            <v>48.396060599999998</v>
          </cell>
          <cell r="O43">
            <v>48.547766774999999</v>
          </cell>
          <cell r="Q43">
            <v>48.327300000000001</v>
          </cell>
          <cell r="R43">
            <v>48.327300000000001</v>
          </cell>
          <cell r="S43">
            <v>48.327300000000001</v>
          </cell>
          <cell r="T43">
            <v>48.327300000000001</v>
          </cell>
          <cell r="U43">
            <v>48.327300000000001</v>
          </cell>
          <cell r="W43">
            <v>49</v>
          </cell>
          <cell r="X43">
            <v>49</v>
          </cell>
          <cell r="Y43">
            <v>49</v>
          </cell>
          <cell r="Z43">
            <v>49</v>
          </cell>
          <cell r="AA43">
            <v>49</v>
          </cell>
          <cell r="AC43">
            <v>49</v>
          </cell>
          <cell r="AD43">
            <v>49</v>
          </cell>
          <cell r="AE43">
            <v>49</v>
          </cell>
          <cell r="AF43">
            <v>49</v>
          </cell>
          <cell r="AG43">
            <v>49</v>
          </cell>
          <cell r="AI43">
            <v>49</v>
          </cell>
          <cell r="AJ43">
            <v>49</v>
          </cell>
          <cell r="AK43">
            <v>49</v>
          </cell>
          <cell r="AL43">
            <v>49</v>
          </cell>
          <cell r="AM43">
            <v>49</v>
          </cell>
        </row>
        <row r="44">
          <cell r="A44" t="str">
            <v>Singapore</v>
          </cell>
          <cell r="E44">
            <v>1.7402</v>
          </cell>
          <cell r="F44">
            <v>1.7861</v>
          </cell>
          <cell r="G44">
            <v>1.8122</v>
          </cell>
          <cell r="H44">
            <v>1.7805333333333333</v>
          </cell>
          <cell r="I44">
            <v>1.7797583333333333</v>
          </cell>
          <cell r="K44">
            <v>1.8367667000000001</v>
          </cell>
          <cell r="L44">
            <v>1.8257667333333334</v>
          </cell>
          <cell r="M44">
            <v>1.7714340333333334</v>
          </cell>
          <cell r="N44">
            <v>1.7694405333333334</v>
          </cell>
          <cell r="O44">
            <v>1.8008520000000001</v>
          </cell>
          <cell r="Q44">
            <v>1.8</v>
          </cell>
          <cell r="R44">
            <v>1.8</v>
          </cell>
          <cell r="S44">
            <v>1.8</v>
          </cell>
          <cell r="T44">
            <v>1.8</v>
          </cell>
          <cell r="U44">
            <v>1.8</v>
          </cell>
          <cell r="W44">
            <v>1.806</v>
          </cell>
          <cell r="X44">
            <v>1.806</v>
          </cell>
          <cell r="Y44">
            <v>1.806</v>
          </cell>
          <cell r="Z44">
            <v>1.806</v>
          </cell>
          <cell r="AA44">
            <v>1.806</v>
          </cell>
          <cell r="AC44">
            <v>1.81</v>
          </cell>
          <cell r="AD44">
            <v>1.81</v>
          </cell>
          <cell r="AE44">
            <v>1.81</v>
          </cell>
          <cell r="AF44">
            <v>1.81</v>
          </cell>
          <cell r="AG44">
            <v>1.81</v>
          </cell>
          <cell r="AI44">
            <v>1.806</v>
          </cell>
          <cell r="AJ44">
            <v>1.806</v>
          </cell>
          <cell r="AK44">
            <v>1.806</v>
          </cell>
          <cell r="AL44">
            <v>1.806</v>
          </cell>
          <cell r="AM44">
            <v>1.806</v>
          </cell>
        </row>
        <row r="45">
          <cell r="A45" t="str">
            <v>Sweden</v>
          </cell>
          <cell r="E45">
            <v>9.6822999999999997</v>
          </cell>
          <cell r="F45">
            <v>10.090033333333334</v>
          </cell>
          <cell r="G45">
            <v>10.658299999999999</v>
          </cell>
          <cell r="H45">
            <v>10.523233333333332</v>
          </cell>
          <cell r="I45">
            <v>10.238466666666666</v>
          </cell>
          <cell r="K45">
            <v>10.553863466666668</v>
          </cell>
          <cell r="L45">
            <v>10.331201366666667</v>
          </cell>
          <cell r="M45">
            <v>9.5437110000000001</v>
          </cell>
          <cell r="N45">
            <v>9.2917052666666677</v>
          </cell>
          <cell r="O45">
            <v>9.9301202750000002</v>
          </cell>
          <cell r="Q45">
            <v>9.3179733333333328</v>
          </cell>
          <cell r="R45">
            <v>9.3779369565217383</v>
          </cell>
          <cell r="S45">
            <v>9.4356543478260857</v>
          </cell>
          <cell r="T45">
            <v>9.4779019073569479</v>
          </cell>
          <cell r="U45">
            <v>9.4016531702747912</v>
          </cell>
          <cell r="W45">
            <v>10.52</v>
          </cell>
          <cell r="X45">
            <v>10.52</v>
          </cell>
          <cell r="Y45">
            <v>10.52</v>
          </cell>
          <cell r="Z45">
            <v>10.52</v>
          </cell>
          <cell r="AA45">
            <v>10.52</v>
          </cell>
          <cell r="AC45">
            <v>10.09</v>
          </cell>
          <cell r="AD45">
            <v>10.09</v>
          </cell>
          <cell r="AE45">
            <v>10.09</v>
          </cell>
          <cell r="AF45">
            <v>10.09</v>
          </cell>
          <cell r="AG45">
            <v>10.09</v>
          </cell>
          <cell r="AI45">
            <v>10.36</v>
          </cell>
          <cell r="AJ45">
            <v>10.36</v>
          </cell>
          <cell r="AK45">
            <v>10.36</v>
          </cell>
          <cell r="AL45">
            <v>10.36</v>
          </cell>
          <cell r="AM45">
            <v>10.36</v>
          </cell>
        </row>
        <row r="46">
          <cell r="A46" t="str">
            <v>Sweden Auto</v>
          </cell>
          <cell r="E46">
            <v>9.6822999999999997</v>
          </cell>
          <cell r="F46">
            <v>10.090033333333334</v>
          </cell>
          <cell r="G46">
            <v>10.658299999999999</v>
          </cell>
          <cell r="H46">
            <v>10.523233333333332</v>
          </cell>
          <cell r="I46">
            <v>10.238466666666666</v>
          </cell>
          <cell r="K46">
            <v>10.553863466666668</v>
          </cell>
          <cell r="L46">
            <v>10.331201366666667</v>
          </cell>
          <cell r="M46">
            <v>9.5437110000000001</v>
          </cell>
          <cell r="N46">
            <v>9.2917052666666677</v>
          </cell>
          <cell r="O46">
            <v>9.9301202750000002</v>
          </cell>
          <cell r="Q46">
            <v>9.3179733333333328</v>
          </cell>
          <cell r="R46">
            <v>9.3779369565217383</v>
          </cell>
          <cell r="S46">
            <v>9.4356543478260857</v>
          </cell>
          <cell r="T46">
            <v>9.4779019073569479</v>
          </cell>
          <cell r="U46">
            <v>9.4016531702747912</v>
          </cell>
          <cell r="W46">
            <v>10.52</v>
          </cell>
          <cell r="X46">
            <v>10.52</v>
          </cell>
          <cell r="Y46">
            <v>10.52</v>
          </cell>
          <cell r="Z46">
            <v>10.52</v>
          </cell>
          <cell r="AA46">
            <v>10.52</v>
          </cell>
          <cell r="AC46">
            <v>10.09</v>
          </cell>
          <cell r="AD46">
            <v>10.09</v>
          </cell>
          <cell r="AE46">
            <v>10.09</v>
          </cell>
          <cell r="AF46">
            <v>10.09</v>
          </cell>
          <cell r="AG46">
            <v>10.09</v>
          </cell>
          <cell r="AI46">
            <v>10.36</v>
          </cell>
          <cell r="AJ46">
            <v>10.36</v>
          </cell>
          <cell r="AK46">
            <v>10.36</v>
          </cell>
          <cell r="AL46">
            <v>10.36</v>
          </cell>
          <cell r="AM46">
            <v>10.36</v>
          </cell>
        </row>
        <row r="47">
          <cell r="A47" t="str">
            <v>Switzerland</v>
          </cell>
          <cell r="E47">
            <v>1.6772333333333334</v>
          </cell>
          <cell r="F47">
            <v>1.7012</v>
          </cell>
          <cell r="G47">
            <v>1.7602333333333335</v>
          </cell>
          <cell r="H47">
            <v>1.6399666666666668</v>
          </cell>
          <cell r="I47">
            <v>1.6946583333333336</v>
          </cell>
          <cell r="K47">
            <v>1.6667666333333333</v>
          </cell>
          <cell r="L47">
            <v>1.6596666666666666</v>
          </cell>
          <cell r="M47">
            <v>1.5161455333333336</v>
          </cell>
          <cell r="N47">
            <v>1.4894587000000001</v>
          </cell>
          <cell r="O47">
            <v>1.5830093833333334</v>
          </cell>
          <cell r="Q47">
            <v>1.4859499999999999</v>
          </cell>
          <cell r="R47">
            <v>1.48255</v>
          </cell>
          <cell r="S47">
            <v>1.4790000000000001</v>
          </cell>
          <cell r="T47">
            <v>1.4755</v>
          </cell>
          <cell r="U47">
            <v>1.48075</v>
          </cell>
          <cell r="W47">
            <v>1.65</v>
          </cell>
          <cell r="X47">
            <v>1.65</v>
          </cell>
          <cell r="Y47">
            <v>1.65</v>
          </cell>
          <cell r="Z47">
            <v>1.65</v>
          </cell>
          <cell r="AA47">
            <v>1.65</v>
          </cell>
          <cell r="AC47">
            <v>1.7</v>
          </cell>
          <cell r="AD47">
            <v>1.7</v>
          </cell>
          <cell r="AE47">
            <v>1.7</v>
          </cell>
          <cell r="AF47">
            <v>1.7</v>
          </cell>
          <cell r="AG47">
            <v>1.7</v>
          </cell>
          <cell r="AI47">
            <v>1.65</v>
          </cell>
          <cell r="AJ47">
            <v>1.65</v>
          </cell>
          <cell r="AK47">
            <v>1.65</v>
          </cell>
          <cell r="AL47">
            <v>1.65</v>
          </cell>
          <cell r="AM47">
            <v>1.65</v>
          </cell>
        </row>
        <row r="48">
          <cell r="A48" t="str">
            <v>Taiwan</v>
          </cell>
          <cell r="E48">
            <v>32.737533333333339</v>
          </cell>
          <cell r="F48">
            <v>32.663566666666668</v>
          </cell>
          <cell r="G48">
            <v>34.34106666666667</v>
          </cell>
          <cell r="H48">
            <v>34.541866666666664</v>
          </cell>
          <cell r="I48">
            <v>33.571008333333339</v>
          </cell>
          <cell r="K48">
            <v>34.766875199999994</v>
          </cell>
          <cell r="L48">
            <v>34.877709466666666</v>
          </cell>
          <cell r="M48">
            <v>33.684108933333334</v>
          </cell>
          <cell r="N48">
            <v>34.533008666666667</v>
          </cell>
          <cell r="O48">
            <v>34.465425566666667</v>
          </cell>
          <cell r="Q48">
            <v>34.725900000000003</v>
          </cell>
          <cell r="R48">
            <v>34.725900000000003</v>
          </cell>
          <cell r="S48">
            <v>34.725900000000003</v>
          </cell>
          <cell r="T48">
            <v>34.725900000000003</v>
          </cell>
          <cell r="U48">
            <v>34.725900000000003</v>
          </cell>
          <cell r="W48">
            <v>35</v>
          </cell>
          <cell r="X48">
            <v>35</v>
          </cell>
          <cell r="Y48">
            <v>35</v>
          </cell>
          <cell r="Z48">
            <v>35</v>
          </cell>
          <cell r="AA48">
            <v>35</v>
          </cell>
          <cell r="AC48">
            <v>35</v>
          </cell>
          <cell r="AD48">
            <v>35</v>
          </cell>
          <cell r="AE48">
            <v>35</v>
          </cell>
          <cell r="AF48">
            <v>35</v>
          </cell>
          <cell r="AG48">
            <v>35</v>
          </cell>
          <cell r="AI48">
            <v>35</v>
          </cell>
          <cell r="AJ48">
            <v>35</v>
          </cell>
          <cell r="AK48">
            <v>35</v>
          </cell>
          <cell r="AL48">
            <v>35</v>
          </cell>
          <cell r="AM48">
            <v>35</v>
          </cell>
        </row>
        <row r="49">
          <cell r="A49" t="str">
            <v>Thailand</v>
          </cell>
          <cell r="E49">
            <v>43.17763333333334</v>
          </cell>
          <cell r="F49">
            <v>44.444466666666663</v>
          </cell>
          <cell r="G49">
            <v>45.451300000000003</v>
          </cell>
          <cell r="H49">
            <v>44.535133333333334</v>
          </cell>
          <cell r="I49">
            <v>44.402133333333332</v>
          </cell>
          <cell r="K49">
            <v>44.015554166666668</v>
          </cell>
          <cell r="L49">
            <v>43.40034373333333</v>
          </cell>
          <cell r="M49">
            <v>41.933661600000001</v>
          </cell>
          <cell r="N49">
            <v>43.02046896666667</v>
          </cell>
          <cell r="O49">
            <v>43.092507116666667</v>
          </cell>
          <cell r="Q49">
            <v>43.274299999999997</v>
          </cell>
          <cell r="R49">
            <v>43.274299999999997</v>
          </cell>
          <cell r="S49">
            <v>43.274299999999997</v>
          </cell>
          <cell r="T49">
            <v>43.274299999999997</v>
          </cell>
          <cell r="U49">
            <v>43.274299999999997</v>
          </cell>
          <cell r="W49">
            <v>45.45</v>
          </cell>
          <cell r="X49">
            <v>45.45</v>
          </cell>
          <cell r="Y49">
            <v>45.45</v>
          </cell>
          <cell r="Z49">
            <v>45.45</v>
          </cell>
          <cell r="AA49">
            <v>45.45</v>
          </cell>
          <cell r="AC49">
            <v>45.45</v>
          </cell>
          <cell r="AD49">
            <v>45.45</v>
          </cell>
          <cell r="AE49">
            <v>45.45</v>
          </cell>
          <cell r="AF49">
            <v>45.45</v>
          </cell>
          <cell r="AG49">
            <v>45.45</v>
          </cell>
          <cell r="AI49">
            <v>43.32</v>
          </cell>
          <cell r="AJ49">
            <v>43.32</v>
          </cell>
          <cell r="AK49">
            <v>43.32</v>
          </cell>
          <cell r="AL49">
            <v>43.32</v>
          </cell>
          <cell r="AM49">
            <v>43.32</v>
          </cell>
        </row>
        <row r="54">
          <cell r="A54" t="str">
            <v>Argentina</v>
          </cell>
          <cell r="E54">
            <v>0.99990000000000001</v>
          </cell>
          <cell r="F54">
            <v>0.99960000000000004</v>
          </cell>
          <cell r="G54">
            <v>0.99850000000000005</v>
          </cell>
          <cell r="H54">
            <v>1</v>
          </cell>
          <cell r="I54">
            <v>0.99950000000000006</v>
          </cell>
          <cell r="K54">
            <v>2.29</v>
          </cell>
          <cell r="L54">
            <v>3.55</v>
          </cell>
          <cell r="M54">
            <v>3.625</v>
          </cell>
          <cell r="N54">
            <v>3.4950000000000001</v>
          </cell>
          <cell r="O54">
            <v>3.4950000000000001</v>
          </cell>
          <cell r="Q54">
            <v>3.54</v>
          </cell>
          <cell r="R54">
            <v>3.54</v>
          </cell>
          <cell r="S54">
            <v>3.54</v>
          </cell>
          <cell r="T54">
            <v>3.54</v>
          </cell>
          <cell r="U54">
            <v>3.54</v>
          </cell>
          <cell r="W54">
            <v>4.5199999999999996</v>
          </cell>
          <cell r="X54">
            <v>4.5199999999999996</v>
          </cell>
          <cell r="Y54">
            <v>4.5199999999999996</v>
          </cell>
          <cell r="Z54">
            <v>4.5199999999999996</v>
          </cell>
          <cell r="AA54">
            <v>4.5199999999999996</v>
          </cell>
          <cell r="AC54">
            <v>2.25</v>
          </cell>
          <cell r="AD54">
            <v>2.25</v>
          </cell>
          <cell r="AE54">
            <v>2.25</v>
          </cell>
          <cell r="AF54">
            <v>2.25</v>
          </cell>
          <cell r="AG54">
            <v>2.25</v>
          </cell>
          <cell r="AI54">
            <v>4.0999999999999996</v>
          </cell>
          <cell r="AJ54">
            <v>4.0999999999999996</v>
          </cell>
          <cell r="AK54">
            <v>4.0999999999999996</v>
          </cell>
          <cell r="AL54">
            <v>4.0999999999999996</v>
          </cell>
          <cell r="AM54">
            <v>4.0999999999999996</v>
          </cell>
        </row>
        <row r="55">
          <cell r="A55" t="str">
            <v>Australia</v>
          </cell>
          <cell r="E55">
            <v>2.0333468889792599</v>
          </cell>
          <cell r="F55">
            <v>1.9065776930409915</v>
          </cell>
          <cell r="G55">
            <v>1.9394879751745542</v>
          </cell>
          <cell r="H55">
            <v>1.9245574000000001</v>
          </cell>
          <cell r="I55">
            <v>1.927058722244815</v>
          </cell>
          <cell r="K55">
            <v>1.9011407</v>
          </cell>
          <cell r="L55">
            <v>1.7844397000000001</v>
          </cell>
          <cell r="M55">
            <v>1.8163654527290924</v>
          </cell>
          <cell r="N55">
            <v>1.7705382000000001</v>
          </cell>
          <cell r="O55">
            <v>1.7705382000000001</v>
          </cell>
          <cell r="Q55">
            <v>1.8021265092809517</v>
          </cell>
          <cell r="R55">
            <v>1.7979000000000001</v>
          </cell>
          <cell r="S55">
            <v>1.7979000000000001</v>
          </cell>
          <cell r="T55">
            <v>1.7979000000000001</v>
          </cell>
          <cell r="U55">
            <v>1.798956627320238</v>
          </cell>
          <cell r="W55">
            <v>1.9231</v>
          </cell>
          <cell r="X55">
            <v>1.9231</v>
          </cell>
          <cell r="Y55">
            <v>1.9231</v>
          </cell>
          <cell r="Z55">
            <v>1.9231</v>
          </cell>
          <cell r="AA55">
            <v>1.9231</v>
          </cell>
          <cell r="AC55">
            <v>1.82</v>
          </cell>
          <cell r="AD55">
            <v>1.82</v>
          </cell>
          <cell r="AE55">
            <v>1.82</v>
          </cell>
          <cell r="AF55">
            <v>1.82</v>
          </cell>
          <cell r="AG55">
            <v>1.82</v>
          </cell>
          <cell r="AI55">
            <v>1.9231</v>
          </cell>
          <cell r="AJ55">
            <v>1.9231</v>
          </cell>
          <cell r="AK55">
            <v>1.9231</v>
          </cell>
          <cell r="AL55">
            <v>1.9231</v>
          </cell>
          <cell r="AM55">
            <v>1.9231</v>
          </cell>
        </row>
        <row r="56">
          <cell r="A56" t="str">
            <v>Austria</v>
          </cell>
          <cell r="E56">
            <v>1.1152001784320285</v>
          </cell>
          <cell r="F56">
            <v>1.1614401858304297</v>
          </cell>
          <cell r="G56">
            <v>1.0863661053775122</v>
          </cell>
          <cell r="H56">
            <v>1.1079105</v>
          </cell>
          <cell r="I56">
            <v>1.1193963196080072</v>
          </cell>
          <cell r="K56">
            <v>1.1331445</v>
          </cell>
          <cell r="L56">
            <v>1.056859</v>
          </cell>
          <cell r="M56">
            <v>1.0262199189286263</v>
          </cell>
          <cell r="N56">
            <v>0.97785169999999999</v>
          </cell>
          <cell r="O56">
            <v>0.97785169999999999</v>
          </cell>
          <cell r="Q56">
            <v>1.0259189639892179</v>
          </cell>
          <cell r="R56">
            <v>1.0292309016002636</v>
          </cell>
          <cell r="S56">
            <v>1.0320261865616565</v>
          </cell>
          <cell r="T56">
            <v>1.0341284290123642</v>
          </cell>
          <cell r="U56">
            <v>1.0303261202908756</v>
          </cell>
          <cell r="W56">
            <v>1.1259999999999999</v>
          </cell>
          <cell r="X56">
            <v>1.1259999999999999</v>
          </cell>
          <cell r="Y56">
            <v>1.1259999999999999</v>
          </cell>
          <cell r="Z56">
            <v>1.1259999999999999</v>
          </cell>
          <cell r="AA56">
            <v>1.1259999999999999</v>
          </cell>
          <cell r="AC56">
            <v>1.1100000000000001</v>
          </cell>
          <cell r="AD56">
            <v>1.1100000000000001</v>
          </cell>
          <cell r="AE56">
            <v>1.1100000000000001</v>
          </cell>
          <cell r="AF56">
            <v>1.1100000000000001</v>
          </cell>
          <cell r="AG56">
            <v>1.1100000000000001</v>
          </cell>
          <cell r="AI56">
            <v>1.1259999999999999</v>
          </cell>
          <cell r="AJ56">
            <v>1.1259999999999999</v>
          </cell>
          <cell r="AK56">
            <v>1.1259999999999999</v>
          </cell>
          <cell r="AL56">
            <v>1.1259999999999999</v>
          </cell>
          <cell r="AM56">
            <v>1.1259999999999999</v>
          </cell>
        </row>
        <row r="57">
          <cell r="A57" t="str">
            <v>Ireland</v>
          </cell>
          <cell r="E57">
            <v>1.1152001784320285</v>
          </cell>
          <cell r="F57">
            <v>1.1614401858304297</v>
          </cell>
          <cell r="G57">
            <v>1.0863661053775122</v>
          </cell>
          <cell r="H57">
            <v>1.1079105</v>
          </cell>
          <cell r="I57">
            <v>1.1193963196080072</v>
          </cell>
          <cell r="K57">
            <v>1.1331445</v>
          </cell>
          <cell r="L57">
            <v>1.056859</v>
          </cell>
          <cell r="M57">
            <v>1.0262199189286263</v>
          </cell>
          <cell r="N57">
            <v>0.97785169999999999</v>
          </cell>
          <cell r="O57">
            <v>0.97785169999999999</v>
          </cell>
          <cell r="Q57">
            <v>1.0259189639892179</v>
          </cell>
          <cell r="R57">
            <v>1.0292309016002636</v>
          </cell>
          <cell r="S57">
            <v>1.0320261865616565</v>
          </cell>
          <cell r="T57">
            <v>1.0341284290123642</v>
          </cell>
          <cell r="U57">
            <v>1.0303261202908756</v>
          </cell>
          <cell r="W57">
            <v>1.1259999999999999</v>
          </cell>
          <cell r="X57">
            <v>1.1259999999999999</v>
          </cell>
          <cell r="Y57">
            <v>1.1259999999999999</v>
          </cell>
          <cell r="Z57">
            <v>1.1259999999999999</v>
          </cell>
          <cell r="AA57">
            <v>1.1259999999999999</v>
          </cell>
          <cell r="AC57">
            <v>1.1100000000000001</v>
          </cell>
          <cell r="AD57">
            <v>1.1100000000000001</v>
          </cell>
          <cell r="AE57">
            <v>1.1100000000000001</v>
          </cell>
          <cell r="AF57">
            <v>1.1100000000000001</v>
          </cell>
          <cell r="AG57">
            <v>1.1100000000000001</v>
          </cell>
          <cell r="AI57">
            <v>1.1259999999999999</v>
          </cell>
          <cell r="AJ57">
            <v>1.1259999999999999</v>
          </cell>
          <cell r="AK57">
            <v>1.1259999999999999</v>
          </cell>
          <cell r="AL57">
            <v>1.1259999999999999</v>
          </cell>
          <cell r="AM57">
            <v>1.1259999999999999</v>
          </cell>
        </row>
        <row r="58">
          <cell r="A58" t="str">
            <v>Italy</v>
          </cell>
          <cell r="E58">
            <v>1.1152001784320285</v>
          </cell>
          <cell r="F58">
            <v>1.1614401858304297</v>
          </cell>
          <cell r="G58">
            <v>1.0863661053775122</v>
          </cell>
          <cell r="H58">
            <v>1.1079105</v>
          </cell>
          <cell r="I58">
            <v>1.1193963196080072</v>
          </cell>
          <cell r="K58">
            <v>1.1331445</v>
          </cell>
          <cell r="L58">
            <v>1.056859</v>
          </cell>
          <cell r="M58">
            <v>1.0262199189286263</v>
          </cell>
          <cell r="N58">
            <v>0.97785169999999999</v>
          </cell>
          <cell r="O58">
            <v>0.97785169999999999</v>
          </cell>
          <cell r="Q58">
            <v>1.0259189639892179</v>
          </cell>
          <cell r="R58">
            <v>1.0292309016002636</v>
          </cell>
          <cell r="S58">
            <v>1.0320261865616565</v>
          </cell>
          <cell r="T58">
            <v>1.0341284290123642</v>
          </cell>
          <cell r="U58">
            <v>1.0303261202908756</v>
          </cell>
          <cell r="W58">
            <v>1.1259999999999999</v>
          </cell>
          <cell r="X58">
            <v>1.1259999999999999</v>
          </cell>
          <cell r="Y58">
            <v>1.1259999999999999</v>
          </cell>
          <cell r="Z58">
            <v>1.1259999999999999</v>
          </cell>
          <cell r="AA58">
            <v>1.1259999999999999</v>
          </cell>
          <cell r="AC58">
            <v>1.1100000000000001</v>
          </cell>
          <cell r="AD58">
            <v>1.1100000000000001</v>
          </cell>
          <cell r="AE58">
            <v>1.1100000000000001</v>
          </cell>
          <cell r="AF58">
            <v>1.1100000000000001</v>
          </cell>
          <cell r="AG58">
            <v>1.1100000000000001</v>
          </cell>
          <cell r="AI58">
            <v>1.1259999999999999</v>
          </cell>
          <cell r="AJ58">
            <v>1.1259999999999999</v>
          </cell>
          <cell r="AK58">
            <v>1.1259999999999999</v>
          </cell>
          <cell r="AL58">
            <v>1.1259999999999999</v>
          </cell>
          <cell r="AM58">
            <v>1.1259999999999999</v>
          </cell>
        </row>
        <row r="59">
          <cell r="A59" t="str">
            <v>Portugal</v>
          </cell>
          <cell r="E59">
            <v>1.1152001784320285</v>
          </cell>
          <cell r="F59">
            <v>1.1614401858304297</v>
          </cell>
          <cell r="G59">
            <v>1.0863661053775122</v>
          </cell>
          <cell r="H59">
            <v>1.1079105</v>
          </cell>
          <cell r="I59">
            <v>1.1193963196424117</v>
          </cell>
          <cell r="K59">
            <v>1.1331445</v>
          </cell>
          <cell r="L59">
            <v>1.056859</v>
          </cell>
          <cell r="M59">
            <v>1.0262199189286263</v>
          </cell>
          <cell r="N59">
            <v>0.97785169999999999</v>
          </cell>
          <cell r="O59">
            <v>0.97785169999999999</v>
          </cell>
          <cell r="Q59">
            <v>1.0259189639892179</v>
          </cell>
          <cell r="R59">
            <v>1.0292309016002636</v>
          </cell>
          <cell r="S59">
            <v>1.0320261865616565</v>
          </cell>
          <cell r="T59">
            <v>1.0341284290123642</v>
          </cell>
          <cell r="U59">
            <v>1.0303261202908756</v>
          </cell>
          <cell r="W59">
            <v>1.1259999999999999</v>
          </cell>
          <cell r="X59">
            <v>1.1259999999999999</v>
          </cell>
          <cell r="Y59">
            <v>1.1259999999999999</v>
          </cell>
          <cell r="Z59">
            <v>1.1259999999999999</v>
          </cell>
          <cell r="AA59">
            <v>1.1259999999999999</v>
          </cell>
          <cell r="AC59">
            <v>1.1100000000000001</v>
          </cell>
          <cell r="AD59">
            <v>1.1100000000000001</v>
          </cell>
          <cell r="AE59">
            <v>1.1100000000000001</v>
          </cell>
          <cell r="AF59">
            <v>1.1100000000000001</v>
          </cell>
          <cell r="AG59">
            <v>1.1100000000000001</v>
          </cell>
          <cell r="AI59">
            <v>1.1259999999999999</v>
          </cell>
          <cell r="AJ59">
            <v>1.1259999999999999</v>
          </cell>
          <cell r="AK59">
            <v>1.1259999999999999</v>
          </cell>
          <cell r="AL59">
            <v>1.1259999999999999</v>
          </cell>
          <cell r="AM59">
            <v>1.1259999999999999</v>
          </cell>
        </row>
        <row r="60">
          <cell r="A60" t="str">
            <v>Spain</v>
          </cell>
          <cell r="E60">
            <v>1.1152001784320285</v>
          </cell>
          <cell r="F60">
            <v>1.1614401858304297</v>
          </cell>
          <cell r="G60">
            <v>1.0863661053775122</v>
          </cell>
          <cell r="H60">
            <v>1.1079105</v>
          </cell>
          <cell r="I60">
            <v>1.1192927498636704</v>
          </cell>
          <cell r="K60">
            <v>1.1331445</v>
          </cell>
          <cell r="L60">
            <v>1.056859</v>
          </cell>
          <cell r="M60">
            <v>1.0262199189286263</v>
          </cell>
          <cell r="N60">
            <v>0.97785169999999999</v>
          </cell>
          <cell r="O60">
            <v>0.97785169999999999</v>
          </cell>
          <cell r="Q60">
            <v>1.0259189639892179</v>
          </cell>
          <cell r="R60">
            <v>1.0292309016002636</v>
          </cell>
          <cell r="S60">
            <v>1.0320261865616565</v>
          </cell>
          <cell r="T60">
            <v>1.0341284290123642</v>
          </cell>
          <cell r="U60">
            <v>1.0303261202908756</v>
          </cell>
          <cell r="W60">
            <v>1.1259999999999999</v>
          </cell>
          <cell r="X60">
            <v>1.1259999999999999</v>
          </cell>
          <cell r="Y60">
            <v>1.1259999999999999</v>
          </cell>
          <cell r="Z60">
            <v>1.1259999999999999</v>
          </cell>
          <cell r="AA60">
            <v>1.1259999999999999</v>
          </cell>
          <cell r="AC60">
            <v>1.1100000000000001</v>
          </cell>
          <cell r="AD60">
            <v>1.1100000000000001</v>
          </cell>
          <cell r="AE60">
            <v>1.1100000000000001</v>
          </cell>
          <cell r="AF60">
            <v>1.1100000000000001</v>
          </cell>
          <cell r="AG60">
            <v>1.1100000000000001</v>
          </cell>
          <cell r="AI60">
            <v>1.1259999999999999</v>
          </cell>
          <cell r="AJ60">
            <v>1.1259999999999999</v>
          </cell>
          <cell r="AK60">
            <v>1.1259999999999999</v>
          </cell>
          <cell r="AL60">
            <v>1.1259999999999999</v>
          </cell>
          <cell r="AM60">
            <v>1.1259999999999999</v>
          </cell>
        </row>
        <row r="61">
          <cell r="A61" t="str">
            <v>Auto UK</v>
          </cell>
          <cell r="E61">
            <v>0.69676700111482714</v>
          </cell>
          <cell r="F61">
            <v>0.71270757608153379</v>
          </cell>
          <cell r="G61">
            <v>0.67930167787514439</v>
          </cell>
          <cell r="H61">
            <v>0.68742700000000001</v>
          </cell>
          <cell r="I61">
            <v>0.69200242499999998</v>
          </cell>
          <cell r="K61">
            <v>0.70214860000000001</v>
          </cell>
          <cell r="L61">
            <v>0.67663580000000001</v>
          </cell>
          <cell r="M61">
            <v>0.64168377823408629</v>
          </cell>
          <cell r="N61">
            <v>0.62906930000000005</v>
          </cell>
          <cell r="O61">
            <v>0.62906930000000005</v>
          </cell>
          <cell r="Q61">
            <v>0.64374328901410338</v>
          </cell>
          <cell r="R61">
            <v>0.64725130689108901</v>
          </cell>
          <cell r="S61">
            <v>0.65076833047150973</v>
          </cell>
          <cell r="T61">
            <v>0.65419294520231885</v>
          </cell>
          <cell r="U61">
            <v>0.6489655506316524</v>
          </cell>
          <cell r="W61">
            <v>0.69</v>
          </cell>
          <cell r="X61">
            <v>0.69</v>
          </cell>
          <cell r="Y61">
            <v>0.69</v>
          </cell>
          <cell r="Z61">
            <v>0.69</v>
          </cell>
          <cell r="AA61">
            <v>0.69</v>
          </cell>
          <cell r="AC61">
            <v>0.7</v>
          </cell>
          <cell r="AD61">
            <v>0.7</v>
          </cell>
          <cell r="AE61">
            <v>0.7</v>
          </cell>
          <cell r="AF61">
            <v>0.7</v>
          </cell>
          <cell r="AG61">
            <v>0.7</v>
          </cell>
          <cell r="AI61">
            <v>0.69</v>
          </cell>
          <cell r="AJ61">
            <v>0.69</v>
          </cell>
          <cell r="AK61">
            <v>0.69</v>
          </cell>
          <cell r="AL61">
            <v>0.69</v>
          </cell>
          <cell r="AM61">
            <v>0.69</v>
          </cell>
        </row>
        <row r="62">
          <cell r="A62" t="str">
            <v>Brazil</v>
          </cell>
          <cell r="E62">
            <v>2.085</v>
          </cell>
          <cell r="F62">
            <v>2.4115000000000002</v>
          </cell>
          <cell r="G62">
            <v>2.6859999999999999</v>
          </cell>
          <cell r="H62">
            <v>2.375</v>
          </cell>
          <cell r="I62">
            <v>2.2858749999999999</v>
          </cell>
          <cell r="K62">
            <v>2.3450000000000002</v>
          </cell>
          <cell r="L62">
            <v>2.7149999999999999</v>
          </cell>
          <cell r="M62">
            <v>3.1455000000000002</v>
          </cell>
          <cell r="N62">
            <v>3.7189999999999999</v>
          </cell>
          <cell r="O62">
            <v>3.7189999999999999</v>
          </cell>
          <cell r="Q62">
            <v>3.7404999999999999</v>
          </cell>
          <cell r="R62">
            <v>3.7404999999999999</v>
          </cell>
          <cell r="S62">
            <v>3.7404999999999999</v>
          </cell>
          <cell r="T62">
            <v>3.7404999999999999</v>
          </cell>
          <cell r="U62">
            <v>3.7404999999999999</v>
          </cell>
          <cell r="W62">
            <v>2.34</v>
          </cell>
          <cell r="X62">
            <v>2.34</v>
          </cell>
          <cell r="Y62">
            <v>2.34</v>
          </cell>
          <cell r="Z62">
            <v>2.34</v>
          </cell>
          <cell r="AA62">
            <v>2.34</v>
          </cell>
          <cell r="AC62">
            <v>2.41</v>
          </cell>
          <cell r="AD62">
            <v>2.41</v>
          </cell>
          <cell r="AE62">
            <v>2.41</v>
          </cell>
          <cell r="AF62">
            <v>2.41</v>
          </cell>
          <cell r="AG62">
            <v>2.41</v>
          </cell>
          <cell r="AI62">
            <v>2.34</v>
          </cell>
          <cell r="AJ62">
            <v>2.34</v>
          </cell>
          <cell r="AK62">
            <v>2.34</v>
          </cell>
          <cell r="AL62">
            <v>2.34</v>
          </cell>
          <cell r="AM62">
            <v>2.34</v>
          </cell>
        </row>
        <row r="63">
          <cell r="A63" t="str">
            <v>Budapest Bank</v>
          </cell>
          <cell r="E63">
            <v>294.56</v>
          </cell>
          <cell r="F63">
            <v>284.92</v>
          </cell>
          <cell r="G63">
            <v>277.33999999999997</v>
          </cell>
          <cell r="H63">
            <v>276</v>
          </cell>
          <cell r="I63">
            <v>287.82</v>
          </cell>
          <cell r="K63">
            <v>277.33999999999997</v>
          </cell>
          <cell r="L63">
            <v>255.94</v>
          </cell>
          <cell r="M63">
            <v>250.384999999999</v>
          </cell>
          <cell r="N63">
            <v>230.465</v>
          </cell>
          <cell r="O63">
            <v>230.465</v>
          </cell>
          <cell r="Q63">
            <v>258.32</v>
          </cell>
          <cell r="R63">
            <v>263.25</v>
          </cell>
          <cell r="S63">
            <v>268.08999999999997</v>
          </cell>
          <cell r="T63">
            <v>272.85000000000002</v>
          </cell>
          <cell r="U63">
            <v>265.6275</v>
          </cell>
          <cell r="W63">
            <v>271.60000000000002</v>
          </cell>
          <cell r="X63">
            <v>271.60000000000002</v>
          </cell>
          <cell r="Y63">
            <v>271.60000000000002</v>
          </cell>
          <cell r="Z63">
            <v>271.60000000000002</v>
          </cell>
          <cell r="AA63">
            <v>271.60000000000002</v>
          </cell>
          <cell r="AC63">
            <v>285</v>
          </cell>
          <cell r="AD63">
            <v>285</v>
          </cell>
          <cell r="AE63">
            <v>285</v>
          </cell>
          <cell r="AF63">
            <v>285</v>
          </cell>
          <cell r="AG63">
            <v>285</v>
          </cell>
          <cell r="AI63">
            <v>271.60000000000002</v>
          </cell>
          <cell r="AJ63">
            <v>271.60000000000002</v>
          </cell>
          <cell r="AK63">
            <v>271.60000000000002</v>
          </cell>
          <cell r="AL63">
            <v>271.60000000000002</v>
          </cell>
          <cell r="AM63">
            <v>271.60000000000002</v>
          </cell>
        </row>
        <row r="64">
          <cell r="A64" t="str">
            <v>Czech Republic</v>
          </cell>
          <cell r="E64">
            <v>38.395000000000003</v>
          </cell>
          <cell r="F64">
            <v>39.338999999999999</v>
          </cell>
          <cell r="G64">
            <v>36.981999999999999</v>
          </cell>
          <cell r="H64">
            <v>36.051000000000002</v>
          </cell>
          <cell r="I64">
            <v>38.326500000000003</v>
          </cell>
          <cell r="K64">
            <v>35.679000000000002</v>
          </cell>
          <cell r="L64">
            <v>32.162999999999997</v>
          </cell>
          <cell r="M64">
            <v>30.981000000000002</v>
          </cell>
          <cell r="N64">
            <v>30.556000000000001</v>
          </cell>
          <cell r="O64">
            <v>30.556000000000001</v>
          </cell>
          <cell r="Q64">
            <v>31.15</v>
          </cell>
          <cell r="R64">
            <v>31.23</v>
          </cell>
          <cell r="S64">
            <v>31.295000000000002</v>
          </cell>
          <cell r="T64">
            <v>31.375</v>
          </cell>
          <cell r="U64">
            <v>31.262499999999999</v>
          </cell>
          <cell r="W64">
            <v>34</v>
          </cell>
          <cell r="X64">
            <v>34</v>
          </cell>
          <cell r="Y64">
            <v>34</v>
          </cell>
          <cell r="Z64">
            <v>34</v>
          </cell>
          <cell r="AA64">
            <v>34</v>
          </cell>
          <cell r="AC64">
            <v>38.119999999999997</v>
          </cell>
          <cell r="AD64">
            <v>38.119999999999997</v>
          </cell>
          <cell r="AE64">
            <v>38.119999999999997</v>
          </cell>
          <cell r="AF64">
            <v>38.119999999999997</v>
          </cell>
          <cell r="AG64">
            <v>38.119999999999997</v>
          </cell>
          <cell r="AI64">
            <v>34</v>
          </cell>
          <cell r="AJ64">
            <v>34</v>
          </cell>
          <cell r="AK64">
            <v>34</v>
          </cell>
          <cell r="AL64">
            <v>34</v>
          </cell>
          <cell r="AM64">
            <v>34</v>
          </cell>
        </row>
        <row r="65">
          <cell r="A65" t="str">
            <v>Denmark</v>
          </cell>
          <cell r="E65">
            <v>8.3229000000000006</v>
          </cell>
          <cell r="F65">
            <v>8.6568000000000005</v>
          </cell>
          <cell r="G65">
            <v>8.0828000000000007</v>
          </cell>
          <cell r="H65">
            <v>8.2447999999999997</v>
          </cell>
          <cell r="I65">
            <v>8.3422574178110693</v>
          </cell>
          <cell r="K65">
            <v>8.4145000000000003</v>
          </cell>
          <cell r="L65">
            <v>7.8609999999999998</v>
          </cell>
          <cell r="M65">
            <v>7.6219000000000001</v>
          </cell>
          <cell r="N65">
            <v>7.26335</v>
          </cell>
          <cell r="O65">
            <v>7.26335</v>
          </cell>
          <cell r="Q65">
            <v>7.5824333333333334</v>
          </cell>
          <cell r="R65">
            <v>7.6108543478260868</v>
          </cell>
          <cell r="S65">
            <v>7.6361347826086954</v>
          </cell>
          <cell r="T65">
            <v>7.6523479564032693</v>
          </cell>
          <cell r="U65">
            <v>7.6367506275956076</v>
          </cell>
          <cell r="W65">
            <v>8.3699999999999992</v>
          </cell>
          <cell r="X65">
            <v>8.3699999999999992</v>
          </cell>
          <cell r="Y65">
            <v>8.3699999999999992</v>
          </cell>
          <cell r="Z65">
            <v>8.3699999999999992</v>
          </cell>
          <cell r="AA65">
            <v>8.3699999999999992</v>
          </cell>
          <cell r="AC65">
            <v>8.33</v>
          </cell>
          <cell r="AD65">
            <v>8.33</v>
          </cell>
          <cell r="AE65">
            <v>8.33</v>
          </cell>
          <cell r="AF65">
            <v>8.33</v>
          </cell>
          <cell r="AG65">
            <v>8.33</v>
          </cell>
          <cell r="AI65">
            <v>8.3699999999999992</v>
          </cell>
          <cell r="AJ65">
            <v>8.3699999999999992</v>
          </cell>
          <cell r="AK65">
            <v>8.3699999999999992</v>
          </cell>
          <cell r="AL65">
            <v>8.3699999999999992</v>
          </cell>
          <cell r="AM65">
            <v>8.3699999999999992</v>
          </cell>
        </row>
        <row r="66">
          <cell r="A66" t="str">
            <v>DOMs</v>
          </cell>
          <cell r="E66">
            <v>1.1152001784320285</v>
          </cell>
          <cell r="F66">
            <v>1.1614401858304297</v>
          </cell>
          <cell r="G66">
            <v>1.0863661053775122</v>
          </cell>
          <cell r="H66">
            <v>1.1079105</v>
          </cell>
          <cell r="I66">
            <v>1.1155761898419789</v>
          </cell>
          <cell r="K66">
            <v>1.1331445</v>
          </cell>
          <cell r="L66">
            <v>1.056859</v>
          </cell>
          <cell r="M66">
            <v>1.0262199189286263</v>
          </cell>
          <cell r="N66">
            <v>0.97785169999999999</v>
          </cell>
          <cell r="O66">
            <v>0.97785169999999999</v>
          </cell>
          <cell r="Q66">
            <v>1.0259189639892179</v>
          </cell>
          <cell r="R66">
            <v>1.0292309016002636</v>
          </cell>
          <cell r="S66">
            <v>1.0320261865616565</v>
          </cell>
          <cell r="T66">
            <v>1.0341284290123642</v>
          </cell>
          <cell r="U66">
            <v>1.0303261202908756</v>
          </cell>
          <cell r="W66">
            <v>1.1259999999999999</v>
          </cell>
          <cell r="X66">
            <v>1.1259999999999999</v>
          </cell>
          <cell r="Y66">
            <v>1.1259999999999999</v>
          </cell>
          <cell r="Z66">
            <v>1.1259999999999999</v>
          </cell>
          <cell r="AA66">
            <v>1.1259999999999999</v>
          </cell>
          <cell r="AC66">
            <v>1.1100000000000001</v>
          </cell>
          <cell r="AD66">
            <v>1.1100000000000001</v>
          </cell>
          <cell r="AE66">
            <v>1.1100000000000001</v>
          </cell>
          <cell r="AF66">
            <v>1.1100000000000001</v>
          </cell>
          <cell r="AG66">
            <v>1.1100000000000001</v>
          </cell>
          <cell r="AI66">
            <v>1.1259999999999999</v>
          </cell>
          <cell r="AJ66">
            <v>1.1259999999999999</v>
          </cell>
          <cell r="AK66">
            <v>1.1259999999999999</v>
          </cell>
          <cell r="AL66">
            <v>1.1259999999999999</v>
          </cell>
          <cell r="AM66">
            <v>1.1259999999999999</v>
          </cell>
        </row>
        <row r="67">
          <cell r="A67" t="str">
            <v>Consumer UK</v>
          </cell>
          <cell r="E67">
            <v>0.69676700111482714</v>
          </cell>
          <cell r="F67">
            <v>0.71270757608153379</v>
          </cell>
          <cell r="G67">
            <v>0.67930167787514439</v>
          </cell>
          <cell r="H67">
            <v>0.68742700000000001</v>
          </cell>
          <cell r="I67">
            <v>0.69199417527870677</v>
          </cell>
          <cell r="K67">
            <v>0.70214860000000001</v>
          </cell>
          <cell r="L67">
            <v>0.67663580000000001</v>
          </cell>
          <cell r="M67">
            <v>0.64168377823408629</v>
          </cell>
          <cell r="N67">
            <v>0.62906930000000005</v>
          </cell>
          <cell r="O67">
            <v>0.62906930000000005</v>
          </cell>
          <cell r="Q67">
            <v>0.64374328901410338</v>
          </cell>
          <cell r="R67">
            <v>0.64725130689108901</v>
          </cell>
          <cell r="S67">
            <v>0.65076833047150973</v>
          </cell>
          <cell r="T67">
            <v>0.65419294520231885</v>
          </cell>
          <cell r="U67">
            <v>0.6489655506316524</v>
          </cell>
          <cell r="W67">
            <v>0.69</v>
          </cell>
          <cell r="X67">
            <v>0.69</v>
          </cell>
          <cell r="Y67">
            <v>0.69</v>
          </cell>
          <cell r="Z67">
            <v>0.69</v>
          </cell>
          <cell r="AA67">
            <v>0.69</v>
          </cell>
          <cell r="AC67">
            <v>0.69</v>
          </cell>
          <cell r="AD67">
            <v>0.69</v>
          </cell>
          <cell r="AE67">
            <v>0.69</v>
          </cell>
          <cell r="AF67">
            <v>0.69</v>
          </cell>
          <cell r="AG67">
            <v>0.69</v>
          </cell>
          <cell r="AI67">
            <v>0.69</v>
          </cell>
          <cell r="AJ67">
            <v>0.69</v>
          </cell>
          <cell r="AK67">
            <v>0.69</v>
          </cell>
          <cell r="AL67">
            <v>0.69</v>
          </cell>
          <cell r="AM67">
            <v>0.69</v>
          </cell>
        </row>
        <row r="68">
          <cell r="A68" t="str">
            <v>Mail Services</v>
          </cell>
          <cell r="E68">
            <v>0.69676700111482714</v>
          </cell>
          <cell r="F68">
            <v>0.71270757608153379</v>
          </cell>
          <cell r="G68">
            <v>0.67930167787514439</v>
          </cell>
          <cell r="H68">
            <v>0.68742700000000001</v>
          </cell>
          <cell r="I68">
            <v>0.69199417527870677</v>
          </cell>
          <cell r="K68">
            <v>0.70214860000000001</v>
          </cell>
          <cell r="L68">
            <v>0.67663580000000001</v>
          </cell>
          <cell r="M68">
            <v>0.64168377823408629</v>
          </cell>
          <cell r="N68">
            <v>0.62906930000000005</v>
          </cell>
          <cell r="O68">
            <v>0.62906930000000005</v>
          </cell>
          <cell r="Q68">
            <v>0.64374328901410338</v>
          </cell>
          <cell r="R68">
            <v>0.64725130689108901</v>
          </cell>
          <cell r="S68">
            <v>0.65076833047150973</v>
          </cell>
          <cell r="T68">
            <v>0.65419294520231885</v>
          </cell>
          <cell r="U68">
            <v>0.6489655506316524</v>
          </cell>
          <cell r="W68">
            <v>0.69</v>
          </cell>
          <cell r="X68">
            <v>0.69</v>
          </cell>
          <cell r="Y68">
            <v>0.69</v>
          </cell>
          <cell r="Z68">
            <v>0.69</v>
          </cell>
          <cell r="AA68">
            <v>0.69</v>
          </cell>
          <cell r="AC68">
            <v>0.69</v>
          </cell>
          <cell r="AD68">
            <v>0.69</v>
          </cell>
          <cell r="AE68">
            <v>0.69</v>
          </cell>
          <cell r="AF68">
            <v>0.69</v>
          </cell>
          <cell r="AG68">
            <v>0.69</v>
          </cell>
          <cell r="AI68">
            <v>0.69</v>
          </cell>
          <cell r="AJ68">
            <v>0.69</v>
          </cell>
          <cell r="AK68">
            <v>0.69</v>
          </cell>
          <cell r="AL68">
            <v>0.69</v>
          </cell>
          <cell r="AM68">
            <v>0.69</v>
          </cell>
        </row>
        <row r="69">
          <cell r="A69" t="str">
            <v>Business Shares UK</v>
          </cell>
          <cell r="E69">
            <v>0.69676700111482714</v>
          </cell>
          <cell r="F69">
            <v>0.71270757608153379</v>
          </cell>
          <cell r="G69">
            <v>0.67930167787514439</v>
          </cell>
          <cell r="H69">
            <v>0.68742700000000001</v>
          </cell>
          <cell r="I69">
            <v>0.69199417527870677</v>
          </cell>
          <cell r="K69">
            <v>0.70214860000000001</v>
          </cell>
          <cell r="L69">
            <v>0.67663580000000001</v>
          </cell>
          <cell r="M69">
            <v>0.64168377823408629</v>
          </cell>
          <cell r="N69">
            <v>0.62906930000000005</v>
          </cell>
          <cell r="O69">
            <v>0.62906930000000005</v>
          </cell>
          <cell r="Q69">
            <v>0.64374328901410338</v>
          </cell>
          <cell r="R69">
            <v>0.64725130689108901</v>
          </cell>
          <cell r="S69">
            <v>0.65076833047150973</v>
          </cell>
          <cell r="T69">
            <v>0.65419294520231885</v>
          </cell>
          <cell r="U69">
            <v>0.6489655506316524</v>
          </cell>
          <cell r="W69">
            <v>0.69</v>
          </cell>
          <cell r="X69">
            <v>0.69</v>
          </cell>
          <cell r="Y69">
            <v>0.69</v>
          </cell>
          <cell r="Z69">
            <v>0.69</v>
          </cell>
          <cell r="AA69">
            <v>0.69</v>
          </cell>
          <cell r="AC69">
            <v>0.69</v>
          </cell>
          <cell r="AD69">
            <v>0.69</v>
          </cell>
          <cell r="AE69">
            <v>0.69</v>
          </cell>
          <cell r="AF69">
            <v>0.69</v>
          </cell>
          <cell r="AG69">
            <v>0.69</v>
          </cell>
          <cell r="AI69">
            <v>0.69</v>
          </cell>
          <cell r="AJ69">
            <v>0.69</v>
          </cell>
          <cell r="AK69">
            <v>0.69</v>
          </cell>
          <cell r="AL69">
            <v>0.69</v>
          </cell>
          <cell r="AM69">
            <v>0.69</v>
          </cell>
        </row>
        <row r="70">
          <cell r="A70" t="str">
            <v>France GECB</v>
          </cell>
          <cell r="E70">
            <v>1.1152001784320285</v>
          </cell>
          <cell r="F70">
            <v>1.1614401858304297</v>
          </cell>
          <cell r="G70">
            <v>1.0863661053775122</v>
          </cell>
          <cell r="H70">
            <v>1.1079105</v>
          </cell>
          <cell r="I70">
            <v>1.1193963196080072</v>
          </cell>
          <cell r="K70">
            <v>1.1331445</v>
          </cell>
          <cell r="L70">
            <v>1.056859</v>
          </cell>
          <cell r="M70">
            <v>1.0262199189286263</v>
          </cell>
          <cell r="N70">
            <v>0.97785169999999999</v>
          </cell>
          <cell r="O70">
            <v>0.97785169999999999</v>
          </cell>
          <cell r="Q70">
            <v>1.0259189639892179</v>
          </cell>
          <cell r="R70">
            <v>1.0292309016002636</v>
          </cell>
          <cell r="S70">
            <v>1.0320261865616565</v>
          </cell>
          <cell r="T70">
            <v>1.0341284290123642</v>
          </cell>
          <cell r="U70">
            <v>1.0303261202908756</v>
          </cell>
          <cell r="W70">
            <v>1.1259999999999999</v>
          </cell>
          <cell r="X70">
            <v>1.1259999999999999</v>
          </cell>
          <cell r="Y70">
            <v>1.1259999999999999</v>
          </cell>
          <cell r="Z70">
            <v>1.1259999999999999</v>
          </cell>
          <cell r="AA70">
            <v>1.1259999999999999</v>
          </cell>
          <cell r="AC70">
            <v>1.1100000000000001</v>
          </cell>
          <cell r="AD70">
            <v>1.1100000000000001</v>
          </cell>
          <cell r="AE70">
            <v>1.1100000000000001</v>
          </cell>
          <cell r="AF70">
            <v>1.1100000000000001</v>
          </cell>
          <cell r="AG70">
            <v>1.1100000000000001</v>
          </cell>
          <cell r="AI70">
            <v>1.1259999999999999</v>
          </cell>
          <cell r="AJ70">
            <v>1.1259999999999999</v>
          </cell>
          <cell r="AK70">
            <v>1.1259999999999999</v>
          </cell>
          <cell r="AL70">
            <v>1.1259999999999999</v>
          </cell>
          <cell r="AM70">
            <v>1.1259999999999999</v>
          </cell>
        </row>
        <row r="71">
          <cell r="A71" t="str">
            <v>Gemplus</v>
          </cell>
          <cell r="E71">
            <v>1.1152001784320285</v>
          </cell>
          <cell r="F71">
            <v>1.1614401858304297</v>
          </cell>
          <cell r="G71">
            <v>1.0863661053775122</v>
          </cell>
          <cell r="H71">
            <v>1.1079105</v>
          </cell>
          <cell r="I71">
            <v>1.1193963196080072</v>
          </cell>
          <cell r="K71">
            <v>1.1331445</v>
          </cell>
          <cell r="L71">
            <v>1.056859</v>
          </cell>
          <cell r="M71">
            <v>1.0262199189286263</v>
          </cell>
          <cell r="N71">
            <v>0.97785169999999999</v>
          </cell>
          <cell r="O71">
            <v>0.97785169999999999</v>
          </cell>
          <cell r="Q71">
            <v>1.0259189639892179</v>
          </cell>
          <cell r="R71">
            <v>1.0292309016002636</v>
          </cell>
          <cell r="S71">
            <v>1.0320261865616565</v>
          </cell>
          <cell r="T71">
            <v>1.0341284290123642</v>
          </cell>
          <cell r="U71">
            <v>1.0303261202908756</v>
          </cell>
          <cell r="W71">
            <v>1.1259999999999999</v>
          </cell>
          <cell r="X71">
            <v>1.1259999999999999</v>
          </cell>
          <cell r="Y71">
            <v>1.1259999999999999</v>
          </cell>
          <cell r="Z71">
            <v>1.1259999999999999</v>
          </cell>
          <cell r="AA71">
            <v>1.1259999999999999</v>
          </cell>
          <cell r="AC71">
            <v>1.1100000000000001</v>
          </cell>
          <cell r="AD71">
            <v>1.1100000000000001</v>
          </cell>
          <cell r="AE71">
            <v>1.1100000000000001</v>
          </cell>
          <cell r="AF71">
            <v>1.1100000000000001</v>
          </cell>
          <cell r="AG71">
            <v>1.1100000000000001</v>
          </cell>
          <cell r="AI71">
            <v>1.1259999999999999</v>
          </cell>
          <cell r="AJ71">
            <v>1.1259999999999999</v>
          </cell>
          <cell r="AK71">
            <v>1.1259999999999999</v>
          </cell>
          <cell r="AL71">
            <v>1.1259999999999999</v>
          </cell>
          <cell r="AM71">
            <v>1.1259999999999999</v>
          </cell>
        </row>
        <row r="72">
          <cell r="A72" t="str">
            <v>Germany</v>
          </cell>
          <cell r="E72">
            <v>1.1152001784320285</v>
          </cell>
          <cell r="F72">
            <v>1.1614401858304297</v>
          </cell>
          <cell r="G72">
            <v>1.0863661053775122</v>
          </cell>
          <cell r="H72">
            <v>1.1079105</v>
          </cell>
          <cell r="I72">
            <v>1.1193963250000001</v>
          </cell>
          <cell r="K72">
            <v>1.1331445</v>
          </cell>
          <cell r="L72">
            <v>1.056859</v>
          </cell>
          <cell r="M72">
            <v>1.0262199189286263</v>
          </cell>
          <cell r="N72">
            <v>0.97785169999999999</v>
          </cell>
          <cell r="O72">
            <v>0.97785169999999999</v>
          </cell>
          <cell r="Q72">
            <v>1.0259189639892179</v>
          </cell>
          <cell r="R72">
            <v>1.0292309016002636</v>
          </cell>
          <cell r="S72">
            <v>1.0320261865616565</v>
          </cell>
          <cell r="T72">
            <v>1.0341284290123642</v>
          </cell>
          <cell r="U72">
            <v>1.0303261202908756</v>
          </cell>
          <cell r="W72">
            <v>1.1259999999999999</v>
          </cell>
          <cell r="X72">
            <v>1.1259999999999999</v>
          </cell>
          <cell r="Y72">
            <v>1.1259999999999999</v>
          </cell>
          <cell r="Z72">
            <v>1.1259999999999999</v>
          </cell>
          <cell r="AA72">
            <v>1.1259999999999999</v>
          </cell>
          <cell r="AC72">
            <v>1.1100000000000001</v>
          </cell>
          <cell r="AD72">
            <v>1.1100000000000001</v>
          </cell>
          <cell r="AE72">
            <v>1.1100000000000001</v>
          </cell>
          <cell r="AF72">
            <v>1.1100000000000001</v>
          </cell>
          <cell r="AG72">
            <v>1.1100000000000001</v>
          </cell>
          <cell r="AI72">
            <v>1.1259999999999999</v>
          </cell>
          <cell r="AJ72">
            <v>1.1259999999999999</v>
          </cell>
          <cell r="AK72">
            <v>1.1259999999999999</v>
          </cell>
          <cell r="AL72">
            <v>1.1259999999999999</v>
          </cell>
          <cell r="AM72">
            <v>1.1259999999999999</v>
          </cell>
        </row>
        <row r="73">
          <cell r="A73" t="str">
            <v>Hong Kong</v>
          </cell>
          <cell r="E73">
            <v>7.7998000000000003</v>
          </cell>
          <cell r="F73">
            <v>7.7998000000000003</v>
          </cell>
          <cell r="G73">
            <v>7.7992999999999997</v>
          </cell>
          <cell r="H73">
            <v>7.7996999999999996</v>
          </cell>
          <cell r="I73">
            <v>7.7972250000000001</v>
          </cell>
          <cell r="K73">
            <v>7.7988999999999997</v>
          </cell>
          <cell r="L73">
            <v>7.7996999999999996</v>
          </cell>
          <cell r="M73">
            <v>7.7999499999999902</v>
          </cell>
          <cell r="N73">
            <v>7.7987000000000002</v>
          </cell>
          <cell r="O73">
            <v>7.7987000000000002</v>
          </cell>
          <cell r="Q73">
            <v>7.8</v>
          </cell>
          <cell r="R73">
            <v>7.8</v>
          </cell>
          <cell r="S73">
            <v>7.8</v>
          </cell>
          <cell r="T73">
            <v>7.8</v>
          </cell>
          <cell r="U73">
            <v>7.8</v>
          </cell>
          <cell r="W73">
            <v>7.8</v>
          </cell>
          <cell r="X73">
            <v>7.8</v>
          </cell>
          <cell r="Y73">
            <v>7.8</v>
          </cell>
          <cell r="Z73">
            <v>7.8</v>
          </cell>
          <cell r="AA73">
            <v>7.8</v>
          </cell>
          <cell r="AC73">
            <v>7.8</v>
          </cell>
          <cell r="AD73">
            <v>7.8</v>
          </cell>
          <cell r="AE73">
            <v>7.8</v>
          </cell>
          <cell r="AF73">
            <v>7.8</v>
          </cell>
          <cell r="AG73">
            <v>7.8</v>
          </cell>
          <cell r="AI73">
            <v>7.8</v>
          </cell>
          <cell r="AJ73">
            <v>7.8</v>
          </cell>
          <cell r="AK73">
            <v>7.8</v>
          </cell>
          <cell r="AL73">
            <v>7.8</v>
          </cell>
          <cell r="AM73">
            <v>7.8</v>
          </cell>
        </row>
        <row r="74">
          <cell r="A74" t="str">
            <v>Asia Pacific HQ</v>
          </cell>
          <cell r="E74">
            <v>7.7998000000000003</v>
          </cell>
          <cell r="F74">
            <v>7.7998000000000003</v>
          </cell>
          <cell r="G74">
            <v>7.7992999999999997</v>
          </cell>
          <cell r="H74">
            <v>7.7996999999999996</v>
          </cell>
          <cell r="I74">
            <v>7.7972250000000001</v>
          </cell>
          <cell r="K74">
            <v>7.7988999999999997</v>
          </cell>
          <cell r="L74">
            <v>7.7996999999999996</v>
          </cell>
          <cell r="M74">
            <v>7.7999499999999902</v>
          </cell>
          <cell r="N74">
            <v>7.7987000000000002</v>
          </cell>
          <cell r="O74">
            <v>7.7987000000000002</v>
          </cell>
          <cell r="Q74">
            <v>7.8</v>
          </cell>
          <cell r="R74">
            <v>7.8</v>
          </cell>
          <cell r="S74">
            <v>7.8</v>
          </cell>
          <cell r="T74">
            <v>7.8</v>
          </cell>
          <cell r="U74">
            <v>7.8</v>
          </cell>
          <cell r="W74">
            <v>7.8</v>
          </cell>
          <cell r="X74">
            <v>7.8</v>
          </cell>
          <cell r="Y74">
            <v>7.8</v>
          </cell>
          <cell r="Z74">
            <v>7.8</v>
          </cell>
          <cell r="AA74">
            <v>7.8</v>
          </cell>
          <cell r="AC74">
            <v>7.8</v>
          </cell>
          <cell r="AD74">
            <v>7.8</v>
          </cell>
          <cell r="AE74">
            <v>7.8</v>
          </cell>
          <cell r="AF74">
            <v>7.8</v>
          </cell>
          <cell r="AG74">
            <v>7.8</v>
          </cell>
          <cell r="AI74">
            <v>7.8</v>
          </cell>
          <cell r="AJ74">
            <v>7.8</v>
          </cell>
          <cell r="AK74">
            <v>7.8</v>
          </cell>
          <cell r="AL74">
            <v>7.8</v>
          </cell>
          <cell r="AM74">
            <v>7.8</v>
          </cell>
        </row>
        <row r="75">
          <cell r="A75" t="str">
            <v>Housing Bank</v>
          </cell>
          <cell r="E75">
            <v>4.0975000000000001</v>
          </cell>
          <cell r="F75">
            <v>3.9401000000000002</v>
          </cell>
          <cell r="G75">
            <v>4.2430000000000003</v>
          </cell>
          <cell r="H75">
            <v>4.0039999999999996</v>
          </cell>
          <cell r="I75">
            <v>4.1529000000000007</v>
          </cell>
          <cell r="K75">
            <v>4.1094999999999997</v>
          </cell>
          <cell r="L75">
            <v>4.0465</v>
          </cell>
          <cell r="M75">
            <v>4.1715</v>
          </cell>
          <cell r="N75">
            <v>3.8984999999999999</v>
          </cell>
          <cell r="O75">
            <v>3.8984999999999999</v>
          </cell>
          <cell r="Q75">
            <v>4.0267999999999997</v>
          </cell>
          <cell r="R75">
            <v>4.0697999999999999</v>
          </cell>
          <cell r="S75">
            <v>4.1097999999999999</v>
          </cell>
          <cell r="T75">
            <v>4.1458000000000004</v>
          </cell>
          <cell r="U75">
            <v>4.08805</v>
          </cell>
          <cell r="W75">
            <v>4.0199999999999996</v>
          </cell>
          <cell r="X75">
            <v>4.0199999999999996</v>
          </cell>
          <cell r="Y75">
            <v>4.0199999999999996</v>
          </cell>
          <cell r="Z75">
            <v>4.0199999999999996</v>
          </cell>
          <cell r="AA75">
            <v>4.0199999999999996</v>
          </cell>
          <cell r="AC75">
            <v>4.0199999999999996</v>
          </cell>
          <cell r="AD75">
            <v>4.0199999999999996</v>
          </cell>
          <cell r="AE75">
            <v>4.0199999999999996</v>
          </cell>
          <cell r="AF75">
            <v>4.0199999999999996</v>
          </cell>
          <cell r="AG75">
            <v>4.0199999999999996</v>
          </cell>
          <cell r="AI75">
            <v>4.0199999999999996</v>
          </cell>
          <cell r="AJ75">
            <v>4.0199999999999996</v>
          </cell>
          <cell r="AK75">
            <v>4.0199999999999996</v>
          </cell>
          <cell r="AL75">
            <v>4.0199999999999996</v>
          </cell>
          <cell r="AM75">
            <v>4.0199999999999996</v>
          </cell>
        </row>
        <row r="76">
          <cell r="A76" t="str">
            <v>HQ</v>
          </cell>
          <cell r="E76">
            <v>1</v>
          </cell>
          <cell r="F76">
            <v>1</v>
          </cell>
          <cell r="G76">
            <v>1</v>
          </cell>
          <cell r="H76">
            <v>1</v>
          </cell>
          <cell r="I76">
            <v>1</v>
          </cell>
          <cell r="K76">
            <v>1</v>
          </cell>
          <cell r="L76">
            <v>1</v>
          </cell>
          <cell r="M76">
            <v>1</v>
          </cell>
          <cell r="N76">
            <v>1</v>
          </cell>
          <cell r="O76">
            <v>1</v>
          </cell>
          <cell r="Q76">
            <v>1</v>
          </cell>
          <cell r="R76">
            <v>1</v>
          </cell>
          <cell r="S76">
            <v>1</v>
          </cell>
          <cell r="T76">
            <v>1</v>
          </cell>
          <cell r="U76">
            <v>1</v>
          </cell>
          <cell r="W76">
            <v>1</v>
          </cell>
          <cell r="X76">
            <v>1</v>
          </cell>
          <cell r="Y76">
            <v>1</v>
          </cell>
          <cell r="Z76">
            <v>1</v>
          </cell>
          <cell r="AA76">
            <v>1</v>
          </cell>
          <cell r="AC76">
            <v>1</v>
          </cell>
          <cell r="AD76">
            <v>1</v>
          </cell>
          <cell r="AE76">
            <v>1</v>
          </cell>
          <cell r="AF76">
            <v>1</v>
          </cell>
          <cell r="AG76">
            <v>1</v>
          </cell>
          <cell r="AI76">
            <v>1</v>
          </cell>
          <cell r="AJ76">
            <v>1</v>
          </cell>
          <cell r="AK76">
            <v>1</v>
          </cell>
          <cell r="AL76">
            <v>1</v>
          </cell>
          <cell r="AM76">
            <v>1</v>
          </cell>
        </row>
        <row r="77">
          <cell r="A77" t="str">
            <v>North America</v>
          </cell>
          <cell r="E77">
            <v>1</v>
          </cell>
          <cell r="F77">
            <v>1</v>
          </cell>
          <cell r="G77">
            <v>1</v>
          </cell>
          <cell r="H77">
            <v>1</v>
          </cell>
          <cell r="I77">
            <v>1</v>
          </cell>
          <cell r="K77">
            <v>1</v>
          </cell>
          <cell r="L77">
            <v>1</v>
          </cell>
          <cell r="M77">
            <v>1</v>
          </cell>
          <cell r="N77">
            <v>1</v>
          </cell>
          <cell r="O77">
            <v>1</v>
          </cell>
          <cell r="Q77">
            <v>1</v>
          </cell>
          <cell r="R77">
            <v>1</v>
          </cell>
          <cell r="S77">
            <v>1</v>
          </cell>
          <cell r="T77">
            <v>1</v>
          </cell>
          <cell r="U77">
            <v>1</v>
          </cell>
          <cell r="W77">
            <v>1</v>
          </cell>
          <cell r="X77">
            <v>1</v>
          </cell>
          <cell r="Y77">
            <v>1</v>
          </cell>
          <cell r="Z77">
            <v>1</v>
          </cell>
          <cell r="AA77">
            <v>1</v>
          </cell>
          <cell r="AC77">
            <v>1</v>
          </cell>
          <cell r="AD77">
            <v>1</v>
          </cell>
          <cell r="AE77">
            <v>1</v>
          </cell>
          <cell r="AF77">
            <v>1</v>
          </cell>
          <cell r="AG77">
            <v>1</v>
          </cell>
          <cell r="AI77">
            <v>1</v>
          </cell>
          <cell r="AJ77">
            <v>1</v>
          </cell>
          <cell r="AK77">
            <v>1</v>
          </cell>
          <cell r="AL77">
            <v>1</v>
          </cell>
          <cell r="AM77">
            <v>1</v>
          </cell>
        </row>
        <row r="78">
          <cell r="A78" t="str">
            <v>igroup</v>
          </cell>
          <cell r="E78">
            <v>0.69676700111482714</v>
          </cell>
          <cell r="F78">
            <v>0.71270757608153379</v>
          </cell>
          <cell r="G78">
            <v>0.67930167787514439</v>
          </cell>
          <cell r="H78">
            <v>0.68742700000000001</v>
          </cell>
          <cell r="I78">
            <v>0.69199417527870677</v>
          </cell>
          <cell r="K78">
            <v>0.70214860000000001</v>
          </cell>
          <cell r="L78">
            <v>0.67663580000000001</v>
          </cell>
          <cell r="M78">
            <v>0.64168377823408629</v>
          </cell>
          <cell r="N78">
            <v>0.62906930000000005</v>
          </cell>
          <cell r="O78">
            <v>0.62906930000000005</v>
          </cell>
          <cell r="Q78">
            <v>0.64374328901410338</v>
          </cell>
          <cell r="R78">
            <v>0.64725130689108901</v>
          </cell>
          <cell r="S78">
            <v>0.65076833047150973</v>
          </cell>
          <cell r="T78">
            <v>0.65419294520231885</v>
          </cell>
          <cell r="U78">
            <v>0.6489655506316524</v>
          </cell>
          <cell r="W78">
            <v>0.69</v>
          </cell>
          <cell r="X78">
            <v>0.69</v>
          </cell>
          <cell r="Y78">
            <v>0.69</v>
          </cell>
          <cell r="Z78">
            <v>0.69</v>
          </cell>
          <cell r="AA78">
            <v>0.69</v>
          </cell>
          <cell r="AC78">
            <v>0.69</v>
          </cell>
          <cell r="AD78">
            <v>0.69</v>
          </cell>
          <cell r="AE78">
            <v>0.69</v>
          </cell>
          <cell r="AF78">
            <v>0.69</v>
          </cell>
          <cell r="AG78">
            <v>0.69</v>
          </cell>
          <cell r="AI78">
            <v>0.69</v>
          </cell>
          <cell r="AJ78">
            <v>0.69</v>
          </cell>
          <cell r="AK78">
            <v>0.69</v>
          </cell>
          <cell r="AL78">
            <v>0.69</v>
          </cell>
          <cell r="AM78">
            <v>0.69</v>
          </cell>
        </row>
        <row r="79">
          <cell r="A79" t="str">
            <v>India Auto</v>
          </cell>
          <cell r="E79">
            <v>46.64</v>
          </cell>
          <cell r="F79">
            <v>47</v>
          </cell>
          <cell r="G79">
            <v>47.75</v>
          </cell>
          <cell r="H79">
            <v>47.76</v>
          </cell>
          <cell r="I79">
            <v>47.024999999999999</v>
          </cell>
          <cell r="K79">
            <v>48.63</v>
          </cell>
          <cell r="L79">
            <v>48.994999999999997</v>
          </cell>
          <cell r="M79">
            <v>48.42</v>
          </cell>
          <cell r="N79">
            <v>48.15</v>
          </cell>
          <cell r="O79">
            <v>48.15</v>
          </cell>
          <cell r="Q79">
            <v>48.327300000000001</v>
          </cell>
          <cell r="R79">
            <v>48.327300000000001</v>
          </cell>
          <cell r="S79">
            <v>48.327300000000001</v>
          </cell>
          <cell r="T79">
            <v>48.327300000000001</v>
          </cell>
          <cell r="U79">
            <v>48.327300000000001</v>
          </cell>
          <cell r="W79">
            <v>49</v>
          </cell>
          <cell r="X79">
            <v>49</v>
          </cell>
          <cell r="Y79">
            <v>49</v>
          </cell>
          <cell r="Z79">
            <v>49</v>
          </cell>
          <cell r="AA79">
            <v>49</v>
          </cell>
          <cell r="AC79">
            <v>49</v>
          </cell>
          <cell r="AD79">
            <v>49</v>
          </cell>
          <cell r="AE79">
            <v>49</v>
          </cell>
          <cell r="AF79">
            <v>49</v>
          </cell>
          <cell r="AG79">
            <v>49</v>
          </cell>
          <cell r="AI79">
            <v>49</v>
          </cell>
          <cell r="AJ79">
            <v>49</v>
          </cell>
          <cell r="AK79">
            <v>49</v>
          </cell>
          <cell r="AL79">
            <v>49</v>
          </cell>
          <cell r="AM79">
            <v>49</v>
          </cell>
        </row>
        <row r="80">
          <cell r="A80" t="str">
            <v>GECIS</v>
          </cell>
          <cell r="E80">
            <v>46.64</v>
          </cell>
          <cell r="F80">
            <v>47</v>
          </cell>
          <cell r="G80">
            <v>47.75</v>
          </cell>
          <cell r="H80">
            <v>47.76</v>
          </cell>
          <cell r="I80">
            <v>47.024999999999999</v>
          </cell>
          <cell r="K80">
            <v>48.63</v>
          </cell>
          <cell r="L80">
            <v>48.994999999999997</v>
          </cell>
          <cell r="M80">
            <v>48.42</v>
          </cell>
          <cell r="N80">
            <v>48.15</v>
          </cell>
          <cell r="O80">
            <v>48.15</v>
          </cell>
          <cell r="Q80">
            <v>48.327300000000001</v>
          </cell>
          <cell r="R80">
            <v>48.327300000000001</v>
          </cell>
          <cell r="S80">
            <v>48.327300000000001</v>
          </cell>
          <cell r="T80">
            <v>48.327300000000001</v>
          </cell>
          <cell r="U80">
            <v>48.327300000000001</v>
          </cell>
          <cell r="W80">
            <v>49</v>
          </cell>
          <cell r="X80">
            <v>49</v>
          </cell>
          <cell r="Y80">
            <v>49</v>
          </cell>
          <cell r="Z80">
            <v>49</v>
          </cell>
          <cell r="AA80">
            <v>49</v>
          </cell>
          <cell r="AC80">
            <v>49</v>
          </cell>
          <cell r="AD80">
            <v>49</v>
          </cell>
          <cell r="AE80">
            <v>49</v>
          </cell>
          <cell r="AF80">
            <v>49</v>
          </cell>
          <cell r="AG80">
            <v>49</v>
          </cell>
          <cell r="AI80">
            <v>49</v>
          </cell>
          <cell r="AJ80">
            <v>49</v>
          </cell>
          <cell r="AK80">
            <v>49</v>
          </cell>
          <cell r="AL80">
            <v>49</v>
          </cell>
          <cell r="AM80">
            <v>49</v>
          </cell>
        </row>
        <row r="81">
          <cell r="A81" t="str">
            <v>Countrywide</v>
          </cell>
          <cell r="E81">
            <v>46.64</v>
          </cell>
          <cell r="F81">
            <v>47</v>
          </cell>
          <cell r="G81">
            <v>47.75</v>
          </cell>
          <cell r="H81">
            <v>47.76</v>
          </cell>
          <cell r="I81">
            <v>47.024999999999999</v>
          </cell>
          <cell r="K81">
            <v>48.63</v>
          </cell>
          <cell r="L81">
            <v>48.994999999999997</v>
          </cell>
          <cell r="M81">
            <v>48.42</v>
          </cell>
          <cell r="N81">
            <v>48.15</v>
          </cell>
          <cell r="O81">
            <v>48.15</v>
          </cell>
          <cell r="Q81">
            <v>48.327300000000001</v>
          </cell>
          <cell r="R81">
            <v>48.327300000000001</v>
          </cell>
          <cell r="S81">
            <v>48.327300000000001</v>
          </cell>
          <cell r="T81">
            <v>48.327300000000001</v>
          </cell>
          <cell r="U81">
            <v>48.327300000000001</v>
          </cell>
          <cell r="W81">
            <v>49</v>
          </cell>
          <cell r="X81">
            <v>49</v>
          </cell>
          <cell r="Y81">
            <v>49</v>
          </cell>
          <cell r="Z81">
            <v>49</v>
          </cell>
          <cell r="AA81">
            <v>49</v>
          </cell>
          <cell r="AC81">
            <v>49</v>
          </cell>
          <cell r="AD81">
            <v>49</v>
          </cell>
          <cell r="AE81">
            <v>49</v>
          </cell>
          <cell r="AF81">
            <v>49</v>
          </cell>
          <cell r="AG81">
            <v>49</v>
          </cell>
          <cell r="AI81">
            <v>49</v>
          </cell>
          <cell r="AJ81">
            <v>49</v>
          </cell>
          <cell r="AK81">
            <v>49</v>
          </cell>
          <cell r="AL81">
            <v>49</v>
          </cell>
          <cell r="AM81">
            <v>49</v>
          </cell>
        </row>
        <row r="82">
          <cell r="A82" t="str">
            <v>Indonesia</v>
          </cell>
          <cell r="E82">
            <v>9925</v>
          </cell>
          <cell r="F82">
            <v>11260</v>
          </cell>
          <cell r="G82">
            <v>9100</v>
          </cell>
          <cell r="H82">
            <v>10185</v>
          </cell>
          <cell r="I82">
            <v>9906.25</v>
          </cell>
          <cell r="K82">
            <v>9965</v>
          </cell>
          <cell r="L82">
            <v>8660</v>
          </cell>
          <cell r="M82">
            <v>8975</v>
          </cell>
          <cell r="N82">
            <v>8875</v>
          </cell>
          <cell r="O82">
            <v>8875</v>
          </cell>
          <cell r="Q82">
            <v>9212.93</v>
          </cell>
          <cell r="R82">
            <v>9212.93</v>
          </cell>
          <cell r="S82">
            <v>9212.93</v>
          </cell>
          <cell r="T82">
            <v>9212.93</v>
          </cell>
          <cell r="U82">
            <v>9212.93</v>
          </cell>
          <cell r="W82">
            <v>10685</v>
          </cell>
          <cell r="X82">
            <v>10685</v>
          </cell>
          <cell r="Y82">
            <v>10685</v>
          </cell>
          <cell r="Z82">
            <v>10685</v>
          </cell>
          <cell r="AA82">
            <v>10685</v>
          </cell>
          <cell r="AC82">
            <v>10685</v>
          </cell>
          <cell r="AD82">
            <v>10685</v>
          </cell>
          <cell r="AE82">
            <v>10685</v>
          </cell>
          <cell r="AF82">
            <v>10685</v>
          </cell>
          <cell r="AG82">
            <v>10685</v>
          </cell>
          <cell r="AI82">
            <v>10685</v>
          </cell>
          <cell r="AJ82">
            <v>10685</v>
          </cell>
          <cell r="AK82">
            <v>10685</v>
          </cell>
          <cell r="AL82">
            <v>10685</v>
          </cell>
          <cell r="AM82">
            <v>10685</v>
          </cell>
        </row>
        <row r="83">
          <cell r="A83" t="str">
            <v>Europe HQ</v>
          </cell>
          <cell r="E83">
            <v>1.1152001784320285</v>
          </cell>
          <cell r="F83">
            <v>1.1614401858304297</v>
          </cell>
          <cell r="G83">
            <v>1.0863661053775122</v>
          </cell>
          <cell r="H83">
            <v>1.1079105</v>
          </cell>
          <cell r="I83">
            <v>1.1193963196080072</v>
          </cell>
          <cell r="K83">
            <v>1.1331445</v>
          </cell>
          <cell r="L83">
            <v>1.056859</v>
          </cell>
          <cell r="M83">
            <v>1.0262199189286263</v>
          </cell>
          <cell r="N83">
            <v>0.97785169999999999</v>
          </cell>
          <cell r="O83">
            <v>0.97785169999999999</v>
          </cell>
          <cell r="Q83">
            <v>1.0259189639892179</v>
          </cell>
          <cell r="R83">
            <v>1.0292309016002636</v>
          </cell>
          <cell r="S83">
            <v>1.0320261865616565</v>
          </cell>
          <cell r="T83">
            <v>1.0341284290123642</v>
          </cell>
          <cell r="U83">
            <v>1.0303261202908756</v>
          </cell>
          <cell r="W83">
            <v>1.1259999999999999</v>
          </cell>
          <cell r="X83">
            <v>1.1259999999999999</v>
          </cell>
          <cell r="Y83">
            <v>1.1259999999999999</v>
          </cell>
          <cell r="Z83">
            <v>1.1259999999999999</v>
          </cell>
          <cell r="AA83">
            <v>1.1259999999999999</v>
          </cell>
          <cell r="AC83">
            <v>1.1100000000000001</v>
          </cell>
          <cell r="AD83">
            <v>1.1100000000000001</v>
          </cell>
          <cell r="AE83">
            <v>1.1100000000000001</v>
          </cell>
          <cell r="AF83">
            <v>1.1100000000000001</v>
          </cell>
          <cell r="AG83">
            <v>1.1100000000000001</v>
          </cell>
          <cell r="AI83">
            <v>1.1259999999999999</v>
          </cell>
          <cell r="AJ83">
            <v>1.1259999999999999</v>
          </cell>
          <cell r="AK83">
            <v>1.1259999999999999</v>
          </cell>
          <cell r="AL83">
            <v>1.1259999999999999</v>
          </cell>
          <cell r="AM83">
            <v>1.1259999999999999</v>
          </cell>
        </row>
        <row r="84">
          <cell r="A84" t="str">
            <v>Japan - GECCC</v>
          </cell>
          <cell r="E84">
            <v>122.4</v>
          </cell>
          <cell r="F84">
            <v>122.93</v>
          </cell>
          <cell r="G84">
            <v>117.36</v>
          </cell>
          <cell r="H84">
            <v>127.41</v>
          </cell>
          <cell r="I84">
            <v>118.7525</v>
          </cell>
          <cell r="K84">
            <v>128.97</v>
          </cell>
          <cell r="L84">
            <v>124.16</v>
          </cell>
          <cell r="M84">
            <v>121.569999999999</v>
          </cell>
          <cell r="N84">
            <v>120.66</v>
          </cell>
          <cell r="O84">
            <v>120.66</v>
          </cell>
          <cell r="Q84">
            <v>123.97258062983769</v>
          </cell>
          <cell r="R84">
            <v>121.64519357151617</v>
          </cell>
          <cell r="S84">
            <v>121.53501906616742</v>
          </cell>
          <cell r="T84">
            <v>121.00624237592066</v>
          </cell>
          <cell r="U84">
            <v>122.03975891086048</v>
          </cell>
          <cell r="W84">
            <v>130</v>
          </cell>
          <cell r="X84">
            <v>130</v>
          </cell>
          <cell r="Y84">
            <v>130</v>
          </cell>
          <cell r="Z84">
            <v>130</v>
          </cell>
          <cell r="AA84">
            <v>130</v>
          </cell>
          <cell r="AC84">
            <v>120</v>
          </cell>
          <cell r="AD84">
            <v>120</v>
          </cell>
          <cell r="AE84">
            <v>120</v>
          </cell>
          <cell r="AF84">
            <v>120</v>
          </cell>
          <cell r="AG84">
            <v>120</v>
          </cell>
          <cell r="AI84">
            <v>130</v>
          </cell>
          <cell r="AJ84">
            <v>130</v>
          </cell>
          <cell r="AK84">
            <v>130</v>
          </cell>
          <cell r="AL84">
            <v>130</v>
          </cell>
          <cell r="AM84">
            <v>130</v>
          </cell>
        </row>
        <row r="85">
          <cell r="A85" t="str">
            <v>Japan - GECCF</v>
          </cell>
          <cell r="E85">
            <v>122.4</v>
          </cell>
          <cell r="F85">
            <v>122.93</v>
          </cell>
          <cell r="G85">
            <v>117.36</v>
          </cell>
          <cell r="H85">
            <v>127.41</v>
          </cell>
          <cell r="I85">
            <v>118.7525</v>
          </cell>
          <cell r="K85">
            <v>128.97</v>
          </cell>
          <cell r="L85">
            <v>124.16</v>
          </cell>
          <cell r="M85">
            <v>121.569999999999</v>
          </cell>
          <cell r="N85">
            <v>120.66</v>
          </cell>
          <cell r="O85">
            <v>120.66</v>
          </cell>
          <cell r="Q85">
            <v>123.97258062983769</v>
          </cell>
          <cell r="R85">
            <v>121.64519357151617</v>
          </cell>
          <cell r="S85">
            <v>121.53501906616742</v>
          </cell>
          <cell r="T85">
            <v>121.00624237592066</v>
          </cell>
          <cell r="U85">
            <v>122.03975891086048</v>
          </cell>
          <cell r="W85">
            <v>130</v>
          </cell>
          <cell r="X85">
            <v>130</v>
          </cell>
          <cell r="Y85">
            <v>130</v>
          </cell>
          <cell r="Z85">
            <v>130</v>
          </cell>
          <cell r="AA85">
            <v>130</v>
          </cell>
          <cell r="AC85">
            <v>120</v>
          </cell>
          <cell r="AD85">
            <v>120</v>
          </cell>
          <cell r="AE85">
            <v>120</v>
          </cell>
          <cell r="AF85">
            <v>120</v>
          </cell>
          <cell r="AG85">
            <v>120</v>
          </cell>
          <cell r="AI85">
            <v>130</v>
          </cell>
          <cell r="AJ85">
            <v>130</v>
          </cell>
          <cell r="AK85">
            <v>130</v>
          </cell>
          <cell r="AL85">
            <v>130</v>
          </cell>
          <cell r="AM85">
            <v>130</v>
          </cell>
        </row>
        <row r="86">
          <cell r="A86" t="str">
            <v>Japan Stretch</v>
          </cell>
          <cell r="E86">
            <v>122.4</v>
          </cell>
          <cell r="F86">
            <v>122.93</v>
          </cell>
          <cell r="G86">
            <v>117.36</v>
          </cell>
          <cell r="H86">
            <v>127.41</v>
          </cell>
          <cell r="I86">
            <v>118.7525</v>
          </cell>
          <cell r="K86">
            <v>128.97</v>
          </cell>
          <cell r="L86">
            <v>124.16</v>
          </cell>
          <cell r="M86">
            <v>121.569999999999</v>
          </cell>
          <cell r="N86">
            <v>120.66</v>
          </cell>
          <cell r="O86">
            <v>120.66</v>
          </cell>
          <cell r="Q86">
            <v>123.97258062983769</v>
          </cell>
          <cell r="R86">
            <v>121.64519357151617</v>
          </cell>
          <cell r="S86">
            <v>121.53501906616742</v>
          </cell>
          <cell r="T86">
            <v>121.00624237592066</v>
          </cell>
          <cell r="U86">
            <v>122.03975891086048</v>
          </cell>
          <cell r="W86">
            <v>130</v>
          </cell>
          <cell r="X86">
            <v>130</v>
          </cell>
          <cell r="Y86">
            <v>130</v>
          </cell>
          <cell r="Z86">
            <v>130</v>
          </cell>
          <cell r="AA86">
            <v>130</v>
          </cell>
          <cell r="AC86">
            <v>120</v>
          </cell>
          <cell r="AD86">
            <v>120</v>
          </cell>
          <cell r="AE86">
            <v>120</v>
          </cell>
          <cell r="AF86">
            <v>120</v>
          </cell>
          <cell r="AG86">
            <v>120</v>
          </cell>
          <cell r="AI86">
            <v>130</v>
          </cell>
          <cell r="AJ86">
            <v>130</v>
          </cell>
          <cell r="AK86">
            <v>130</v>
          </cell>
          <cell r="AL86">
            <v>130</v>
          </cell>
          <cell r="AM86">
            <v>130</v>
          </cell>
        </row>
        <row r="87">
          <cell r="A87" t="str">
            <v>Korea</v>
          </cell>
          <cell r="E87">
            <v>1289.5</v>
          </cell>
          <cell r="F87">
            <v>1292</v>
          </cell>
          <cell r="G87">
            <v>1296</v>
          </cell>
          <cell r="H87">
            <v>1275.9000000000001</v>
          </cell>
          <cell r="I87">
            <v>1271.125</v>
          </cell>
          <cell r="K87">
            <v>1312.8</v>
          </cell>
          <cell r="L87">
            <v>1236.0999999999999</v>
          </cell>
          <cell r="M87">
            <v>1198.7</v>
          </cell>
          <cell r="N87">
            <v>1204.5</v>
          </cell>
          <cell r="O87">
            <v>1204.5</v>
          </cell>
          <cell r="Q87">
            <v>1228.0999999999999</v>
          </cell>
          <cell r="R87">
            <v>1228.0999999999999</v>
          </cell>
          <cell r="S87">
            <v>1228.0999999999999</v>
          </cell>
          <cell r="T87">
            <v>1228.0999999999999</v>
          </cell>
          <cell r="U87">
            <v>1228.0999999999999</v>
          </cell>
          <cell r="W87">
            <v>1303</v>
          </cell>
          <cell r="X87">
            <v>1303</v>
          </cell>
          <cell r="Y87">
            <v>1303</v>
          </cell>
          <cell r="Z87">
            <v>1303</v>
          </cell>
          <cell r="AA87">
            <v>1303</v>
          </cell>
          <cell r="AC87">
            <v>1321</v>
          </cell>
          <cell r="AD87">
            <v>1321</v>
          </cell>
          <cell r="AE87">
            <v>1321</v>
          </cell>
          <cell r="AF87">
            <v>1321</v>
          </cell>
          <cell r="AG87">
            <v>1321</v>
          </cell>
          <cell r="AI87">
            <v>1303</v>
          </cell>
          <cell r="AJ87">
            <v>1303</v>
          </cell>
          <cell r="AK87">
            <v>1303</v>
          </cell>
          <cell r="AL87">
            <v>1303</v>
          </cell>
          <cell r="AM87">
            <v>1303</v>
          </cell>
        </row>
        <row r="88">
          <cell r="A88" t="str">
            <v>Mexico</v>
          </cell>
          <cell r="E88">
            <v>9.5950000000000006</v>
          </cell>
          <cell r="F88">
            <v>9.0280000000000005</v>
          </cell>
          <cell r="G88">
            <v>9.51</v>
          </cell>
          <cell r="H88">
            <v>9.1</v>
          </cell>
          <cell r="I88">
            <v>4.7549999999999999</v>
          </cell>
          <cell r="K88">
            <v>9.0724999999999998</v>
          </cell>
          <cell r="L88">
            <v>9.6504999999999992</v>
          </cell>
          <cell r="M88">
            <v>9.9589999999999907</v>
          </cell>
          <cell r="N88">
            <v>10.186999999999999</v>
          </cell>
          <cell r="O88">
            <v>10.186999999999999</v>
          </cell>
          <cell r="Q88">
            <v>10.1218</v>
          </cell>
          <cell r="R88">
            <v>10.1218</v>
          </cell>
          <cell r="S88">
            <v>10.1218</v>
          </cell>
          <cell r="T88">
            <v>10.1218</v>
          </cell>
          <cell r="U88">
            <v>10.1218</v>
          </cell>
          <cell r="W88">
            <v>9.23</v>
          </cell>
          <cell r="X88">
            <v>9.23</v>
          </cell>
          <cell r="Y88">
            <v>9.23</v>
          </cell>
          <cell r="Z88">
            <v>9.23</v>
          </cell>
          <cell r="AA88">
            <v>9.23</v>
          </cell>
          <cell r="AC88">
            <v>9.85</v>
          </cell>
          <cell r="AD88">
            <v>9.85</v>
          </cell>
          <cell r="AE88">
            <v>9.85</v>
          </cell>
          <cell r="AF88">
            <v>9.85</v>
          </cell>
          <cell r="AG88">
            <v>9.85</v>
          </cell>
          <cell r="AI88">
            <v>9.23</v>
          </cell>
          <cell r="AJ88">
            <v>9.23</v>
          </cell>
          <cell r="AK88">
            <v>9.23</v>
          </cell>
          <cell r="AL88">
            <v>9.23</v>
          </cell>
          <cell r="AM88">
            <v>9.23</v>
          </cell>
        </row>
        <row r="89">
          <cell r="A89" t="str">
            <v>Norway</v>
          </cell>
          <cell r="E89">
            <v>9.1313999999999993</v>
          </cell>
          <cell r="F89">
            <v>9.2523</v>
          </cell>
          <cell r="G89">
            <v>8.7068999999999992</v>
          </cell>
          <cell r="H89">
            <v>8.8770000000000007</v>
          </cell>
          <cell r="I89">
            <v>9.0336999999999996</v>
          </cell>
          <cell r="K89">
            <v>8.7965</v>
          </cell>
          <cell r="L89">
            <v>7.8522999999999996</v>
          </cell>
          <cell r="M89">
            <v>7.5401999999999996</v>
          </cell>
          <cell r="N89">
            <v>7.1657000000000002</v>
          </cell>
          <cell r="O89">
            <v>7.1657000000000002</v>
          </cell>
          <cell r="Q89">
            <v>7.595766666666667</v>
          </cell>
          <cell r="R89">
            <v>7.6871152173913044</v>
          </cell>
          <cell r="S89">
            <v>7.7722021739130431</v>
          </cell>
          <cell r="T89">
            <v>7.8360243869209816</v>
          </cell>
          <cell r="U89">
            <v>7.7314067612355801</v>
          </cell>
          <cell r="W89">
            <v>8.57</v>
          </cell>
          <cell r="X89">
            <v>8.57</v>
          </cell>
          <cell r="Y89">
            <v>8.57</v>
          </cell>
          <cell r="Z89">
            <v>8.57</v>
          </cell>
          <cell r="AA89">
            <v>8.57</v>
          </cell>
          <cell r="AC89">
            <v>9.17</v>
          </cell>
          <cell r="AD89">
            <v>9.17</v>
          </cell>
          <cell r="AE89">
            <v>9.17</v>
          </cell>
          <cell r="AF89">
            <v>9.17</v>
          </cell>
          <cell r="AG89">
            <v>9.17</v>
          </cell>
          <cell r="AI89">
            <v>8.57</v>
          </cell>
          <cell r="AJ89">
            <v>8.57</v>
          </cell>
          <cell r="AK89">
            <v>8.57</v>
          </cell>
          <cell r="AL89">
            <v>8.57</v>
          </cell>
          <cell r="AM89">
            <v>8.57</v>
          </cell>
        </row>
        <row r="90">
          <cell r="A90" t="str">
            <v>Poland</v>
          </cell>
          <cell r="E90">
            <v>4.0975000000000001</v>
          </cell>
          <cell r="F90">
            <v>3.9401000000000002</v>
          </cell>
          <cell r="G90">
            <v>4.2430000000000003</v>
          </cell>
          <cell r="H90">
            <v>4.0039999999999996</v>
          </cell>
          <cell r="I90">
            <v>4.1529000000000007</v>
          </cell>
          <cell r="K90">
            <v>4.1094999999999997</v>
          </cell>
          <cell r="L90">
            <v>4.0465</v>
          </cell>
          <cell r="M90">
            <v>4.1715</v>
          </cell>
          <cell r="N90">
            <v>3.8984999999999999</v>
          </cell>
          <cell r="O90">
            <v>3.8984999999999999</v>
          </cell>
          <cell r="Q90">
            <v>4.0267999999999997</v>
          </cell>
          <cell r="R90">
            <v>4.0697999999999999</v>
          </cell>
          <cell r="S90">
            <v>4.1097999999999999</v>
          </cell>
          <cell r="T90">
            <v>4.1458000000000004</v>
          </cell>
          <cell r="U90">
            <v>4.08805</v>
          </cell>
          <cell r="W90">
            <v>4.0199999999999996</v>
          </cell>
          <cell r="X90">
            <v>4.0199999999999996</v>
          </cell>
          <cell r="Y90">
            <v>4.0199999999999996</v>
          </cell>
          <cell r="Z90">
            <v>4.0199999999999996</v>
          </cell>
          <cell r="AA90">
            <v>4.0199999999999996</v>
          </cell>
          <cell r="AC90">
            <v>4.0199999999999996</v>
          </cell>
          <cell r="AD90">
            <v>4.0199999999999996</v>
          </cell>
          <cell r="AE90">
            <v>4.0199999999999996</v>
          </cell>
          <cell r="AF90">
            <v>4.0199999999999996</v>
          </cell>
          <cell r="AG90">
            <v>4.0199999999999996</v>
          </cell>
          <cell r="AI90">
            <v>4.0199999999999996</v>
          </cell>
          <cell r="AJ90">
            <v>4.0199999999999996</v>
          </cell>
          <cell r="AK90">
            <v>4.0199999999999996</v>
          </cell>
          <cell r="AL90">
            <v>4.0199999999999996</v>
          </cell>
          <cell r="AM90">
            <v>4.0199999999999996</v>
          </cell>
        </row>
        <row r="91">
          <cell r="A91" t="str">
            <v>Project Prophet</v>
          </cell>
          <cell r="E91">
            <v>0.69676700111482714</v>
          </cell>
          <cell r="F91">
            <v>0.71270757608153379</v>
          </cell>
          <cell r="G91">
            <v>0.67930167787514439</v>
          </cell>
          <cell r="H91">
            <v>0.68742700000000001</v>
          </cell>
          <cell r="I91">
            <v>0.69199417527870677</v>
          </cell>
          <cell r="K91">
            <v>0.70214860000000001</v>
          </cell>
          <cell r="L91">
            <v>0.67663580000000001</v>
          </cell>
          <cell r="M91">
            <v>0.64168377823408629</v>
          </cell>
          <cell r="N91">
            <v>0.62906930000000005</v>
          </cell>
          <cell r="O91">
            <v>0.62906930000000005</v>
          </cell>
          <cell r="Q91">
            <v>0.64374328901410338</v>
          </cell>
          <cell r="R91">
            <v>0.64725130689108901</v>
          </cell>
          <cell r="S91">
            <v>0.65076833047150973</v>
          </cell>
          <cell r="T91">
            <v>0.65419294520231885</v>
          </cell>
          <cell r="U91">
            <v>0.6489655506316524</v>
          </cell>
          <cell r="W91">
            <v>0.69</v>
          </cell>
          <cell r="X91">
            <v>0.69</v>
          </cell>
          <cell r="Y91">
            <v>0.69</v>
          </cell>
          <cell r="Z91">
            <v>0.69</v>
          </cell>
          <cell r="AA91">
            <v>0.69</v>
          </cell>
          <cell r="AC91">
            <v>0.69</v>
          </cell>
          <cell r="AD91">
            <v>0.69</v>
          </cell>
          <cell r="AE91">
            <v>0.69</v>
          </cell>
          <cell r="AF91">
            <v>0.69</v>
          </cell>
          <cell r="AG91">
            <v>0.69</v>
          </cell>
          <cell r="AI91">
            <v>0.69</v>
          </cell>
          <cell r="AJ91">
            <v>0.69</v>
          </cell>
          <cell r="AK91">
            <v>0.69</v>
          </cell>
          <cell r="AL91">
            <v>0.69</v>
          </cell>
          <cell r="AM91">
            <v>0.69</v>
          </cell>
        </row>
        <row r="92">
          <cell r="A92" t="str">
            <v>Romania</v>
          </cell>
          <cell r="E92">
            <v>27223</v>
          </cell>
          <cell r="F92">
            <v>28954</v>
          </cell>
          <cell r="G92">
            <v>30221</v>
          </cell>
          <cell r="H92">
            <v>31600</v>
          </cell>
          <cell r="I92">
            <v>28426</v>
          </cell>
          <cell r="K92">
            <v>32725</v>
          </cell>
          <cell r="L92">
            <v>33460</v>
          </cell>
          <cell r="M92">
            <v>33050</v>
          </cell>
          <cell r="N92">
            <v>33800</v>
          </cell>
          <cell r="O92">
            <v>33800</v>
          </cell>
          <cell r="Q92">
            <v>33402.050000000003</v>
          </cell>
          <cell r="R92">
            <v>33402.050000000003</v>
          </cell>
          <cell r="S92">
            <v>33402.050000000003</v>
          </cell>
          <cell r="T92">
            <v>33402.050000000003</v>
          </cell>
          <cell r="U92">
            <v>33402.050000000003</v>
          </cell>
          <cell r="W92">
            <v>1</v>
          </cell>
          <cell r="X92">
            <v>1</v>
          </cell>
          <cell r="Y92">
            <v>1</v>
          </cell>
          <cell r="Z92">
            <v>1</v>
          </cell>
          <cell r="AA92">
            <v>1</v>
          </cell>
          <cell r="AC92">
            <v>32000</v>
          </cell>
          <cell r="AD92">
            <v>32000</v>
          </cell>
          <cell r="AE92">
            <v>32000</v>
          </cell>
          <cell r="AF92">
            <v>32000</v>
          </cell>
          <cell r="AG92">
            <v>32000</v>
          </cell>
          <cell r="AI92">
            <v>1</v>
          </cell>
          <cell r="AJ92">
            <v>1</v>
          </cell>
          <cell r="AK92">
            <v>1</v>
          </cell>
          <cell r="AL92">
            <v>1</v>
          </cell>
          <cell r="AM92">
            <v>1</v>
          </cell>
        </row>
        <row r="93">
          <cell r="A93" t="str">
            <v>SBI</v>
          </cell>
          <cell r="E93">
            <v>46.64</v>
          </cell>
          <cell r="F93">
            <v>47</v>
          </cell>
          <cell r="G93">
            <v>47.75</v>
          </cell>
          <cell r="H93">
            <v>47.76</v>
          </cell>
          <cell r="I93">
            <v>47.024999999999999</v>
          </cell>
          <cell r="K93">
            <v>48.63</v>
          </cell>
          <cell r="L93">
            <v>48.994999999999997</v>
          </cell>
          <cell r="M93">
            <v>48.42</v>
          </cell>
          <cell r="N93">
            <v>48.15</v>
          </cell>
          <cell r="O93">
            <v>48.15</v>
          </cell>
          <cell r="Q93">
            <v>48.327300000000001</v>
          </cell>
          <cell r="R93">
            <v>48.327300000000001</v>
          </cell>
          <cell r="S93">
            <v>48.327300000000001</v>
          </cell>
          <cell r="T93">
            <v>48.327300000000001</v>
          </cell>
          <cell r="U93">
            <v>48.327300000000001</v>
          </cell>
          <cell r="W93">
            <v>49</v>
          </cell>
          <cell r="X93">
            <v>49</v>
          </cell>
          <cell r="Y93">
            <v>49</v>
          </cell>
          <cell r="Z93">
            <v>49</v>
          </cell>
          <cell r="AA93">
            <v>49</v>
          </cell>
          <cell r="AC93">
            <v>49</v>
          </cell>
          <cell r="AD93">
            <v>49</v>
          </cell>
          <cell r="AE93">
            <v>49</v>
          </cell>
          <cell r="AF93">
            <v>49</v>
          </cell>
          <cell r="AG93">
            <v>49</v>
          </cell>
          <cell r="AI93">
            <v>49</v>
          </cell>
          <cell r="AJ93">
            <v>49</v>
          </cell>
          <cell r="AK93">
            <v>49</v>
          </cell>
          <cell r="AL93">
            <v>49</v>
          </cell>
          <cell r="AM93">
            <v>49</v>
          </cell>
        </row>
        <row r="94">
          <cell r="A94" t="str">
            <v>Singapore</v>
          </cell>
          <cell r="E94">
            <v>1.7724</v>
          </cell>
          <cell r="F94">
            <v>1.8172999999999999</v>
          </cell>
          <cell r="G94">
            <v>1.732</v>
          </cell>
          <cell r="H94">
            <v>1.8367</v>
          </cell>
          <cell r="I94">
            <v>1.7629249999999999</v>
          </cell>
          <cell r="K94">
            <v>1.8205</v>
          </cell>
          <cell r="L94">
            <v>1.7882</v>
          </cell>
          <cell r="M94">
            <v>1.7717000000000001</v>
          </cell>
          <cell r="N94">
            <v>1.7475499999999999</v>
          </cell>
          <cell r="O94">
            <v>1.7475499999999999</v>
          </cell>
          <cell r="Q94">
            <v>1.8</v>
          </cell>
          <cell r="R94">
            <v>1.8</v>
          </cell>
          <cell r="S94">
            <v>1.8</v>
          </cell>
          <cell r="T94">
            <v>1.8</v>
          </cell>
          <cell r="U94">
            <v>1.8</v>
          </cell>
          <cell r="W94">
            <v>1.806</v>
          </cell>
          <cell r="X94">
            <v>1.806</v>
          </cell>
          <cell r="Y94">
            <v>1.806</v>
          </cell>
          <cell r="Z94">
            <v>1.806</v>
          </cell>
          <cell r="AA94">
            <v>1.806</v>
          </cell>
          <cell r="AC94">
            <v>1.81</v>
          </cell>
          <cell r="AD94">
            <v>1.81</v>
          </cell>
          <cell r="AE94">
            <v>1.81</v>
          </cell>
          <cell r="AF94">
            <v>1.81</v>
          </cell>
          <cell r="AG94">
            <v>1.81</v>
          </cell>
          <cell r="AI94">
            <v>1.806</v>
          </cell>
          <cell r="AJ94">
            <v>1.806</v>
          </cell>
          <cell r="AK94">
            <v>1.806</v>
          </cell>
          <cell r="AL94">
            <v>1.806</v>
          </cell>
          <cell r="AM94">
            <v>1.806</v>
          </cell>
        </row>
        <row r="95">
          <cell r="A95" t="str">
            <v>Sweden</v>
          </cell>
          <cell r="E95">
            <v>10.1873</v>
          </cell>
          <cell r="F95">
            <v>10.6226</v>
          </cell>
          <cell r="G95">
            <v>10.4701</v>
          </cell>
          <cell r="H95">
            <v>10.5444</v>
          </cell>
          <cell r="I95">
            <v>10.213425000000001</v>
          </cell>
          <cell r="K95">
            <v>10.3375</v>
          </cell>
          <cell r="L95">
            <v>9.6516000000000002</v>
          </cell>
          <cell r="M95">
            <v>9.4534000000000002</v>
          </cell>
          <cell r="N95">
            <v>8.9336000000000002</v>
          </cell>
          <cell r="O95">
            <v>8.9336000000000002</v>
          </cell>
          <cell r="Q95">
            <v>9.3179733333333328</v>
          </cell>
          <cell r="R95">
            <v>9.3779369565217383</v>
          </cell>
          <cell r="S95">
            <v>9.4356543478260857</v>
          </cell>
          <cell r="T95">
            <v>9.4779019073569479</v>
          </cell>
          <cell r="U95">
            <v>9.4016531702747912</v>
          </cell>
          <cell r="W95">
            <v>10.52</v>
          </cell>
          <cell r="X95">
            <v>10.52</v>
          </cell>
          <cell r="Y95">
            <v>10.52</v>
          </cell>
          <cell r="Z95">
            <v>10.52</v>
          </cell>
          <cell r="AA95">
            <v>10.52</v>
          </cell>
          <cell r="AC95">
            <v>10.09</v>
          </cell>
          <cell r="AD95">
            <v>10.09</v>
          </cell>
          <cell r="AE95">
            <v>10.09</v>
          </cell>
          <cell r="AF95">
            <v>10.09</v>
          </cell>
          <cell r="AG95">
            <v>10.09</v>
          </cell>
          <cell r="AI95">
            <v>10.36</v>
          </cell>
          <cell r="AJ95">
            <v>10.36</v>
          </cell>
          <cell r="AK95">
            <v>10.36</v>
          </cell>
          <cell r="AL95">
            <v>10.36</v>
          </cell>
          <cell r="AM95">
            <v>10.36</v>
          </cell>
        </row>
        <row r="96">
          <cell r="A96" t="str">
            <v>Sweden Auto</v>
          </cell>
          <cell r="E96">
            <v>10.1873</v>
          </cell>
          <cell r="F96">
            <v>10.6226</v>
          </cell>
          <cell r="G96">
            <v>10.4701</v>
          </cell>
          <cell r="H96">
            <v>10.5444</v>
          </cell>
          <cell r="I96">
            <v>10.213425000000001</v>
          </cell>
          <cell r="K96">
            <v>10.3375</v>
          </cell>
          <cell r="L96">
            <v>9.6516000000000002</v>
          </cell>
          <cell r="M96">
            <v>9.4534000000000002</v>
          </cell>
          <cell r="N96">
            <v>8.9336000000000002</v>
          </cell>
          <cell r="O96">
            <v>8.9336000000000002</v>
          </cell>
          <cell r="Q96">
            <v>9.3179733333333328</v>
          </cell>
          <cell r="R96">
            <v>9.3779369565217383</v>
          </cell>
          <cell r="S96">
            <v>9.4356543478260857</v>
          </cell>
          <cell r="T96">
            <v>9.4779019073569479</v>
          </cell>
          <cell r="U96">
            <v>9.4016531702747912</v>
          </cell>
          <cell r="W96">
            <v>10.52</v>
          </cell>
          <cell r="X96">
            <v>10.52</v>
          </cell>
          <cell r="Y96">
            <v>10.52</v>
          </cell>
          <cell r="Z96">
            <v>10.52</v>
          </cell>
          <cell r="AA96">
            <v>10.52</v>
          </cell>
          <cell r="AC96">
            <v>10.09</v>
          </cell>
          <cell r="AD96">
            <v>10.09</v>
          </cell>
          <cell r="AE96">
            <v>10.09</v>
          </cell>
          <cell r="AF96">
            <v>10.09</v>
          </cell>
          <cell r="AG96">
            <v>10.09</v>
          </cell>
          <cell r="AI96">
            <v>10.36</v>
          </cell>
          <cell r="AJ96">
            <v>10.36</v>
          </cell>
          <cell r="AK96">
            <v>10.36</v>
          </cell>
          <cell r="AL96">
            <v>10.36</v>
          </cell>
          <cell r="AM96">
            <v>10.36</v>
          </cell>
        </row>
        <row r="97">
          <cell r="A97" t="str">
            <v>Switzerland</v>
          </cell>
          <cell r="E97">
            <v>1.7148000000000001</v>
          </cell>
          <cell r="F97">
            <v>1.7753000000000001</v>
          </cell>
          <cell r="G97">
            <v>1.6218999999999999</v>
          </cell>
          <cell r="H97">
            <v>1.6294</v>
          </cell>
          <cell r="I97">
            <v>1.6983000000016877</v>
          </cell>
          <cell r="K97">
            <v>1.6558999999999999</v>
          </cell>
          <cell r="L97">
            <v>1.56</v>
          </cell>
          <cell r="M97">
            <v>1.5030999999999901</v>
          </cell>
          <cell r="N97">
            <v>1.4419500000000001</v>
          </cell>
          <cell r="O97">
            <v>1.4419500000000001</v>
          </cell>
          <cell r="Q97">
            <v>1.4859499999999999</v>
          </cell>
          <cell r="R97">
            <v>1.48255</v>
          </cell>
          <cell r="S97">
            <v>1.4790000000000001</v>
          </cell>
          <cell r="T97">
            <v>1.4755</v>
          </cell>
          <cell r="U97">
            <v>1.48075</v>
          </cell>
          <cell r="W97">
            <v>1.65</v>
          </cell>
          <cell r="X97">
            <v>1.65</v>
          </cell>
          <cell r="Y97">
            <v>1.65</v>
          </cell>
          <cell r="Z97">
            <v>1.65</v>
          </cell>
          <cell r="AA97">
            <v>1.65</v>
          </cell>
          <cell r="AC97">
            <v>1.7</v>
          </cell>
          <cell r="AD97">
            <v>1.7</v>
          </cell>
          <cell r="AE97">
            <v>1.7</v>
          </cell>
          <cell r="AF97">
            <v>1.7</v>
          </cell>
          <cell r="AG97">
            <v>1.7</v>
          </cell>
          <cell r="AI97">
            <v>1.65</v>
          </cell>
          <cell r="AJ97">
            <v>1.65</v>
          </cell>
          <cell r="AK97">
            <v>1.65</v>
          </cell>
          <cell r="AL97">
            <v>1.65</v>
          </cell>
          <cell r="AM97">
            <v>1.65</v>
          </cell>
        </row>
        <row r="98">
          <cell r="A98" t="str">
            <v>Taiwan</v>
          </cell>
          <cell r="E98">
            <v>32.561999999999998</v>
          </cell>
          <cell r="F98">
            <v>34.44</v>
          </cell>
          <cell r="G98">
            <v>34.5</v>
          </cell>
          <cell r="H98">
            <v>34.4</v>
          </cell>
          <cell r="I98">
            <v>33.625500000000002</v>
          </cell>
          <cell r="K98">
            <v>34.89</v>
          </cell>
          <cell r="L98">
            <v>34.101999999999997</v>
          </cell>
          <cell r="M98">
            <v>34.3599999999999</v>
          </cell>
          <cell r="N98">
            <v>34.74</v>
          </cell>
          <cell r="O98">
            <v>34.74</v>
          </cell>
          <cell r="Q98">
            <v>34.725900000000003</v>
          </cell>
          <cell r="R98">
            <v>34.725900000000003</v>
          </cell>
          <cell r="S98">
            <v>34.725900000000003</v>
          </cell>
          <cell r="T98">
            <v>34.725900000000003</v>
          </cell>
          <cell r="U98">
            <v>34.725900000000003</v>
          </cell>
          <cell r="W98">
            <v>35</v>
          </cell>
          <cell r="X98">
            <v>35</v>
          </cell>
          <cell r="Y98">
            <v>35</v>
          </cell>
          <cell r="Z98">
            <v>35</v>
          </cell>
          <cell r="AA98">
            <v>35</v>
          </cell>
          <cell r="AC98">
            <v>35</v>
          </cell>
          <cell r="AD98">
            <v>35</v>
          </cell>
          <cell r="AE98">
            <v>35</v>
          </cell>
          <cell r="AF98">
            <v>35</v>
          </cell>
          <cell r="AG98">
            <v>35</v>
          </cell>
          <cell r="AI98">
            <v>35</v>
          </cell>
          <cell r="AJ98">
            <v>35</v>
          </cell>
          <cell r="AK98">
            <v>35</v>
          </cell>
          <cell r="AL98">
            <v>35</v>
          </cell>
          <cell r="AM98">
            <v>35</v>
          </cell>
        </row>
        <row r="99">
          <cell r="A99" t="str">
            <v>Thailand</v>
          </cell>
          <cell r="E99">
            <v>44</v>
          </cell>
          <cell r="F99">
            <v>45.3</v>
          </cell>
          <cell r="G99">
            <v>44.1</v>
          </cell>
          <cell r="H99">
            <v>43.75</v>
          </cell>
          <cell r="I99">
            <v>44.2</v>
          </cell>
          <cell r="K99">
            <v>43.22</v>
          </cell>
          <cell r="L99">
            <v>42.17</v>
          </cell>
          <cell r="M99">
            <v>42.799999999999898</v>
          </cell>
          <cell r="N99">
            <v>43.255000000000003</v>
          </cell>
          <cell r="O99">
            <v>43.255000000000003</v>
          </cell>
          <cell r="Q99">
            <v>43.274299999999997</v>
          </cell>
          <cell r="R99">
            <v>43.274299999999997</v>
          </cell>
          <cell r="S99">
            <v>43.274299999999997</v>
          </cell>
          <cell r="T99">
            <v>43.274299999999997</v>
          </cell>
          <cell r="U99">
            <v>43.274299999999997</v>
          </cell>
          <cell r="W99">
            <v>45.45</v>
          </cell>
          <cell r="X99">
            <v>45.45</v>
          </cell>
          <cell r="Y99">
            <v>45.45</v>
          </cell>
          <cell r="Z99">
            <v>45.45</v>
          </cell>
          <cell r="AA99">
            <v>45.45</v>
          </cell>
          <cell r="AC99">
            <v>45.45</v>
          </cell>
          <cell r="AD99">
            <v>45.45</v>
          </cell>
          <cell r="AE99">
            <v>45.45</v>
          </cell>
          <cell r="AF99">
            <v>45.45</v>
          </cell>
          <cell r="AG99">
            <v>45.45</v>
          </cell>
          <cell r="AI99">
            <v>43.32</v>
          </cell>
          <cell r="AJ99">
            <v>43.32</v>
          </cell>
          <cell r="AK99">
            <v>43.32</v>
          </cell>
          <cell r="AL99">
            <v>43.32</v>
          </cell>
          <cell r="AM99">
            <v>43.32</v>
          </cell>
        </row>
      </sheetData>
      <sheetData sheetId="2" refreshError="1"/>
      <sheetData sheetId="3" refreshError="1">
        <row r="3">
          <cell r="C3" t="str">
            <v>Countrywide</v>
          </cell>
        </row>
        <row r="63">
          <cell r="K63" t="str">
            <v>GN100101</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ROSS"/>
      <sheetName val="IU Qty"/>
      <sheetName val="FGtally"/>
      <sheetName val="Checks"/>
      <sheetName val="Desp"/>
      <sheetName val="Prod"/>
      <sheetName val="Closing Stock"/>
      <sheetName val="Purchases"/>
      <sheetName val="Breakages"/>
      <sheetName val="Other Adj"/>
      <sheetName val="Std Cost"/>
      <sheetName val="Packwise"/>
      <sheetName val="ED"/>
      <sheetName val="Sheet1"/>
      <sheetName val="Mar ED Wkg"/>
      <sheetName val="Pack"/>
    </sheetNames>
    <sheetDataSet>
      <sheetData sheetId="0" refreshError="1">
        <row r="3">
          <cell r="B3" t="str">
            <v>Coca-Cola</v>
          </cell>
          <cell r="C3" t="str">
            <v>200ml</v>
          </cell>
          <cell r="D3" t="str">
            <v>Rs. 2</v>
          </cell>
        </row>
        <row r="4">
          <cell r="B4" t="str">
            <v>Thums-Up</v>
          </cell>
          <cell r="C4" t="str">
            <v>250ml</v>
          </cell>
          <cell r="D4" t="str">
            <v>Rs. 3</v>
          </cell>
        </row>
        <row r="5">
          <cell r="B5" t="str">
            <v>Fanta</v>
          </cell>
          <cell r="C5" t="str">
            <v>300ml</v>
          </cell>
          <cell r="D5" t="str">
            <v>Rs. 4</v>
          </cell>
        </row>
        <row r="6">
          <cell r="B6" t="str">
            <v>Sprite</v>
          </cell>
          <cell r="C6" t="str">
            <v>330ml</v>
          </cell>
          <cell r="D6" t="str">
            <v>Rs. 5</v>
          </cell>
        </row>
        <row r="7">
          <cell r="B7" t="str">
            <v>Limca</v>
          </cell>
          <cell r="C7" t="str">
            <v>500ml</v>
          </cell>
          <cell r="D7" t="str">
            <v>Rs. 5.50</v>
          </cell>
        </row>
        <row r="8">
          <cell r="B8" t="str">
            <v>Maaza</v>
          </cell>
          <cell r="C8" t="str">
            <v>1000ml</v>
          </cell>
          <cell r="D8" t="str">
            <v>Rs. 6</v>
          </cell>
        </row>
        <row r="9">
          <cell r="B9" t="str">
            <v>Diet Coke</v>
          </cell>
          <cell r="C9" t="str">
            <v>1000ml Pet</v>
          </cell>
          <cell r="D9" t="str">
            <v>Rs. 6.50</v>
          </cell>
        </row>
        <row r="10">
          <cell r="B10" t="str">
            <v>Kinley Soda</v>
          </cell>
          <cell r="C10" t="str">
            <v>500ml Pet</v>
          </cell>
          <cell r="D10" t="str">
            <v>Rs. 7</v>
          </cell>
        </row>
        <row r="11">
          <cell r="B11" t="str">
            <v>Kinley Water</v>
          </cell>
          <cell r="C11" t="str">
            <v>1500ml</v>
          </cell>
          <cell r="D11" t="str">
            <v>Rs. 7.50</v>
          </cell>
        </row>
        <row r="12">
          <cell r="B12" t="str">
            <v>Kinley Water-Shahpur</v>
          </cell>
          <cell r="C12" t="str">
            <v>2000ml</v>
          </cell>
          <cell r="D12" t="str">
            <v>Rs. 8</v>
          </cell>
        </row>
        <row r="13">
          <cell r="B13" t="str">
            <v>Shock</v>
          </cell>
          <cell r="C13" t="str">
            <v>5 ltr</v>
          </cell>
          <cell r="D13" t="str">
            <v>Rs. 9</v>
          </cell>
        </row>
        <row r="14">
          <cell r="B14" t="str">
            <v>Rimzim</v>
          </cell>
          <cell r="C14" t="str">
            <v>9 ltr POM</v>
          </cell>
          <cell r="D14" t="str">
            <v>Rs. 9.50</v>
          </cell>
        </row>
        <row r="15">
          <cell r="B15" t="str">
            <v>CRUSH</v>
          </cell>
          <cell r="C15" t="str">
            <v>9 ltr POM-McD</v>
          </cell>
          <cell r="D15" t="str">
            <v>Rs. 10</v>
          </cell>
        </row>
        <row r="16">
          <cell r="B16" t="str">
            <v>Fanta Green Apple</v>
          </cell>
          <cell r="C16" t="str">
            <v>9 ltr PEM</v>
          </cell>
          <cell r="D16" t="str">
            <v>Rs. 11</v>
          </cell>
        </row>
        <row r="17">
          <cell r="B17" t="str">
            <v>Maaza Orange</v>
          </cell>
          <cell r="C17" t="str">
            <v>18 ltr POM-Mcd</v>
          </cell>
          <cell r="D17" t="str">
            <v>Rs. 12</v>
          </cell>
        </row>
        <row r="18">
          <cell r="B18" t="str">
            <v>Maaza Pineapple</v>
          </cell>
          <cell r="C18" t="str">
            <v>18 ltr POM</v>
          </cell>
          <cell r="D18" t="str">
            <v>Rs. 15</v>
          </cell>
        </row>
        <row r="19">
          <cell r="C19" t="str">
            <v>18 ltr PEM</v>
          </cell>
          <cell r="D19" t="str">
            <v>Rs. 17</v>
          </cell>
        </row>
        <row r="20">
          <cell r="C20" t="str">
            <v>20 ltr</v>
          </cell>
          <cell r="D20" t="str">
            <v>Rs. 18</v>
          </cell>
        </row>
        <row r="21">
          <cell r="D21" t="str">
            <v>Rs. 20</v>
          </cell>
        </row>
        <row r="22">
          <cell r="D22" t="str">
            <v>Rs. 21</v>
          </cell>
        </row>
        <row r="23">
          <cell r="D23" t="str">
            <v>Rs. 22</v>
          </cell>
        </row>
        <row r="24">
          <cell r="D24" t="str">
            <v>Rs. 23</v>
          </cell>
        </row>
        <row r="25">
          <cell r="D25" t="str">
            <v>Rs. 25</v>
          </cell>
        </row>
        <row r="26">
          <cell r="D26" t="str">
            <v>Rs. 30</v>
          </cell>
        </row>
        <row r="27">
          <cell r="D27" t="str">
            <v>Rs. 32</v>
          </cell>
        </row>
        <row r="28">
          <cell r="D28" t="str">
            <v>Rs. 38</v>
          </cell>
        </row>
        <row r="29">
          <cell r="D29" t="str">
            <v>Rs. 40</v>
          </cell>
        </row>
        <row r="30">
          <cell r="D30" t="str">
            <v>Rs. 43</v>
          </cell>
        </row>
        <row r="31">
          <cell r="D31" t="str">
            <v>Rs. 45</v>
          </cell>
        </row>
        <row r="32">
          <cell r="D32" t="str">
            <v>Rs. 50</v>
          </cell>
        </row>
        <row r="33">
          <cell r="D33" t="str">
            <v>Rs. 65</v>
          </cell>
        </row>
        <row r="34">
          <cell r="D34" t="str">
            <v>Rs. 75</v>
          </cell>
        </row>
        <row r="35">
          <cell r="D35" t="str">
            <v>Rs. 500</v>
          </cell>
        </row>
        <row r="36">
          <cell r="D36" t="str">
            <v>Rs. 1282</v>
          </cell>
        </row>
        <row r="37">
          <cell r="D37" t="str">
            <v>Rs. 1782</v>
          </cell>
        </row>
        <row r="38">
          <cell r="D38" t="str">
            <v>Rs. 265</v>
          </cell>
        </row>
        <row r="39">
          <cell r="D39" t="str">
            <v>Rs. 350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IU11">
            <v>1</v>
          </cell>
        </row>
        <row r="12">
          <cell r="IU12">
            <v>6</v>
          </cell>
        </row>
        <row r="13">
          <cell r="IU13">
            <v>9</v>
          </cell>
        </row>
        <row r="14">
          <cell r="IU14">
            <v>12</v>
          </cell>
        </row>
        <row r="15">
          <cell r="IU15">
            <v>24</v>
          </cell>
        </row>
        <row r="16">
          <cell r="IU16">
            <v>27</v>
          </cell>
        </row>
        <row r="17">
          <cell r="IU17">
            <v>36</v>
          </cell>
        </row>
      </sheetData>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LATEMP"/>
      <sheetName val="BSLA"/>
      <sheetName val="Journal Drill"/>
      <sheetName val="Transactions"/>
      <sheetName val="Cash Management"/>
      <sheetName val="Invoices"/>
      <sheetName val="Invoice Drill"/>
      <sheetName val="Balances"/>
      <sheetName val="Projects"/>
      <sheetName val="ARInvoice"/>
    </sheetNames>
    <sheetDataSet>
      <sheetData sheetId="0">
        <row r="2">
          <cell r="H2" t="str">
            <v>(None)</v>
          </cell>
        </row>
      </sheetData>
      <sheetData sheetId="1" refreshError="1">
        <row r="2">
          <cell r="H2" t="str">
            <v>(None)</v>
          </cell>
        </row>
      </sheetData>
      <sheetData sheetId="2"/>
      <sheetData sheetId="3"/>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finitions"/>
      <sheetName val="Commentary"/>
      <sheetName val="Instructions"/>
      <sheetName val="Template (2)"/>
      <sheetName val="FOS-2004"/>
      <sheetName val="PPV Report"/>
      <sheetName val="OEE"/>
      <sheetName val="Q.Ind.Payabl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ntrol"/>
      <sheetName val="T1-Credit Lines"/>
      <sheetName val="T2-Investments"/>
      <sheetName val="T3-FX Deals"/>
      <sheetName val="T4-Off Balance Sheet"/>
      <sheetName val="T5-Bank Charges"/>
      <sheetName val="T6-3rd Party Interest"/>
      <sheetName val="T7-Static Data Changes"/>
      <sheetName val="T7-Static Data Changes_old"/>
      <sheetName val="data"/>
      <sheetName val="stdd costBPCS"/>
      <sheetName val="Iron Ore Dust (2)"/>
      <sheetName val="Packing stock  -Revised"/>
      <sheetName val="Annual Stock PACKING"/>
      <sheetName val="A S SLAG"/>
      <sheetName val="ANNUAL STOCK COAL"/>
      <sheetName val="EXCISE DUTY-MONTH WISE-02-03"/>
      <sheetName val="Excise Duty Reconciliation"/>
      <sheetName val="Gypsum-Moharana"/>
      <sheetName val="Total Consumption (2)"/>
      <sheetName val="Coal-Moharana"/>
      <sheetName val="Slag-B.Moharana"/>
      <sheetName val="CARBONBLACK INCLUDING CENVAT"/>
      <sheetName val="CENVAT-CAP Good-Tax Audit"/>
      <sheetName val="GYPSUM INCLUDING CENVAT"/>
      <sheetName val="SLAG INCLUDING CENVAT"/>
      <sheetName val="PACKING STOCK INCLUDING CENVAT"/>
      <sheetName val="Packing stock "/>
      <sheetName val="Total Consumption"/>
      <sheetName val="CINDER"/>
      <sheetName val="COAL"/>
      <sheetName val="SLAG"/>
      <sheetName val="GYPSUM"/>
      <sheetName val="CARBONBL "/>
      <sheetName val="Fly Ash"/>
      <sheetName val="Iron Ore Dust"/>
      <sheetName val="CLAY"/>
      <sheetName val="MORRUM"/>
      <sheetName val="A S RM"/>
      <sheetName val="CONSUMPTION WITH CENVAT"/>
      <sheetName val="CENVAT"/>
      <sheetName val="CENVAT on Inputs for Tax Audit"/>
      <sheetName val="Iron Ore Dust (3)"/>
      <sheetName val="Total Consumption -2002-03"/>
      <sheetName val="Capex"/>
      <sheetName val="Factory Op Statement"/>
      <sheetName val="Reconciliation"/>
      <sheetName val="OtherKPI"/>
      <sheetName val="LC"/>
      <sheetName val="GBP"/>
      <sheetName val="Sheet2"/>
      <sheetName val="Sheet3"/>
      <sheetName val="Sheet1"/>
      <sheetName val="EV"/>
      <sheetName val="AA ROUT "/>
      <sheetName val="HH ROUT"/>
      <sheetName val="WP"/>
      <sheetName val="OEE Jan"/>
      <sheetName val="Verteilung"/>
      <sheetName val="Phasing Productlevel"/>
      <sheetName val="cap01"/>
      <sheetName val="Stocks"/>
      <sheetName val="BS Sum"/>
      <sheetName val="BS "/>
      <sheetName val="Cal_Br"/>
      <sheetName val="Cal_Br (ob)"/>
      <sheetName val="TRIALBAL_dec_03_cal_br"/>
      <sheetName val="Cmt. Wkg (3)"/>
      <sheetName val="Cmt. Wkg (2)"/>
      <sheetName val="Cmt. Wkg"/>
      <sheetName val="Sheet1 (2)"/>
      <sheetName val="Sheet1 (3)"/>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heet1"/>
      <sheetName val="REPAYMENT"/>
      <sheetName val="LC"/>
      <sheetName val="OLD-WORKING"/>
      <sheetName val="CMA-2004"/>
      <sheetName val="CMA-2004 (2)"/>
      <sheetName val="working"/>
      <sheetName val="COSTMAR"/>
      <sheetName val="Assumptions"/>
      <sheetName val="Company DEP "/>
      <sheetName val="DSCR Combined"/>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REPAYMENT"/>
      <sheetName val="LC"/>
      <sheetName val="OLD-WORKING"/>
      <sheetName val="CMA-2004"/>
      <sheetName val="CMA-2004 (2)"/>
      <sheetName val="working"/>
      <sheetName val="COSTMAR"/>
      <sheetName val="Assumptions"/>
      <sheetName val="Company DEP "/>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ys"/>
      <sheetName val="Profile"/>
      <sheetName val="IT_FBT_DDTP"/>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tes"/>
      <sheetName val="Profile"/>
    </sheetNames>
    <sheetDataSet>
      <sheetData sheetId="0"/>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SL-ACC CODE MATRIX"/>
      <sheetName val="GL-ACCOUNT CODE MAPPING"/>
      <sheetName val="coa_ramco_168"/>
    </sheetNames>
    <sheetDataSet>
      <sheetData sheetId="0"/>
      <sheetData sheetId="1"/>
      <sheetData sheetId="2">
        <row r="2">
          <cell r="A2" t="str">
            <v>A101001</v>
          </cell>
          <cell r="B2" t="str">
            <v>Land- Free Hold</v>
          </cell>
          <cell r="C2" t="str">
            <v>ASSET</v>
          </cell>
          <cell r="D2" t="str">
            <v>BALANCE SHEET</v>
          </cell>
          <cell r="E2" t="str">
            <v>ASSET A/C</v>
          </cell>
          <cell r="F2" t="str">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cell>
          <cell r="G9" t="str">
            <v>FIXED ASSETS</v>
          </cell>
          <cell r="H9" t="str">
            <v>GROSS BLOCK</v>
          </cell>
          <cell r="I9" t="str">
            <v>BUILDINGS</v>
          </cell>
        </row>
        <row r="10">
          <cell r="A10" t="str">
            <v>A101107</v>
          </cell>
          <cell r="B10" t="str">
            <v>BUILDINGS</v>
          </cell>
          <cell r="C10" t="str">
            <v>ASSET</v>
          </cell>
          <cell r="D10" t="str">
            <v>BALANCE SHEET</v>
          </cell>
          <cell r="E10" t="str">
            <v/>
          </cell>
          <cell r="F10" t="str">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cell>
          <cell r="F22" t="str">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cell>
          <cell r="F23" t="str">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cell>
          <cell r="F24" t="str">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cell>
          <cell r="F27" t="str">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cell>
          <cell r="F28" t="str">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cell>
          <cell r="F32" t="str">
            <v/>
          </cell>
          <cell r="G32" t="str">
            <v>FIXED ASSETS</v>
          </cell>
          <cell r="H32" t="str">
            <v>GROSS BLOCK</v>
          </cell>
          <cell r="I32" t="str">
            <v>COMPUTERS</v>
          </cell>
        </row>
        <row r="33">
          <cell r="A33" t="str">
            <v>A101505</v>
          </cell>
          <cell r="B33" t="str">
            <v>Printers</v>
          </cell>
          <cell r="C33" t="str">
            <v>ASSET</v>
          </cell>
          <cell r="D33" t="str">
            <v>BALANCE SHEET</v>
          </cell>
          <cell r="E33" t="str">
            <v/>
          </cell>
          <cell r="F33" t="str">
            <v/>
          </cell>
          <cell r="G33" t="str">
            <v>FIXED ASSETS</v>
          </cell>
          <cell r="H33" t="str">
            <v>GROSS BLOCK</v>
          </cell>
          <cell r="I33" t="str">
            <v>COMPUTERS</v>
          </cell>
        </row>
        <row r="34">
          <cell r="A34" t="str">
            <v>A101506</v>
          </cell>
          <cell r="B34" t="str">
            <v>SOFTWARE</v>
          </cell>
          <cell r="C34" t="str">
            <v>ASSET</v>
          </cell>
          <cell r="D34" t="str">
            <v>BALANCE SHEET</v>
          </cell>
          <cell r="E34" t="str">
            <v/>
          </cell>
          <cell r="F34" t="str">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cell>
          <cell r="F36" t="str">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cell>
          <cell r="G41" t="str">
            <v>FIXED ASSETS</v>
          </cell>
          <cell r="H41" t="str">
            <v>GROSS BLOCK</v>
          </cell>
          <cell r="I41" t="str">
            <v>VEHICLES</v>
          </cell>
        </row>
        <row r="42">
          <cell r="A42" t="str">
            <v>A101706</v>
          </cell>
          <cell r="B42" t="str">
            <v>VEHICLES</v>
          </cell>
          <cell r="C42" t="str">
            <v>ASSET</v>
          </cell>
          <cell r="D42" t="str">
            <v>BALANCE SHEET</v>
          </cell>
          <cell r="E42" t="str">
            <v/>
          </cell>
          <cell r="F42" t="str">
            <v/>
          </cell>
          <cell r="G42" t="str">
            <v>FIXED ASSETS</v>
          </cell>
          <cell r="H42" t="str">
            <v>GROSS BLOCK</v>
          </cell>
          <cell r="I42" t="str">
            <v>VEHICLES</v>
          </cell>
        </row>
        <row r="43">
          <cell r="A43" t="str">
            <v>A101707</v>
          </cell>
          <cell r="B43" t="str">
            <v>Vehicles-Motorcycle</v>
          </cell>
          <cell r="C43" t="str">
            <v>ASSET</v>
          </cell>
          <cell r="D43" t="str">
            <v>BALANCE SHEET</v>
          </cell>
          <cell r="E43" t="str">
            <v/>
          </cell>
          <cell r="F43" t="str">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cell>
          <cell r="F49" t="str">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cell>
          <cell r="F52" t="str">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cell>
          <cell r="F53" t="str">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cell>
          <cell r="F54" t="str">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cell>
          <cell r="F55" t="str">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cell>
          <cell r="F63" t="str">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cell>
          <cell r="F64" t="str">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cell>
          <cell r="F65" t="str">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cell>
          <cell r="F66" t="str">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cell>
          <cell r="F67" t="str">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cell>
          <cell r="F68" t="str">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cell>
          <cell r="F69" t="str">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cell>
          <cell r="F71" t="str">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cell>
          <cell r="F72" t="str">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cell>
          <cell r="F73" t="str">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cell>
          <cell r="F74" t="str">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cell>
          <cell r="F75" t="str">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cell>
          <cell r="F76" t="str">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cell>
          <cell r="F77" t="str">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cell>
          <cell r="F78" t="str">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cell>
          <cell r="F79" t="str">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cell>
          <cell r="F80" t="str">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cell>
          <cell r="F81" t="str">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cell>
          <cell r="F82" t="str">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cell>
          <cell r="F83" t="str">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cell>
          <cell r="F84" t="str">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cell>
          <cell r="F85" t="str">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cell>
          <cell r="F86" t="str">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cell>
          <cell r="F87" t="str">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cell>
          <cell r="F88" t="str">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cell>
          <cell r="F89" t="str">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cell>
          <cell r="F90" t="str">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cell>
          <cell r="F91" t="str">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cell>
          <cell r="F92" t="str">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cell>
          <cell r="F93" t="str">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cell>
          <cell r="F94" t="str">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cell>
          <cell r="F95" t="str">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cell>
          <cell r="F96" t="str">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cell>
          <cell r="F97" t="str">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cell>
          <cell r="F98" t="str">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cell>
          <cell r="F99" t="str">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cell>
          <cell r="F100" t="str">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cell>
          <cell r="F101" t="str">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cell>
          <cell r="F102" t="str">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cell>
          <cell r="F103" t="str">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cell>
          <cell r="F104" t="str">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cell>
          <cell r="F105" t="str">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cell>
          <cell r="F106" t="str">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cell>
          <cell r="F107" t="str">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cell>
          <cell r="F108" t="str">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cell>
          <cell r="F109" t="str">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cell>
          <cell r="F110" t="str">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cell>
          <cell r="F111" t="str">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cell>
          <cell r="F112" t="str">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cell>
          <cell r="F113" t="str">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cell>
          <cell r="F114" t="str">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cell>
          <cell r="F115" t="str">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cell>
          <cell r="F116" t="str">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cell>
          <cell r="F117" t="str">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cell>
          <cell r="F118" t="str">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cell>
          <cell r="F119" t="str">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cell>
          <cell r="F120" t="str">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cell>
          <cell r="F121" t="str">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cell>
          <cell r="F122" t="str">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cell>
          <cell r="F123" t="str">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cell>
          <cell r="F124" t="str">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cell>
          <cell r="F125" t="str">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cell>
          <cell r="F126" t="str">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cell>
          <cell r="F127" t="str">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cell>
          <cell r="F128" t="str">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cell>
          <cell r="F129" t="str">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cell>
          <cell r="F130" t="str">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cell>
          <cell r="F131" t="str">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cell>
          <cell r="F132" t="str">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cell>
          <cell r="F133" t="str">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cell>
          <cell r="F134" t="str">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cell>
          <cell r="F135" t="str">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cell>
          <cell r="F136" t="str">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cell>
          <cell r="F137" t="str">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cell>
          <cell r="F138" t="str">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cell>
          <cell r="F139" t="str">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cell>
          <cell r="F140" t="str">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cell>
          <cell r="F141" t="str">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cell>
          <cell r="F142" t="str">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cell>
          <cell r="F143" t="str">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cell>
          <cell r="F144" t="str">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cell>
          <cell r="F145" t="str">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cell>
          <cell r="F146" t="str">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cell>
          <cell r="F147" t="str">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cell>
          <cell r="F148" t="str">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cell>
          <cell r="F149" t="str">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cell>
          <cell r="F150" t="str">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cell>
          <cell r="F151" t="str">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cell>
          <cell r="F152" t="str">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cell>
          <cell r="F153" t="str">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cell>
          <cell r="F154" t="str">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cell>
          <cell r="F155" t="str">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cell>
          <cell r="F156" t="str">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cell>
          <cell r="F157" t="str">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cell>
          <cell r="F158" t="str">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cell>
          <cell r="F159" t="str">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cell>
          <cell r="F160" t="str">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cell>
          <cell r="F161" t="str">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cell>
          <cell r="F162" t="str">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cell>
          <cell r="F163" t="str">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cell>
          <cell r="F164" t="str">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cell>
          <cell r="F165" t="str">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cell>
          <cell r="F166" t="str">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cell>
          <cell r="F167" t="str">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cell>
          <cell r="F168" t="str">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cell>
          <cell r="F169" t="str">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cell>
          <cell r="F170" t="str">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cell>
          <cell r="F171" t="str">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cell>
          <cell r="F172" t="str">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cell>
          <cell r="F173" t="str">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cell>
          <cell r="F174" t="str">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cell>
          <cell r="F175" t="str">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cell>
          <cell r="F176" t="str">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cell>
          <cell r="F177" t="str">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cell>
          <cell r="F178" t="str">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cell>
          <cell r="F179" t="str">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cell>
          <cell r="F180" t="str">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cell>
          <cell r="F181" t="str">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cell>
          <cell r="F182" t="str">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cell>
          <cell r="F183" t="str">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cell>
          <cell r="F184" t="str">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cell>
          <cell r="F185" t="str">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cell>
          <cell r="F186" t="str">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cell>
          <cell r="F187" t="str">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cell>
          <cell r="F188" t="str">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cell>
          <cell r="F189" t="str">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cell>
          <cell r="F190" t="str">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cell>
          <cell r="F191" t="str">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cell>
          <cell r="F192" t="str">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cell>
          <cell r="F193" t="str">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cell>
          <cell r="F194" t="str">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cell>
          <cell r="F195" t="str">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cell>
          <cell r="F196" t="str">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cell>
          <cell r="F197" t="str">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cell>
          <cell r="F198" t="str">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cell>
          <cell r="F199" t="str">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cell>
          <cell r="F200" t="str">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cell>
          <cell r="F201" t="str">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cell>
          <cell r="F202" t="str">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cell>
          <cell r="F204" t="str">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cell>
          <cell r="F205" t="str">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cell>
          <cell r="F206" t="str">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cell>
          <cell r="F207" t="str">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cell>
          <cell r="F208" t="str">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cell>
          <cell r="F209" t="str">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cell>
          <cell r="F210" t="str">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cell>
          <cell r="F211" t="str">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cell>
          <cell r="F212" t="str">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cell>
          <cell r="F213" t="str">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cell>
          <cell r="F214" t="str">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cell>
          <cell r="F215" t="str">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cell>
          <cell r="F216" t="str">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cell>
          <cell r="F217" t="str">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cell>
          <cell r="F218" t="str">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cell>
          <cell r="F219" t="str">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cell>
          <cell r="F220" t="str">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cell>
          <cell r="F221" t="str">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cell>
          <cell r="F222" t="str">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cell>
          <cell r="F223" t="str">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cell>
          <cell r="F224" t="str">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cell>
          <cell r="F225" t="str">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cell>
          <cell r="F226" t="str">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cell>
          <cell r="F227" t="str">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cell>
          <cell r="F228" t="str">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cell>
          <cell r="F229" t="str">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cell>
          <cell r="F231" t="str">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cell>
          <cell r="F232" t="str">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cell>
          <cell r="F233" t="str">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cell>
          <cell r="F234" t="str">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cell>
          <cell r="F235" t="str">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cell>
          <cell r="F236" t="str">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cell>
          <cell r="F237" t="str">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cell>
          <cell r="F238" t="str">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cell>
          <cell r="F239" t="str">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cell>
          <cell r="F240" t="str">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cell>
          <cell r="F241" t="str">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cell>
          <cell r="F242" t="str">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cell>
          <cell r="F243" t="str">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cell>
          <cell r="F244" t="str">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cell>
          <cell r="F245" t="str">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cell>
          <cell r="F247" t="str">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cell>
          <cell r="F248" t="str">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cell>
          <cell r="F249" t="str">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cell>
          <cell r="F250" t="str">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cell>
          <cell r="F251" t="str">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cell>
          <cell r="F252" t="str">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cell>
          <cell r="F253" t="str">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cell>
          <cell r="F254" t="str">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cell>
          <cell r="F257" t="str">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cell>
          <cell r="F258" t="str">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cell>
          <cell r="F259" t="str">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cell>
          <cell r="F260" t="str">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cell>
          <cell r="F261" t="str">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cell>
          <cell r="F262" t="str">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cell>
          <cell r="F263" t="str">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cell>
          <cell r="F264" t="str">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cell>
          <cell r="F265" t="str">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cell>
          <cell r="F267" t="str">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cell>
          <cell r="F268" t="str">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cell>
          <cell r="F269" t="str">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cell>
          <cell r="F270" t="str">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cell>
          <cell r="F271" t="str">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cell>
          <cell r="F272" t="str">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cell>
          <cell r="F273" t="str">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cell>
          <cell r="F274" t="str">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cell>
          <cell r="F275" t="str">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cell>
          <cell r="F276" t="str">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cell>
          <cell r="F277" t="str">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cell>
          <cell r="F278" t="str">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cell>
          <cell r="F279" t="str">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cell>
          <cell r="F280" t="str">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cell>
          <cell r="F281" t="str">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cell>
          <cell r="F282" t="str">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cell>
          <cell r="F283" t="str">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cell>
          <cell r="F284" t="str">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cell>
          <cell r="F285" t="str">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cell>
          <cell r="F286" t="str">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cell>
          <cell r="F287" t="str">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cell>
          <cell r="F288" t="str">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cell>
          <cell r="F289" t="str">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cell>
          <cell r="F290" t="str">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cell>
          <cell r="F291" t="str">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cell>
          <cell r="F292" t="str">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cell>
          <cell r="F293" t="str">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cell>
          <cell r="F294" t="str">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cell>
          <cell r="F295" t="str">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cell>
          <cell r="F296" t="str">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cell>
          <cell r="F300" t="str">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cell>
          <cell r="F301" t="str">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cell>
          <cell r="F302" t="str">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cell>
          <cell r="F303" t="str">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cell>
          <cell r="F304" t="str">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cell>
          <cell r="F305" t="str">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cell>
          <cell r="F306" t="str">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cell>
          <cell r="F307" t="str">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cell>
          <cell r="F308" t="str">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cell>
          <cell r="F309" t="str">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cell>
          <cell r="F310" t="str">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cell>
          <cell r="F311" t="str">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cell>
          <cell r="F312" t="str">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cell>
          <cell r="F313" t="str">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cell>
          <cell r="F314" t="str">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cell>
          <cell r="F315" t="str">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cell>
          <cell r="F316" t="str">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cell>
          <cell r="F317" t="str">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cell>
          <cell r="F318" t="str">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cell>
          <cell r="F319" t="str">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cell>
          <cell r="F320" t="str">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cell>
          <cell r="F321" t="str">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cell>
          <cell r="F322" t="str">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cell>
          <cell r="F323" t="str">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cell>
          <cell r="F324" t="str">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cell>
          <cell r="F325" t="str">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cell>
          <cell r="F326" t="str">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cell>
          <cell r="F327" t="str">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cell>
          <cell r="F328" t="str">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cell>
          <cell r="F329" t="str">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cell>
          <cell r="F330" t="str">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cell>
          <cell r="F331" t="str">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cell>
          <cell r="F332" t="str">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cell>
          <cell r="F333" t="str">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cell>
          <cell r="F334" t="str">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cell>
          <cell r="F335" t="str">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cell>
          <cell r="F336" t="str">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cell>
          <cell r="F337" t="str">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cell>
          <cell r="F338" t="str">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cell>
          <cell r="F339" t="str">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cell>
          <cell r="F340" t="str">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cell>
          <cell r="F341" t="str">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cell>
          <cell r="F342" t="str">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cell>
          <cell r="F343" t="str">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cell>
          <cell r="F344" t="str">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cell>
          <cell r="F345" t="str">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cell>
          <cell r="F346" t="str">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cell>
          <cell r="F347" t="str">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cell>
          <cell r="F348" t="str">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cell>
          <cell r="F349" t="str">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cell>
          <cell r="F350" t="str">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cell>
          <cell r="F351" t="str">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cell>
          <cell r="F352" t="str">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cell>
          <cell r="F353" t="str">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cell>
          <cell r="F354" t="str">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cell>
          <cell r="F355" t="str">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cell>
          <cell r="F356" t="str">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cell>
          <cell r="F357" t="str">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cell>
          <cell r="F358" t="str">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cell>
          <cell r="F359" t="str">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cell>
          <cell r="F360" t="str">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cell>
          <cell r="F361" t="str">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cell>
          <cell r="F362" t="str">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cell>
          <cell r="F363" t="str">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cell>
          <cell r="F364" t="str">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cell>
          <cell r="F365" t="str">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cell>
          <cell r="F366" t="str">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cell>
          <cell r="F367" t="str">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cell>
          <cell r="F368" t="str">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cell>
          <cell r="F369" t="str">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cell>
          <cell r="F370" t="str">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cell>
          <cell r="F371" t="str">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cell>
          <cell r="F372" t="str">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cell>
          <cell r="F373" t="str">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cell>
          <cell r="F374" t="str">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cell>
          <cell r="F375" t="str">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cell>
          <cell r="F376" t="str">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cell>
          <cell r="F377" t="str">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cell>
          <cell r="F378" t="str">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cell>
          <cell r="F379" t="str">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cell>
          <cell r="F380" t="str">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cell>
          <cell r="F381" t="str">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cell>
          <cell r="F382" t="str">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cell>
          <cell r="F383" t="str">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cell>
          <cell r="F384" t="str">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cell>
          <cell r="F385" t="str">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cell>
          <cell r="F386" t="str">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cell>
          <cell r="F387" t="str">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cell>
          <cell r="F388" t="str">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cell>
          <cell r="F389" t="str">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cell>
          <cell r="F390" t="str">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cell>
          <cell r="F391" t="str">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cell>
          <cell r="F392" t="str">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cell>
          <cell r="F393" t="str">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cell>
          <cell r="F394" t="str">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cell>
          <cell r="F395" t="str">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cell>
          <cell r="F396" t="str">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cell>
          <cell r="F397" t="str">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cell>
          <cell r="F398" t="str">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cell>
          <cell r="F399" t="str">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cell>
          <cell r="F400" t="str">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cell>
          <cell r="F401" t="str">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cell>
          <cell r="F402" t="str">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cell>
          <cell r="F403" t="str">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cell>
          <cell r="F404" t="str">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cell>
          <cell r="F405" t="str">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cell>
          <cell r="F406" t="str">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cell>
          <cell r="F407" t="str">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cell>
          <cell r="F408" t="str">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cell>
          <cell r="F409" t="str">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cell>
          <cell r="F410" t="str">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cell>
          <cell r="F411" t="str">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cell>
          <cell r="F412" t="str">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cell>
          <cell r="F413" t="str">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cell>
          <cell r="F414" t="str">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cell>
          <cell r="F415" t="str">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cell>
          <cell r="F416" t="str">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cell>
          <cell r="F417" t="str">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cell>
          <cell r="F418" t="str">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cell>
          <cell r="F419" t="str">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cell>
          <cell r="F420" t="str">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cell>
          <cell r="F421" t="str">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cell>
          <cell r="F422" t="str">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cell>
          <cell r="F423" t="str">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cell>
          <cell r="F424" t="str">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cell>
          <cell r="F425" t="str">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cell>
          <cell r="F426" t="str">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cell>
          <cell r="F427" t="str">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cell>
          <cell r="F428" t="str">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cell>
          <cell r="F429" t="str">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cell>
          <cell r="F436" t="str">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cell>
          <cell r="F437" t="str">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cell>
          <cell r="F439" t="str">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cell>
          <cell r="F440" t="str">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cell>
          <cell r="F441" t="str">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cell>
          <cell r="F442" t="str">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cell>
          <cell r="F448" t="str">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cell>
          <cell r="F454" t="str">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cell>
          <cell r="F455" t="str">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cell>
          <cell r="F456" t="str">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cell>
          <cell r="F457" t="str">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cell>
          <cell r="F458" t="str">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cell>
          <cell r="F459" t="str">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cell>
          <cell r="F460" t="str">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cell>
          <cell r="F461" t="str">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cell>
          <cell r="F462" t="str">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cell>
          <cell r="F463" t="str">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cell>
          <cell r="F464" t="str">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cell>
          <cell r="F465" t="str">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cell>
          <cell r="F466" t="str">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cell>
          <cell r="F467" t="str">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cell>
          <cell r="F468" t="str">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cell>
          <cell r="F469" t="str">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cell>
          <cell r="F470" t="str">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cell>
          <cell r="F471" t="str">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cell>
          <cell r="F472" t="str">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cell>
          <cell r="F473" t="str">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cell>
          <cell r="F474" t="str">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cell>
          <cell r="F475" t="str">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cell>
          <cell r="F476" t="str">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cell>
          <cell r="F477" t="str">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cell>
          <cell r="F478" t="str">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cell>
          <cell r="F479" t="str">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cell>
          <cell r="F480" t="str">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cell>
          <cell r="F481" t="str">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cell>
          <cell r="F482" t="str">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cell>
          <cell r="F483" t="str">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cell>
          <cell r="F484" t="str">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cell>
          <cell r="F485" t="str">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cell>
          <cell r="F486" t="str">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cell>
          <cell r="F487" t="str">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cell>
          <cell r="F488" t="str">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cell>
          <cell r="F489" t="str">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cell>
          <cell r="F490" t="str">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cell>
          <cell r="F491" t="str">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cell>
          <cell r="F492" t="str">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cell>
          <cell r="F493" t="str">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cell>
          <cell r="F494" t="str">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cell>
          <cell r="F495" t="str">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cell>
          <cell r="F496" t="str">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cell>
          <cell r="F497" t="str">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cell>
          <cell r="F498" t="str">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cell>
          <cell r="F499" t="str">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cell>
          <cell r="F500" t="str">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cell>
          <cell r="F501" t="str">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cell>
          <cell r="F502" t="str">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cell>
          <cell r="F503" t="str">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cell>
          <cell r="F504" t="str">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cell>
          <cell r="F505" t="str">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cell>
          <cell r="F506" t="str">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cell>
          <cell r="F507" t="str">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cell>
          <cell r="F508" t="str">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cell>
          <cell r="F509" t="str">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cell>
          <cell r="F510" t="str">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cell>
          <cell r="F511" t="str">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cell>
          <cell r="F512" t="str">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cell>
          <cell r="F513" t="str">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cell>
          <cell r="F514" t="str">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cell>
          <cell r="F515" t="str">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cell>
          <cell r="F516" t="str">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cell>
          <cell r="F517" t="str">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cell>
          <cell r="F518" t="str">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cell>
          <cell r="F519" t="str">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cell>
          <cell r="F520" t="str">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cell>
          <cell r="F521" t="str">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cell>
          <cell r="F526" t="str">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cell>
          <cell r="F527" t="str">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cell>
          <cell r="F528" t="str">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cell>
          <cell r="F529" t="str">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cell>
          <cell r="F530" t="str">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cell>
          <cell r="F531" t="str">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cell>
          <cell r="F532" t="str">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cell>
          <cell r="F533" t="str">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cell>
          <cell r="F534" t="str">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cell>
          <cell r="F535" t="str">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cell>
          <cell r="F536" t="str">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cell>
          <cell r="F537" t="str">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cell>
          <cell r="F538" t="str">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cell>
          <cell r="F539" t="str">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cell>
          <cell r="F540" t="str">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cell>
          <cell r="F541" t="str">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cell>
          <cell r="F542" t="str">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cell>
          <cell r="F543" t="str">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cell>
          <cell r="F544" t="str">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cell>
          <cell r="F545" t="str">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cell>
          <cell r="F546" t="str">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cell>
          <cell r="F547" t="str">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cell>
          <cell r="F548" t="str">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cell>
          <cell r="F549" t="str">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cell>
          <cell r="F550" t="str">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cell>
          <cell r="F551" t="str">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cell>
          <cell r="F552" t="str">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cell>
          <cell r="F553" t="str">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cell>
          <cell r="F554" t="str">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cell>
          <cell r="F555" t="str">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cell>
          <cell r="F556" t="str">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cell>
          <cell r="F557" t="str">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cell>
          <cell r="F558" t="str">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cell>
          <cell r="F559" t="str">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cell>
          <cell r="F560" t="str">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cell>
          <cell r="F561" t="str">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cell>
          <cell r="F562" t="str">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cell>
          <cell r="F563" t="str">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cell>
          <cell r="F564" t="str">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cell>
          <cell r="F565" t="str">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cell>
          <cell r="F566" t="str">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cell>
          <cell r="F567" t="str">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cell>
          <cell r="F568" t="str">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cell>
          <cell r="F569" t="str">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cell>
          <cell r="F570" t="str">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cell>
          <cell r="F571" t="str">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cell>
          <cell r="F572" t="str">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cell>
          <cell r="F573" t="str">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cell>
          <cell r="F574" t="str">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cell>
          <cell r="F575" t="str">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cell>
          <cell r="F576" t="str">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cell>
          <cell r="F577" t="str">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cell>
          <cell r="F578" t="str">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cell>
          <cell r="F579" t="str">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cell>
          <cell r="F580" t="str">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cell>
          <cell r="F581" t="str">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cell>
          <cell r="F582" t="str">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cell>
          <cell r="F583" t="str">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cell>
          <cell r="F584" t="str">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cell>
          <cell r="F585" t="str">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cell>
          <cell r="F586" t="str">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cell>
          <cell r="F587" t="str">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cell>
          <cell r="F588" t="str">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cell>
          <cell r="F589" t="str">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cell>
          <cell r="F591" t="str">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cell>
          <cell r="F592" t="str">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cell>
          <cell r="F593" t="str">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cell>
          <cell r="F594" t="str">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cell>
          <cell r="F595" t="str">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cell>
          <cell r="F601" t="str">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cell>
          <cell r="F602" t="str">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cell>
          <cell r="F603" t="str">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cell>
          <cell r="F604" t="str">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cell>
          <cell r="F605" t="str">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cell>
          <cell r="F606" t="str">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cell>
          <cell r="F607" t="str">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cell>
          <cell r="F609" t="str">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cell>
          <cell r="F610" t="str">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cell>
          <cell r="F611" t="str">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cell>
          <cell r="F612" t="str">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cell>
          <cell r="F613" t="str">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cell>
          <cell r="F614" t="str">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cell>
          <cell r="F615" t="str">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cell>
          <cell r="F775" t="str">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cell>
          <cell r="F776" t="str">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cell>
          <cell r="F777" t="str">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cell>
          <cell r="F778" t="str">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cell>
          <cell r="F779" t="str">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cell>
          <cell r="F780" t="str">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cell>
          <cell r="F781" t="str">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cell>
          <cell r="F782" t="str">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cell>
          <cell r="F783" t="str">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cell>
          <cell r="F784" t="str">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cell>
          <cell r="F785" t="str">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cell>
          <cell r="F786" t="str">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cell>
          <cell r="F787" t="str">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cell>
          <cell r="F788" t="str">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cell>
          <cell r="F789" t="str">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cell>
          <cell r="F790" t="str">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cell>
          <cell r="F791" t="str">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cell>
          <cell r="F794" t="str">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cell>
          <cell r="F795" t="str">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cell>
          <cell r="F796" t="str">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cell>
          <cell r="F797" t="str">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cell>
          <cell r="F798" t="str">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cell>
          <cell r="F799" t="str">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cell>
          <cell r="F800" t="str">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cell>
          <cell r="F801" t="str">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cell>
          <cell r="F802" t="str">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cell>
          <cell r="F803" t="str">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cell>
          <cell r="F804" t="str">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cell>
          <cell r="F805" t="str">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cell>
          <cell r="F807" t="str">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cell>
          <cell r="F808" t="str">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cell>
          <cell r="F809" t="str">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cell>
          <cell r="F810" t="str">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cell>
          <cell r="F811" t="str">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cell>
          <cell r="F812" t="str">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cell>
          <cell r="F813" t="str">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cell>
          <cell r="F814" t="str">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cell>
          <cell r="F815" t="str">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cell>
          <cell r="F816" t="str">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cell>
          <cell r="F817" t="str">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cell>
          <cell r="F818" t="str">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cell>
          <cell r="F819" t="str">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cell>
          <cell r="F820" t="str">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cell>
          <cell r="F821" t="str">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cell>
          <cell r="F822" t="str">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cell>
          <cell r="F823" t="str">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cell>
          <cell r="F824" t="str">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cell>
          <cell r="F825" t="str">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cell>
          <cell r="F826" t="str">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cell>
          <cell r="F827" t="str">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cell>
          <cell r="F828" t="str">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cell>
          <cell r="F829" t="str">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cell>
          <cell r="F830" t="str">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cell>
          <cell r="F832" t="str">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cell>
          <cell r="F833" t="str">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cell>
          <cell r="F834" t="str">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cell>
          <cell r="F835" t="str">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cell>
          <cell r="F836" t="str">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cell>
          <cell r="F837" t="str">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cell>
          <cell r="F838" t="str">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cell>
          <cell r="F839" t="str">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cell>
          <cell r="F840" t="str">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cell>
          <cell r="F841" t="str">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cell>
          <cell r="F842" t="str">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cell>
          <cell r="F843" t="str">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cell>
          <cell r="F844" t="str">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cell>
          <cell r="F845" t="str">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cell>
          <cell r="F846" t="str">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cell>
          <cell r="F847" t="str">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cell>
          <cell r="F848" t="str">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cell>
          <cell r="F849" t="str">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cell>
          <cell r="F850" t="str">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cell>
          <cell r="F851" t="str">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cell>
          <cell r="F852" t="str">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cell>
          <cell r="F853" t="str">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cell>
          <cell r="F854" t="str">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cell>
          <cell r="F855" t="str">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cell>
          <cell r="F856" t="str">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cell>
          <cell r="F857" t="str">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cell>
          <cell r="F858" t="str">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cell>
          <cell r="F859" t="str">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cell>
          <cell r="F860" t="str">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cell>
          <cell r="F861" t="str">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cell>
          <cell r="F862" t="str">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cell>
          <cell r="F863" t="str">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cell>
          <cell r="F864" t="str">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cell>
          <cell r="F865" t="str">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cell>
          <cell r="F866" t="str">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cell>
          <cell r="F867" t="str">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cell>
          <cell r="F868" t="str">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cell>
          <cell r="F869" t="str">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cell>
          <cell r="F870" t="str">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cell>
          <cell r="F871" t="str">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cell>
          <cell r="F872" t="str">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cell>
          <cell r="F873" t="str">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cell>
          <cell r="F874" t="str">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cell>
          <cell r="F875" t="str">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cell>
          <cell r="F877" t="str">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cell>
          <cell r="F878" t="str">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cell>
          <cell r="F884" t="str">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cell>
          <cell r="F889" t="str">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cell>
          <cell r="F891" t="str">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cell>
          <cell r="F892" t="str">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cell>
          <cell r="F893" t="str">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cell>
          <cell r="F894" t="str">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cell>
          <cell r="F895" t="str">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cell>
          <cell r="F896" t="str">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cell>
          <cell r="F897" t="str">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cell>
          <cell r="F898" t="str">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cell>
          <cell r="F899" t="str">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cell>
          <cell r="F904" t="str">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cell>
          <cell r="F905" t="str">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cell>
          <cell r="F906" t="str">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cell>
          <cell r="F907" t="str">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cell>
          <cell r="F913" t="str">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cell>
          <cell r="F914" t="str">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cell>
          <cell r="F915" t="str">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cell>
          <cell r="F917" t="str">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cell>
          <cell r="F918" t="str">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cell>
          <cell r="F920" t="str">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cell>
          <cell r="F921" t="str">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cell>
          <cell r="F923" t="str">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cell>
          <cell r="F928" t="str">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cell>
          <cell r="F929" t="str">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cell>
          <cell r="F930" t="str">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cell>
          <cell r="F931" t="str">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cell>
          <cell r="F937" t="str">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cell>
          <cell r="F938" t="str">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cell>
          <cell r="F939" t="str">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cell>
          <cell r="F956" t="str">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cell>
          <cell r="F957" t="str">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cell>
          <cell r="F958" t="str">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cell>
          <cell r="F959" t="str">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cell>
          <cell r="F960" t="str">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cell>
          <cell r="F961" t="str">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cell>
          <cell r="F962" t="str">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cell>
          <cell r="F963" t="str">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cell>
          <cell r="F964" t="str">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cell>
          <cell r="F965" t="str">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cell>
          <cell r="F966" t="str">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cell>
          <cell r="F967" t="str">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cell>
          <cell r="F968" t="str">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cell>
          <cell r="F969" t="str">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cell>
          <cell r="F970" t="str">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cell>
          <cell r="F982" t="str">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cell>
          <cell r="F988" t="str">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cell>
          <cell r="F989" t="str">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cell>
          <cell r="F992" t="str">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cell>
          <cell r="F999" t="str">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cell>
          <cell r="F1000" t="str">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cell>
          <cell r="F1001" t="str">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cell>
          <cell r="F1002" t="str">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cell>
          <cell r="F1003" t="str">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cell>
          <cell r="F1004" t="str">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cell>
          <cell r="F1005" t="str">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cell>
          <cell r="F1006" t="str">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cell>
          <cell r="F1007" t="str">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cell>
          <cell r="F1008" t="str">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cell>
          <cell r="F1009" t="str">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cell>
          <cell r="F1010" t="str">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cell>
          <cell r="F1011" t="str">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cell>
          <cell r="F1012" t="str">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cell>
          <cell r="F1013" t="str">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cell>
          <cell r="F1014" t="str">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cell>
          <cell r="F1015" t="str">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cell>
          <cell r="F1016" t="str">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cell>
          <cell r="F1017" t="str">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cell>
          <cell r="F1018" t="str">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cell>
          <cell r="F1019" t="str">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cell>
          <cell r="F1020" t="str">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cell>
          <cell r="F1021" t="str">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cell>
          <cell r="F1022" t="str">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cell>
          <cell r="F1023" t="str">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cell>
          <cell r="F1024" t="str">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cell>
          <cell r="F1025" t="str">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cell>
          <cell r="F1026" t="str">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cell>
          <cell r="F1027" t="str">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cell>
          <cell r="F1028" t="str">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cell>
          <cell r="F1029" t="str">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cell>
          <cell r="F1030" t="str">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cell>
          <cell r="F1031" t="str">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cell>
          <cell r="F1032" t="str">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cell>
          <cell r="F1033" t="str">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cell>
          <cell r="F1034" t="str">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cell>
          <cell r="F1035" t="str">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cell>
          <cell r="F1036" t="str">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cell>
          <cell r="F1037" t="str">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cell>
          <cell r="F1038" t="str">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cell>
          <cell r="F1039" t="str">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cell>
          <cell r="F1040" t="str">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cell>
          <cell r="F1041" t="str">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cell>
          <cell r="F1042" t="str">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cell>
          <cell r="F1043" t="str">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cell>
          <cell r="F1044" t="str">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cell>
          <cell r="F1045" t="str">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cell>
          <cell r="F1046" t="str">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cell>
          <cell r="F1047" t="str">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cell>
          <cell r="F1048" t="str">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cell>
          <cell r="F1049" t="str">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cell>
          <cell r="F1050" t="str">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cell>
          <cell r="F1051" t="str">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cell>
          <cell r="F1052" t="str">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cell>
          <cell r="F1053" t="str">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cell>
          <cell r="F1054" t="str">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cell>
          <cell r="F1055" t="str">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cell>
          <cell r="F1056" t="str">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cell>
          <cell r="F1057" t="str">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cell>
          <cell r="F1058" t="str">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cell>
          <cell r="F1059" t="str">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cell>
          <cell r="F1061" t="str">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cell>
          <cell r="F1062" t="str">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cell>
          <cell r="F1063" t="str">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cell>
          <cell r="F1064" t="str">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cell>
          <cell r="F1065" t="str">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cell>
          <cell r="F1066" t="str">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cell>
          <cell r="F1067" t="str">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cell>
          <cell r="F1068" t="str">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cell>
          <cell r="F1069" t="str">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cell>
          <cell r="F1070" t="str">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cell>
          <cell r="F1071" t="str">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cell>
          <cell r="F1072" t="str">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cell>
          <cell r="F1073" t="str">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cell>
          <cell r="F1074" t="str">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cell>
          <cell r="F1075" t="str">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cell>
          <cell r="F1076" t="str">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cell>
          <cell r="F1077" t="str">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cell>
          <cell r="F1078" t="str">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cell>
          <cell r="F1079" t="str">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cell>
          <cell r="F1080" t="str">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cell>
          <cell r="F1081" t="str">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cell>
          <cell r="F1082" t="str">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cell>
          <cell r="F1083" t="str">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cell>
          <cell r="F1084" t="str">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cell>
          <cell r="F1085" t="str">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cell>
          <cell r="F1086" t="str">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cell>
          <cell r="F1087" t="str">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cell>
          <cell r="F1088" t="str">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cell>
          <cell r="F1089" t="str">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cell>
          <cell r="F1090" t="str">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cell>
          <cell r="F1091" t="str">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cell>
          <cell r="F1092" t="str">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cell>
          <cell r="F1093" t="str">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cell>
          <cell r="F1094" t="str">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cell>
          <cell r="F1095" t="str">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cell>
          <cell r="F1096" t="str">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cell>
          <cell r="F1097" t="str">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cell>
          <cell r="F1098" t="str">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cell>
          <cell r="F1099" t="str">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cell>
          <cell r="F1100" t="str">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cell>
          <cell r="F1101" t="str">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cell>
          <cell r="F1102" t="str">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cell>
          <cell r="F1103" t="str">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cell>
          <cell r="F1104" t="str">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cell>
          <cell r="F1105" t="str">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cell>
          <cell r="F1106" t="str">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cell>
          <cell r="F1107" t="str">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cell>
          <cell r="F1108" t="str">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cell>
          <cell r="F1109" t="str">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cell>
          <cell r="F1110" t="str">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cell>
          <cell r="F1111" t="str">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cell>
          <cell r="F1112" t="str">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cell>
          <cell r="F1113" t="str">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cell>
          <cell r="F1114" t="str">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cell>
          <cell r="F1115" t="str">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cell>
          <cell r="F1116" t="str">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cell>
          <cell r="F1117" t="str">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cell>
          <cell r="F1118" t="str">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cell>
          <cell r="F1119" t="str">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cell>
          <cell r="F1120" t="str">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cell>
          <cell r="F1121" t="str">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cell>
          <cell r="F1122" t="str">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cell>
          <cell r="F1123" t="str">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cell>
          <cell r="F1124" t="str">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cell>
          <cell r="F1125" t="str">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cell>
          <cell r="F1126" t="str">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cell>
          <cell r="F1127" t="str">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cell>
          <cell r="F1128" t="str">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cell>
          <cell r="F1129" t="str">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cell>
          <cell r="F1130" t="str">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cell>
          <cell r="F1131" t="str">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cell>
          <cell r="F1132" t="str">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cell>
          <cell r="F1133" t="str">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cell>
          <cell r="F1134" t="str">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cell>
          <cell r="F1135" t="str">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cell>
          <cell r="F1136" t="str">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cell>
          <cell r="F1137" t="str">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cell>
          <cell r="F1138" t="str">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cell>
          <cell r="F1139" t="str">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cell>
          <cell r="F1140" t="str">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cell>
          <cell r="F1141" t="str">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cell>
          <cell r="F1142" t="str">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cell>
          <cell r="F1143" t="str">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cell>
          <cell r="F1144" t="str">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cell>
          <cell r="F1145" t="str">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cell>
          <cell r="F1146" t="str">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cell>
          <cell r="F1147" t="str">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cell>
          <cell r="F1148" t="str">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cell>
          <cell r="F1149" t="str">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cell>
          <cell r="F1150" t="str">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cell>
          <cell r="F1151" t="str">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cell>
          <cell r="F1152" t="str">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cell>
          <cell r="F1153" t="str">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cell>
          <cell r="F1154" t="str">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cell>
          <cell r="F1155" t="str">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cell>
          <cell r="F1156" t="str">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cell>
          <cell r="F1157" t="str">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cell>
          <cell r="F1158" t="str">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cell>
          <cell r="F1159" t="str">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cell>
          <cell r="F1160" t="str">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cell>
          <cell r="F1161" t="str">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cell>
          <cell r="F1162" t="str">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cell>
          <cell r="F1163" t="str">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cell>
          <cell r="F1164" t="str">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cell>
          <cell r="F1165" t="str">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cell>
          <cell r="F1166" t="str">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cell>
          <cell r="F1167" t="str">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cell>
          <cell r="F1168" t="str">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cell>
          <cell r="F1169" t="str">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cell>
          <cell r="F1170" t="str">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cell>
          <cell r="F1171" t="str">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cell>
          <cell r="F1172" t="str">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cell>
          <cell r="F1173" t="str">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cell>
          <cell r="F1174" t="str">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cell>
          <cell r="F1175" t="str">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cell>
          <cell r="F1176" t="str">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cell>
          <cell r="F1177" t="str">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cell>
          <cell r="F1178" t="str">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cell>
          <cell r="F1179" t="str">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cell>
          <cell r="F1180" t="str">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cell>
          <cell r="F1181" t="str">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cell>
          <cell r="F1182" t="str">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cell>
          <cell r="F1183" t="str">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cell>
          <cell r="F1184" t="str">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cell>
          <cell r="F1185" t="str">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cell>
          <cell r="F1186" t="str">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cell>
          <cell r="F1187" t="str">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cell>
          <cell r="F1188" t="str">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cell>
          <cell r="F1189" t="str">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cell>
          <cell r="F1190" t="str">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cell>
          <cell r="F1191" t="str">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cell>
          <cell r="F1192" t="str">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cell>
          <cell r="F1193" t="str">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cell>
          <cell r="F1194" t="str">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cell>
          <cell r="F1195" t="str">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cell>
          <cell r="F1196" t="str">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cell>
          <cell r="F1197" t="str">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cell>
          <cell r="F1198" t="str">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cell>
          <cell r="F1199" t="str">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cell>
          <cell r="F1200" t="str">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cell>
          <cell r="F1201" t="str">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cell>
          <cell r="F1202" t="str">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cell>
          <cell r="F1203" t="str">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cell>
          <cell r="F1204" t="str">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cell>
          <cell r="F1205" t="str">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cell>
          <cell r="F1206" t="str">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cell>
          <cell r="F1207" t="str">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cell>
          <cell r="F1208" t="str">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cell>
          <cell r="F1209" t="str">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cell>
          <cell r="F1210" t="str">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cell>
          <cell r="F1211" t="str">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cell>
          <cell r="F1212" t="str">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cell>
          <cell r="F1213" t="str">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cell>
          <cell r="F1214" t="str">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cell>
          <cell r="F1215" t="str">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cell>
          <cell r="F1216" t="str">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cell>
          <cell r="F1217" t="str">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cell>
          <cell r="F1218" t="str">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cell>
          <cell r="F1219" t="str">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cell>
          <cell r="F1220" t="str">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cell>
          <cell r="F1221" t="str">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cell>
          <cell r="F1222" t="str">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cell>
          <cell r="F1223" t="str">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cell>
          <cell r="F1224" t="str">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cell>
          <cell r="F1225" t="str">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cell>
          <cell r="F1226" t="str">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cell>
          <cell r="F1227" t="str">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cell>
          <cell r="F1228" t="str">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cell>
          <cell r="F1229" t="str">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cell>
          <cell r="F1230" t="str">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cell>
          <cell r="F1231" t="str">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cell>
          <cell r="F1232" t="str">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cell>
          <cell r="F1233" t="str">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cell>
          <cell r="F1234" t="str">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cell>
          <cell r="F1235" t="str">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cell>
          <cell r="F1236" t="str">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cell>
          <cell r="F1237" t="str">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cell>
          <cell r="F1238" t="str">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cell>
          <cell r="F1239" t="str">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cell>
          <cell r="F1240" t="str">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cell>
          <cell r="F1241" t="str">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cell>
          <cell r="F1242" t="str">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cell>
          <cell r="F1243" t="str">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cell>
          <cell r="F1244" t="str">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cell>
          <cell r="F1245" t="str">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cell>
          <cell r="F1246" t="str">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cell>
          <cell r="F1247" t="str">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cell>
          <cell r="F1248" t="str">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cell>
          <cell r="F1249" t="str">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cell>
          <cell r="F1250" t="str">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cell>
          <cell r="F1251" t="str">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cell>
          <cell r="F1252" t="str">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cell>
          <cell r="F1253" t="str">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cell>
          <cell r="F1254" t="str">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cell>
          <cell r="F1255" t="str">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cell>
          <cell r="F1256" t="str">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cell>
          <cell r="F1257" t="str">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cell>
          <cell r="F1258" t="str">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cell>
          <cell r="F1259" t="str">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cell>
          <cell r="F1260" t="str">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cell>
          <cell r="F1261" t="str">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cell>
          <cell r="F1262" t="str">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cell>
          <cell r="F1263" t="str">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cell>
          <cell r="F1264" t="str">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cell>
          <cell r="F1265" t="str">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cell>
          <cell r="F1266" t="str">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cell>
          <cell r="F1267" t="str">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cell>
          <cell r="F1268" t="str">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cell>
          <cell r="F1269" t="str">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cell>
          <cell r="F1270" t="str">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cell>
          <cell r="F1271" t="str">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cell>
          <cell r="F1272" t="str">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cell>
          <cell r="F1273" t="str">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cell>
          <cell r="F1274" t="str">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cell>
          <cell r="F1275" t="str">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cell>
          <cell r="F1276" t="str">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cell>
          <cell r="F1277" t="str">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cell>
          <cell r="F1278" t="str">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cell>
          <cell r="F1279" t="str">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cell>
          <cell r="F1280" t="str">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cell>
          <cell r="F1281" t="str">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cell>
          <cell r="F1282" t="str">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cell>
          <cell r="F1283" t="str">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cell>
          <cell r="F1284" t="str">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cell>
          <cell r="F1285" t="str">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cell>
          <cell r="F1286" t="str">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cell>
          <cell r="F1287" t="str">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cell>
          <cell r="F1288" t="str">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cell>
          <cell r="F1289" t="str">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cell>
          <cell r="F1290" t="str">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cell>
          <cell r="F1291" t="str">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cell>
          <cell r="F1292" t="str">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cell>
          <cell r="F1293" t="str">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cell>
          <cell r="F1294" t="str">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cell>
          <cell r="F1295" t="str">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cell>
          <cell r="F1296" t="str">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cell>
          <cell r="F1297" t="str">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cell>
          <cell r="F1298" t="str">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cell>
          <cell r="F1299" t="str">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cell>
          <cell r="F1300" t="str">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cell>
          <cell r="F1301" t="str">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cell>
          <cell r="F1302" t="str">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cell>
          <cell r="F1303" t="str">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cell>
          <cell r="F1304" t="str">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cell>
          <cell r="F1305" t="str">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cell>
          <cell r="F1306" t="str">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cell>
          <cell r="F1314" t="str">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cell>
          <cell r="F1315" t="str">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cell>
          <cell r="F1316" t="str">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cell>
          <cell r="F1317" t="str">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cell>
          <cell r="F1318" t="str">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cell>
          <cell r="F1319" t="str">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cell>
          <cell r="F1320" t="str">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cell>
          <cell r="F1321" t="str">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cell>
          <cell r="F1323" t="str">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cell>
          <cell r="F1326" t="str">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cell>
          <cell r="F1327" t="str">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cell>
          <cell r="F1328" t="str">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cell>
          <cell r="F1330" t="str">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cell>
          <cell r="F1331" t="str">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cell>
          <cell r="F1332" t="str">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cell>
          <cell r="F1333" t="str">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cell>
          <cell r="F1334" t="str">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cell>
          <cell r="F1335" t="str">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cell>
          <cell r="F1336" t="str">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cell>
          <cell r="F1337" t="str">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cell>
          <cell r="F1338" t="str">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cell>
          <cell r="F1339" t="str">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cell>
          <cell r="F1340" t="str">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cell>
          <cell r="F1341" t="str">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cell>
          <cell r="F1342" t="str">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cell>
          <cell r="F1343" t="str">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cell>
          <cell r="F1344" t="str">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cell>
          <cell r="F1345" t="str">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cell>
          <cell r="F1346" t="str">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cell>
          <cell r="F1347" t="str">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cell>
          <cell r="F1348" t="str">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cell>
          <cell r="F1349" t="str">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cell>
          <cell r="F1350" t="str">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cell>
          <cell r="F1351" t="str">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cell>
          <cell r="F1352" t="str">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cell>
          <cell r="F1353" t="str">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cell>
          <cell r="F1361" t="str">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cell>
          <cell r="F1363" t="str">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cell>
          <cell r="F1367" t="str">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cell>
          <cell r="F1368" t="str">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cell>
          <cell r="F1370" t="str">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cell>
          <cell r="F1371" t="str">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cell>
          <cell r="F1372" t="str">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cell>
          <cell r="F1374" t="str">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cell>
          <cell r="F1375" t="str">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cell>
          <cell r="F1376" t="str">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cell>
          <cell r="F1377" t="str">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cell>
          <cell r="F1378" t="str">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cell>
          <cell r="F1381" t="str">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cell>
          <cell r="F1382" t="str">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cell>
          <cell r="F1383" t="str">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cell>
          <cell r="F1384" t="str">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cell>
          <cell r="F1385" t="str">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cell>
          <cell r="F1396" t="str">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cell>
          <cell r="F1397" t="str">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cell>
          <cell r="F1398" t="str">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cell>
          <cell r="F1399" t="str">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cell>
          <cell r="F1400" t="str">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cell>
          <cell r="F1401" t="str">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cell>
          <cell r="F1402" t="str">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cell>
          <cell r="F1403" t="str">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cell>
          <cell r="F1404" t="str">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cell>
          <cell r="F1405" t="str">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cell>
          <cell r="F1406" t="str">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cell>
          <cell r="F1407" t="str">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cell>
          <cell r="F1409" t="str">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cell>
          <cell r="F1410" t="str">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cell>
          <cell r="F1411" t="str">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cell>
          <cell r="F1412" t="str">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cell>
          <cell r="F1413" t="str">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cell>
          <cell r="F1415" t="str">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cell>
          <cell r="F1416" t="str">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cell>
          <cell r="F1417" t="str">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cell>
          <cell r="F1418" t="str">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cell>
          <cell r="F1419" t="str">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cell>
          <cell r="F1420" t="str">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cell>
          <cell r="F1421" t="str">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cell>
          <cell r="F1422" t="str">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cell>
          <cell r="F1423" t="str">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cell>
          <cell r="F1424" t="str">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cell>
          <cell r="F1425" t="str">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cell>
          <cell r="F1426" t="str">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cell>
          <cell r="F1427" t="str">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cell>
          <cell r="F1428" t="str">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cell>
          <cell r="F1429" t="str">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cell>
          <cell r="F1430" t="str">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cell>
          <cell r="F1431" t="str">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cell>
          <cell r="F1432" t="str">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cell>
          <cell r="F1433" t="str">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cell>
          <cell r="F1434" t="str">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cell>
          <cell r="F1439" t="str">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cell>
          <cell r="F1440" t="str">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cell>
          <cell r="F1441" t="str">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cell>
          <cell r="F1442" t="str">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cell>
          <cell r="F1443" t="str">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cell>
          <cell r="F1444" t="str">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cell>
          <cell r="F1445" t="str">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cell>
          <cell r="F1446" t="str">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cell>
          <cell r="F1447" t="str">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cell>
          <cell r="F1448" t="str">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cell>
          <cell r="F1449" t="str">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cell>
          <cell r="F1450" t="str">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cell>
          <cell r="F1451" t="str">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cell>
          <cell r="F1452" t="str">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cell>
          <cell r="F1453" t="str">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cell>
          <cell r="F1454" t="str">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cell>
          <cell r="F1455" t="str">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cell>
          <cell r="F1458" t="str">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cell>
          <cell r="F1459" t="str">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cell>
          <cell r="F1460" t="str">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cell>
          <cell r="F1461" t="str">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cell>
          <cell r="F1462" t="str">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cell>
          <cell r="F1463" t="str">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cell>
          <cell r="F1465" t="str">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cell>
          <cell r="F1466" t="str">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cell>
          <cell r="F1468" t="str">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cell>
          <cell r="F1469" t="str">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cell>
          <cell r="F1472" t="str">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cell>
          <cell r="F1473" t="str">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cell>
          <cell r="F1477" t="str">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cell>
          <cell r="F1478" t="str">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cell>
          <cell r="F1479" t="str">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cell>
          <cell r="F1480" t="str">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cell>
          <cell r="F1481" t="str">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cell>
          <cell r="F1482" t="str">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cell>
          <cell r="F1483" t="str">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cell>
          <cell r="F1484" t="str">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cell>
          <cell r="F1485" t="str">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cell>
          <cell r="F1486" t="str">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cell>
          <cell r="F1487" t="str">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cell>
          <cell r="F1488" t="str">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cell>
          <cell r="F1489" t="str">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cell>
          <cell r="F1490" t="str">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cell>
          <cell r="F1491" t="str">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cell>
          <cell r="F1492" t="str">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cell>
          <cell r="F1493" t="str">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cell>
          <cell r="F1494" t="str">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cell>
          <cell r="F1495" t="str">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cell>
          <cell r="F1496" t="str">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cell>
          <cell r="F1497" t="str">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cell>
          <cell r="F1498" t="str">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cell>
          <cell r="F1499" t="str">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cell>
          <cell r="F1500" t="str">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cell>
          <cell r="F1501" t="str">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cell>
          <cell r="F1502" t="str">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cell>
          <cell r="F1503" t="str">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cell>
          <cell r="F1504" t="str">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cell>
          <cell r="F1505" t="str">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cell>
          <cell r="F1506" t="str">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cell>
          <cell r="F1507" t="str">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cell>
          <cell r="F1508" t="str">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cell>
          <cell r="F1509" t="str">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cell>
          <cell r="F1510" t="str">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cell>
          <cell r="F1511" t="str">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cell>
          <cell r="F1512" t="str">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cell>
          <cell r="F1513" t="str">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cell>
          <cell r="F1514" t="str">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cell>
          <cell r="F1515" t="str">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cell>
          <cell r="F1516" t="str">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cell>
          <cell r="F1517" t="str">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cell>
          <cell r="F1518" t="str">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cell>
          <cell r="F1519" t="str">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cell>
          <cell r="F1520" t="str">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cell>
          <cell r="F1521" t="str">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cell>
          <cell r="F1522" t="str">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cell>
          <cell r="F1523" t="str">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cell>
          <cell r="F1524" t="str">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cell>
          <cell r="F1525" t="str">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cell>
          <cell r="F1526" t="str">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cell>
          <cell r="F1527" t="str">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cell>
          <cell r="F1528" t="str">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cell>
          <cell r="F1529" t="str">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cell>
          <cell r="F1530" t="str">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cell>
          <cell r="F1531" t="str">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cell>
          <cell r="F1532" t="str">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cell>
          <cell r="F1533" t="str">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cell>
          <cell r="F1534" t="str">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cell>
          <cell r="F1535" t="str">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cell>
          <cell r="F1536" t="str">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cell>
          <cell r="F1537" t="str">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cell>
          <cell r="F1538" t="str">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cell>
          <cell r="F1539" t="str">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cell>
          <cell r="F1540" t="str">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cell>
          <cell r="F1541" t="str">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cell>
          <cell r="F1542" t="str">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cell>
          <cell r="F1543" t="str">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cell>
          <cell r="F1544" t="str">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cell>
          <cell r="F1545" t="str">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cell>
          <cell r="F1546" t="str">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cell>
          <cell r="F1547" t="str">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cell>
          <cell r="F1548" t="str">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cell>
          <cell r="F1549" t="str">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cell>
          <cell r="F1550" t="str">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cell>
          <cell r="F1551" t="str">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cell>
          <cell r="F1552" t="str">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cell>
          <cell r="F1553" t="str">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cell>
          <cell r="F1554" t="str">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cell>
          <cell r="F1555" t="str">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cell>
          <cell r="F1556" t="str">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cell>
          <cell r="F1557" t="str">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cell>
          <cell r="F1558" t="str">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cell>
          <cell r="F1559" t="str">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cell>
          <cell r="F1560" t="str">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cell>
          <cell r="F1561" t="str">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cell>
          <cell r="F1562" t="str">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cell>
          <cell r="F1563" t="str">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cell>
          <cell r="F1564" t="str">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cell>
          <cell r="F1565" t="str">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cell>
          <cell r="F1566" t="str">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cell>
          <cell r="F1567" t="str">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cell>
          <cell r="F1568" t="str">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cell>
          <cell r="F1569" t="str">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cell>
          <cell r="F1570" t="str">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cell>
          <cell r="F1571" t="str">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cell>
          <cell r="F1572" t="str">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cell>
          <cell r="F1573" t="str">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cell>
          <cell r="F1574" t="str">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cell>
          <cell r="F1575" t="str">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cell>
          <cell r="F1576" t="str">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cell>
          <cell r="F1577" t="str">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cell>
          <cell r="F1578" t="str">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cell>
          <cell r="F1579" t="str">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cell>
          <cell r="F1580" t="str">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cell>
          <cell r="F1581" t="str">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cell>
          <cell r="F1582" t="str">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cell>
          <cell r="F1583" t="str">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cell>
          <cell r="F1584" t="str">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cell>
          <cell r="F1585" t="str">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cell>
          <cell r="F1586" t="str">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cell>
          <cell r="F1587" t="str">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cell>
          <cell r="F1588" t="str">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cell>
          <cell r="F1589" t="str">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cell>
          <cell r="F1590" t="str">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cell>
          <cell r="F1591" t="str">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cell>
          <cell r="F1592" t="str">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cell>
          <cell r="F1593" t="str">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cell>
          <cell r="F1594" t="str">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cell>
          <cell r="F1595" t="str">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cell>
          <cell r="F1596" t="str">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cell>
          <cell r="F1597" t="str">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cell>
          <cell r="F1598" t="str">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cell>
          <cell r="F1599" t="str">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cell>
          <cell r="F1600" t="str">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cell>
          <cell r="F1601" t="str">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cell>
          <cell r="F1602" t="str">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cell>
          <cell r="F1603" t="str">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cell>
          <cell r="F1604" t="str">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cell>
          <cell r="F1605" t="str">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cell>
          <cell r="F1606" t="str">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cell>
          <cell r="F1607" t="str">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cell>
          <cell r="F1608" t="str">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cell>
          <cell r="F1609" t="str">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cell>
          <cell r="F1610" t="str">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cell>
          <cell r="F1611" t="str">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cell>
          <cell r="F1612" t="str">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cell>
          <cell r="F1613" t="str">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cell>
          <cell r="F1614" t="str">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cell>
          <cell r="F1615" t="str">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cell>
          <cell r="F1616" t="str">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cell>
          <cell r="F1617" t="str">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cell>
          <cell r="F1618" t="str">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cell>
          <cell r="F1619" t="str">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cell>
          <cell r="F1620" t="str">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cell>
          <cell r="F1621" t="str">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cell>
          <cell r="F1622" t="str">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cell>
          <cell r="F1623" t="str">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cell>
          <cell r="F1624" t="str">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cell>
          <cell r="F1625" t="str">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cell>
          <cell r="F1626" t="str">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cell>
          <cell r="F1627" t="str">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cell>
          <cell r="F1628" t="str">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cell>
          <cell r="F1629" t="str">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cell>
          <cell r="F1630" t="str">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cell>
          <cell r="F1631" t="str">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cell>
          <cell r="F1632" t="str">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cell>
          <cell r="F1633" t="str">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cell>
          <cell r="F1634" t="str">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cell>
          <cell r="F1635" t="str">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cell>
          <cell r="F1636" t="str">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cell>
          <cell r="F1637" t="str">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cell>
          <cell r="F1638" t="str">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cell>
          <cell r="F1639" t="str">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cell>
          <cell r="F1640" t="str">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cell>
          <cell r="F1641" t="str">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cell>
          <cell r="F1642" t="str">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cell>
          <cell r="F1643" t="str">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cell>
          <cell r="F1644" t="str">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cell>
          <cell r="F1645" t="str">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cell>
          <cell r="F1646" t="str">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cell>
          <cell r="F1647" t="str">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cell>
          <cell r="F1648" t="str">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cell>
          <cell r="F1649" t="str">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cell>
          <cell r="F1650" t="str">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cell>
          <cell r="F1651" t="str">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cell>
          <cell r="F1652" t="str">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cell>
          <cell r="F1653" t="str">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cell>
          <cell r="F1654" t="str">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cell>
          <cell r="F1655" t="str">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cell>
          <cell r="F1656" t="str">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cell>
          <cell r="F1657" t="str">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cell>
          <cell r="F1658" t="str">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cell>
          <cell r="F1659" t="str">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cell>
          <cell r="F1660" t="str">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cell>
          <cell r="F1661" t="str">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cell>
          <cell r="F1662" t="str">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cell>
          <cell r="F1663" t="str">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cell>
          <cell r="F1664" t="str">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cell>
          <cell r="F1665" t="str">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cell>
          <cell r="F1666" t="str">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cell>
          <cell r="F1667" t="str">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cell>
          <cell r="F1668" t="str">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cell>
          <cell r="F1669" t="str">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cell>
          <cell r="F1670" t="str">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cell>
          <cell r="F1671" t="str">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cell>
          <cell r="F1672" t="str">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cell>
          <cell r="F1673" t="str">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cell>
          <cell r="F1674" t="str">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cell>
          <cell r="F1675" t="str">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cell>
          <cell r="F1676" t="str">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cell>
          <cell r="F1677" t="str">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cell>
          <cell r="F1678" t="str">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cell>
          <cell r="F1679" t="str">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cell>
          <cell r="F1680" t="str">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cell>
          <cell r="F1681" t="str">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cell>
          <cell r="F1682" t="str">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cell>
          <cell r="F1683" t="str">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cell>
          <cell r="F1684" t="str">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cell>
          <cell r="F1685" t="str">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cell>
          <cell r="F1686" t="str">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cell>
          <cell r="F1687" t="str">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cell>
          <cell r="F1688" t="str">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cell>
          <cell r="F1689" t="str">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cell>
          <cell r="F1690" t="str">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cell>
          <cell r="F1691" t="str">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cell>
          <cell r="F1692" t="str">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cell>
          <cell r="F1693" t="str">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cell>
          <cell r="F1694" t="str">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cell>
          <cell r="F1695" t="str">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cell>
          <cell r="F1696" t="str">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cell>
          <cell r="F1697" t="str">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cell>
          <cell r="F1698" t="str">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cell>
          <cell r="F1699" t="str">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cell>
          <cell r="F1700" t="str">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cell>
          <cell r="F1701" t="str">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cell>
          <cell r="F1702" t="str">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cell>
          <cell r="F1703" t="str">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cell>
          <cell r="F1704" t="str">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cell>
          <cell r="F1705" t="str">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cell>
          <cell r="F1706" t="str">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cell>
          <cell r="F1707" t="str">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cell>
          <cell r="F1708" t="str">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cell>
          <cell r="F1709" t="str">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cell>
          <cell r="F1710" t="str">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cell>
          <cell r="F1711" t="str">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cell>
          <cell r="F1712" t="str">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cell>
          <cell r="F1713" t="str">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cell>
          <cell r="F1714" t="str">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cell>
          <cell r="F1715" t="str">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cell>
          <cell r="F1716" t="str">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cell>
          <cell r="F1717" t="str">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cell>
          <cell r="F1718" t="str">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cell>
          <cell r="F1719" t="str">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cell>
          <cell r="F1720" t="str">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cell>
          <cell r="F1721" t="str">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cell>
          <cell r="F1722" t="str">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cell>
          <cell r="F1723" t="str">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cell>
          <cell r="F1724" t="str">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cell>
          <cell r="F1725" t="str">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cell>
          <cell r="F1726" t="str">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cell>
          <cell r="F1727" t="str">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cell>
          <cell r="F1728" t="str">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cell>
          <cell r="F1729" t="str">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cell>
          <cell r="F1730" t="str">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cell>
          <cell r="F1731" t="str">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cell>
          <cell r="F1732" t="str">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cell>
          <cell r="F1733" t="str">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cell>
          <cell r="F1734" t="str">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cell>
          <cell r="F1735" t="str">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cell>
          <cell r="F1736" t="str">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cell>
          <cell r="F1737" t="str">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cell>
          <cell r="F1738" t="str">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cell>
          <cell r="F1739" t="str">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cell>
          <cell r="F1740" t="str">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cell>
          <cell r="F1741" t="str">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cell>
          <cell r="F1742" t="str">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cell>
          <cell r="F1743" t="str">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cell>
          <cell r="F1744" t="str">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cell>
          <cell r="F1745" t="str">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cell>
          <cell r="F1746" t="str">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cell>
          <cell r="F1747" t="str">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cell>
          <cell r="F1748" t="str">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cell>
          <cell r="F1749" t="str">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cell>
          <cell r="F1750" t="str">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cell>
          <cell r="F1751" t="str">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cell>
          <cell r="F1752" t="str">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cell>
          <cell r="F1753" t="str">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cell>
          <cell r="F1754" t="str">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cell>
          <cell r="F1755" t="str">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cell>
          <cell r="F1756" t="str">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cell>
          <cell r="F1757" t="str">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cell>
          <cell r="F1758" t="str">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cell>
          <cell r="F1759" t="str">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cell>
          <cell r="F1760" t="str">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cell>
          <cell r="F1761" t="str">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cell>
          <cell r="F1762" t="str">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cell>
          <cell r="F1763" t="str">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cell>
          <cell r="F1764" t="str">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cell>
          <cell r="F1765" t="str">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cell>
          <cell r="F1766" t="str">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cell>
          <cell r="F1767" t="str">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cell>
          <cell r="F1768" t="str">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cell>
          <cell r="F1769" t="str">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cell>
          <cell r="F1770" t="str">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cell>
          <cell r="F1771" t="str">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cell>
          <cell r="F1772" t="str">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cell>
          <cell r="F1773" t="str">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cell>
          <cell r="F1774" t="str">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cell>
          <cell r="F1775" t="str">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cell>
          <cell r="F1776" t="str">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cell>
          <cell r="F1777" t="str">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cell>
          <cell r="F1778" t="str">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cell>
          <cell r="F1779" t="str">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cell>
          <cell r="F1780" t="str">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cell>
          <cell r="F1781" t="str">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cell>
          <cell r="F1782" t="str">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cell>
          <cell r="F1783" t="str">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cell>
          <cell r="F1784" t="str">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cell>
          <cell r="F1785" t="str">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cell>
          <cell r="F1786" t="str">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cell>
          <cell r="F1787" t="str">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cell>
          <cell r="F1788" t="str">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cell>
          <cell r="F1789" t="str">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cell>
          <cell r="F1790" t="str">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cell>
          <cell r="F1791" t="str">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cell>
          <cell r="F1792" t="str">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cell>
          <cell r="F1793" t="str">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cell>
          <cell r="F1794" t="str">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cell>
          <cell r="F1795" t="str">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cell>
          <cell r="F1796" t="str">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cell>
          <cell r="F1797" t="str">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cell>
          <cell r="F1798" t="str">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cell>
          <cell r="F1799" t="str">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cell>
          <cell r="F1800" t="str">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cell>
          <cell r="F1801" t="str">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cell>
          <cell r="F1802" t="str">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cell>
          <cell r="F1803" t="str">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cell>
          <cell r="F1804" t="str">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cell>
          <cell r="F1805" t="str">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cell>
          <cell r="F1806" t="str">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cell>
          <cell r="F1807" t="str">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cell>
          <cell r="F1808" t="str">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cell>
          <cell r="F1809" t="str">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cell>
          <cell r="F1810" t="str">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cell>
          <cell r="F1811" t="str">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cell>
          <cell r="F1812" t="str">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cell>
          <cell r="F1813" t="str">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cell>
          <cell r="F1814" t="str">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cell>
          <cell r="F1815" t="str">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cell>
          <cell r="F1816" t="str">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cell>
          <cell r="F1817" t="str">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cell>
          <cell r="F1818" t="str">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cell>
          <cell r="F1819" t="str">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cell>
          <cell r="F1820" t="str">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cell>
          <cell r="F1821" t="str">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cell>
          <cell r="F1822" t="str">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cell>
          <cell r="F1823" t="str">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cell>
          <cell r="F1824" t="str">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cell>
          <cell r="F1825" t="str">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cell>
          <cell r="F1826" t="str">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cell>
          <cell r="F1827" t="str">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cell>
          <cell r="F1828" t="str">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cell>
          <cell r="F1829" t="str">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cell>
          <cell r="F1830" t="str">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cell>
          <cell r="F1831" t="str">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cell>
          <cell r="F1832" t="str">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cell>
          <cell r="F1833" t="str">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cell>
          <cell r="F1834" t="str">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cell>
          <cell r="F1835" t="str">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cell>
          <cell r="F1836" t="str">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cell>
          <cell r="F1837" t="str">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cell>
          <cell r="F1838" t="str">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cell>
          <cell r="F1839" t="str">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cell>
          <cell r="F1840" t="str">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cell>
          <cell r="F1841" t="str">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cell>
          <cell r="F1842" t="str">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cell>
          <cell r="F1843" t="str">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cell>
          <cell r="F1844" t="str">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cell>
          <cell r="F1845" t="str">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cell>
          <cell r="F1846" t="str">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cell>
          <cell r="F1847" t="str">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cell>
          <cell r="F1848" t="str">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cell>
          <cell r="F1849" t="str">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cell>
          <cell r="F1850" t="str">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cell>
          <cell r="F1851" t="str">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cell>
          <cell r="F1852" t="str">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cell>
          <cell r="F1853" t="str">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cell>
          <cell r="F1854" t="str">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cell>
          <cell r="F1855" t="str">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cell>
          <cell r="F1856" t="str">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cell>
          <cell r="F1857" t="str">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cell>
          <cell r="F1858" t="str">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cell>
          <cell r="F1859" t="str">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cell>
          <cell r="F1860" t="str">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cell>
          <cell r="F1861" t="str">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cell>
          <cell r="F1862" t="str">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cell>
          <cell r="F1863" t="str">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cell>
          <cell r="F1864" t="str">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cell>
          <cell r="F1865" t="str">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cell>
          <cell r="F1866" t="str">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cell>
          <cell r="F1867" t="str">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cell>
          <cell r="F1868" t="str">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cell>
          <cell r="F1869" t="str">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cell>
          <cell r="F1870" t="str">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cell>
          <cell r="F1871" t="str">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cell>
          <cell r="F1872" t="str">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cell>
          <cell r="F1873" t="str">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cell>
          <cell r="F1874" t="str">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cell>
          <cell r="F1875" t="str">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cell>
          <cell r="F1879" t="str">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cell>
          <cell r="F1880" t="str">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cell>
          <cell r="F1881" t="str">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cell>
          <cell r="F1882" t="str">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cell>
          <cell r="F1883" t="str">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cell>
          <cell r="F1884" t="str">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cell>
          <cell r="F1885" t="str">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cell>
          <cell r="F1886" t="str">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cell>
          <cell r="F1887" t="str">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cell>
          <cell r="F1888" t="str">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cell>
          <cell r="F1889" t="str">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cell>
          <cell r="F1890" t="str">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cell>
          <cell r="F1891" t="str">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cell>
          <cell r="F1892" t="str">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cell>
          <cell r="F1893" t="str">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cell>
          <cell r="F1894" t="str">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cell>
          <cell r="F1895" t="str">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cell>
          <cell r="F1896" t="str">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cell>
          <cell r="F1897" t="str">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cell>
          <cell r="F1898" t="str">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cell>
          <cell r="F1899" t="str">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cell>
          <cell r="F1900" t="str">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cell>
          <cell r="F1901" t="str">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cell>
          <cell r="F1902" t="str">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cell>
          <cell r="F1903" t="str">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cell>
          <cell r="F1904" t="str">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cell>
          <cell r="F1905" t="str">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cell>
          <cell r="F1906" t="str">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cell>
          <cell r="F1907" t="str">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cell>
          <cell r="F1908" t="str">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cell>
          <cell r="F1909" t="str">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cell>
          <cell r="F1910" t="str">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cell>
          <cell r="F1911" t="str">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cell>
          <cell r="F1912" t="str">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cell>
          <cell r="F1913" t="str">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cell>
          <cell r="F1914" t="str">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cell>
          <cell r="F1915" t="str">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cell>
          <cell r="F1916" t="str">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cell>
          <cell r="F1917" t="str">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cell>
          <cell r="F1918" t="str">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cell>
          <cell r="F1919" t="str">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cell>
          <cell r="F1920" t="str">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cell>
          <cell r="F1921" t="str">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cell>
          <cell r="F1922" t="str">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cell>
          <cell r="F1923" t="str">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cell>
          <cell r="F1924" t="str">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cell>
          <cell r="F1925" t="str">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cell>
          <cell r="F1926" t="str">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cell>
          <cell r="F1927" t="str">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cell>
          <cell r="F1928" t="str">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cell>
          <cell r="F1929" t="str">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cell>
          <cell r="F1930" t="str">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cell>
          <cell r="F1931" t="str">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cell>
          <cell r="F1932" t="str">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cell>
          <cell r="F1933" t="str">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cell>
          <cell r="F1934" t="str">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cell>
          <cell r="F1935" t="str">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cell>
          <cell r="F1936" t="str">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cell>
          <cell r="F1937" t="str">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cell>
          <cell r="F1938" t="str">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cell>
          <cell r="F1939" t="str">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cell>
          <cell r="F1940" t="str">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cell>
          <cell r="F1941" t="str">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cell>
          <cell r="F1942" t="str">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cell>
          <cell r="F1943" t="str">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cell>
          <cell r="F1944" t="str">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cell>
          <cell r="F1945" t="str">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cell>
          <cell r="F1946" t="str">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cell>
          <cell r="F1947" t="str">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cell>
          <cell r="F1948" t="str">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cell>
          <cell r="F1949" t="str">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cell>
          <cell r="F1950" t="str">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cell>
          <cell r="F1951" t="str">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cell>
          <cell r="F1952" t="str">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cell>
          <cell r="F1953" t="str">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cell>
          <cell r="F1954" t="str">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cell>
          <cell r="F1955" t="str">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cell>
          <cell r="F1956" t="str">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cell>
          <cell r="F1957" t="str">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cell>
          <cell r="F1958" t="str">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cell>
          <cell r="F1959" t="str">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cell>
          <cell r="F1960" t="str">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cell>
          <cell r="F1961" t="str">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cell>
          <cell r="F1962" t="str">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cell>
          <cell r="F1963" t="str">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cell>
          <cell r="F1964" t="str">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cell>
          <cell r="F1965" t="str">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cell>
          <cell r="F1966" t="str">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cell>
          <cell r="F1967" t="str">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cell>
          <cell r="F1968" t="str">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cell>
          <cell r="F1969" t="str">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cell>
          <cell r="F1970" t="str">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cell>
          <cell r="F1971" t="str">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cell>
          <cell r="F1972" t="str">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cell>
          <cell r="F1973" t="str">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cell>
          <cell r="F1974" t="str">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cell>
          <cell r="F1975" t="str">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cell>
          <cell r="F1976" t="str">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cell>
          <cell r="F1977" t="str">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cell>
          <cell r="F1978" t="str">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cell>
          <cell r="F1979" t="str">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cell>
          <cell r="F1980" t="str">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cell>
          <cell r="F1981" t="str">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cell>
          <cell r="F1982" t="str">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cell>
          <cell r="F1983" t="str">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cell>
          <cell r="F1984" t="str">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cell>
          <cell r="F1985" t="str">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cell>
          <cell r="F1986" t="str">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cell>
          <cell r="F1987" t="str">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cell>
          <cell r="F1988" t="str">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cell>
          <cell r="F1989" t="str">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cell>
          <cell r="F1990" t="str">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cell>
          <cell r="F1991" t="str">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cell>
          <cell r="F1992" t="str">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cell>
          <cell r="F1993" t="str">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cell>
          <cell r="F1994" t="str">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cell>
          <cell r="F1995" t="str">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cell>
          <cell r="F1996" t="str">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cell>
          <cell r="F1997" t="str">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cell>
          <cell r="F1998" t="str">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cell>
          <cell r="F1999" t="str">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cell>
          <cell r="F2000" t="str">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cell>
          <cell r="F2001" t="str">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cell>
          <cell r="F2002" t="str">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cell>
          <cell r="F2003" t="str">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cell>
          <cell r="F2004" t="str">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cell>
          <cell r="F2005" t="str">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cell>
          <cell r="F2006" t="str">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cell>
          <cell r="F2007" t="str">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cell>
          <cell r="F2008" t="str">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cell>
          <cell r="F2009" t="str">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cell>
          <cell r="F2010" t="str">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cell>
          <cell r="F2011" t="str">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cell>
          <cell r="F2012" t="str">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cell>
          <cell r="F2013" t="str">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cell>
          <cell r="F2014" t="str">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cell>
          <cell r="F2015" t="str">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cell>
          <cell r="F2016" t="str">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cell>
          <cell r="F2017" t="str">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cell>
          <cell r="F2018" t="str">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cell>
          <cell r="F2019" t="str">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cell>
          <cell r="F2020" t="str">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cell>
          <cell r="F2021" t="str">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cell>
          <cell r="F2022" t="str">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cell>
          <cell r="F2023" t="str">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cell>
          <cell r="F2024" t="str">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cell>
          <cell r="F2025" t="str">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cell>
          <cell r="F2026" t="str">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cell>
          <cell r="F2027" t="str">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cell>
          <cell r="F2028" t="str">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cell>
          <cell r="F2029" t="str">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cell>
          <cell r="F2030" t="str">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cell>
          <cell r="F2031" t="str">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cell>
          <cell r="F2032" t="str">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cell>
          <cell r="F2033" t="str">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cell>
          <cell r="F2034" t="str">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cell>
          <cell r="F2035" t="str">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cell>
          <cell r="F2036" t="str">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cell>
          <cell r="F2037" t="str">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cell>
          <cell r="F2038" t="str">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cell>
          <cell r="F2039" t="str">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cell>
          <cell r="F2040" t="str">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cell>
          <cell r="F2041" t="str">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cell>
          <cell r="F2042" t="str">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cell>
          <cell r="F2043" t="str">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cell>
          <cell r="F2044" t="str">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cell>
          <cell r="F2045" t="str">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cell>
          <cell r="F2046" t="str">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cell>
          <cell r="F2047" t="str">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cell>
          <cell r="F2048" t="str">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cell>
          <cell r="F2049" t="str">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cell>
          <cell r="F2050" t="str">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cell>
          <cell r="F2051" t="str">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cell>
          <cell r="F2052" t="str">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cell>
          <cell r="F2053" t="str">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cell>
          <cell r="F2054" t="str">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cell>
          <cell r="F2055" t="str">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cell>
          <cell r="F2056" t="str">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cell>
          <cell r="F2057" t="str">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cell>
          <cell r="F2058" t="str">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cell>
          <cell r="F2059" t="str">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cell>
          <cell r="F2060" t="str">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cell>
          <cell r="F2061" t="str">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cell>
          <cell r="F2062" t="str">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cell>
          <cell r="F2063" t="str">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cell>
          <cell r="F2064" t="str">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cell>
          <cell r="F2065" t="str">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cell>
          <cell r="F2066" t="str">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cell>
          <cell r="F2067" t="str">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cell>
          <cell r="F2068" t="str">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cell>
          <cell r="F2069" t="str">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cell>
          <cell r="F2070" t="str">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cell>
          <cell r="F2071" t="str">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cell>
          <cell r="F2072" t="str">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cell>
          <cell r="F2073" t="str">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cell>
          <cell r="F2074" t="str">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cell>
          <cell r="F2075" t="str">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cell>
          <cell r="F2076" t="str">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cell>
          <cell r="F2077" t="str">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cell>
          <cell r="F2078" t="str">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cell>
          <cell r="F2079" t="str">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cell>
          <cell r="F2080" t="str">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cell>
          <cell r="F2081" t="str">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cell>
          <cell r="F2082" t="str">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cell>
          <cell r="F2083" t="str">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cell>
          <cell r="F2084" t="str">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cell>
          <cell r="F2085" t="str">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cell>
          <cell r="F2086" t="str">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cell>
          <cell r="F2087" t="str">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cell>
          <cell r="F2088" t="str">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cell>
          <cell r="F2089" t="str">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cell>
          <cell r="F2090" t="str">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cell>
          <cell r="F2091" t="str">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cell>
          <cell r="F2092" t="str">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cell>
          <cell r="F2093" t="str">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cell>
          <cell r="F2094" t="str">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cell>
          <cell r="F2095" t="str">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cell>
          <cell r="F2096" t="str">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cell>
          <cell r="F2097" t="str">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cell>
          <cell r="F2098" t="str">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cell>
          <cell r="F2099" t="str">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cell>
          <cell r="F2100" t="str">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cell>
          <cell r="F2101" t="str">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cell>
          <cell r="F2102" t="str">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cell>
          <cell r="F2103" t="str">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cell>
          <cell r="F2104" t="str">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cell>
          <cell r="F2105" t="str">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cell>
          <cell r="F2106" t="str">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cell>
          <cell r="F2107" t="str">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cell>
          <cell r="F2108" t="str">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cell>
          <cell r="F2109" t="str">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cell>
          <cell r="F2110" t="str">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cell>
          <cell r="F2111" t="str">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cell>
          <cell r="F2112" t="str">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cell>
          <cell r="F2113" t="str">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cell>
          <cell r="F2114" t="str">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cell>
          <cell r="F2115" t="str">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cell>
          <cell r="F2116" t="str">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cell>
          <cell r="F2117" t="str">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cell>
          <cell r="F2118" t="str">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cell>
          <cell r="F2119" t="str">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cell>
          <cell r="F2120" t="str">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cell>
          <cell r="F2121" t="str">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cell>
          <cell r="F2122" t="str">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cell>
          <cell r="F2123" t="str">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cell>
          <cell r="F2124" t="str">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cell>
          <cell r="F2125" t="str">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cell>
          <cell r="F2126" t="str">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cell>
          <cell r="F2127" t="str">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cell>
          <cell r="F2128" t="str">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cell>
          <cell r="F2129" t="str">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cell>
          <cell r="F2130" t="str">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cell>
          <cell r="F2131" t="str">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cell>
          <cell r="F2132" t="str">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cell>
          <cell r="F2133" t="str">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cell>
          <cell r="F2134" t="str">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cell>
          <cell r="F2135" t="str">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cell>
          <cell r="F2136" t="str">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cell>
          <cell r="F2137" t="str">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cell>
          <cell r="F2138" t="str">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cell>
          <cell r="F2139" t="str">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cell>
          <cell r="F2140" t="str">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cell>
          <cell r="F2141" t="str">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cell>
          <cell r="F2142" t="str">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cell>
          <cell r="F2143" t="str">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cell>
          <cell r="F2144" t="str">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cell>
          <cell r="F2145" t="str">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cell>
          <cell r="F2146" t="str">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cell>
          <cell r="F2147" t="str">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cell>
          <cell r="F2148" t="str">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cell>
          <cell r="F2149" t="str">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cell>
          <cell r="F2150" t="str">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cell>
          <cell r="F2151" t="str">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cell>
          <cell r="F2152" t="str">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cell>
          <cell r="F2153" t="str">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cell>
          <cell r="F2154" t="str">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cell>
          <cell r="F2155" t="str">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cell>
          <cell r="F2156" t="str">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cell>
          <cell r="F2157" t="str">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cell>
          <cell r="F2158" t="str">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cell>
          <cell r="F2159" t="str">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cell>
          <cell r="F2160" t="str">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cell>
          <cell r="F2161" t="str">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cell>
          <cell r="F2162" t="str">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cell>
          <cell r="F2163" t="str">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cell>
          <cell r="F2164" t="str">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cell>
          <cell r="F2165" t="str">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cell>
          <cell r="F2166" t="str">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cell>
          <cell r="F2167" t="str">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cell>
          <cell r="F2168" t="str">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cell>
          <cell r="F2169" t="str">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cell>
          <cell r="F2170" t="str">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cell>
          <cell r="F2171" t="str">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cell>
          <cell r="F2172" t="str">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cell>
          <cell r="F2173" t="str">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cell>
          <cell r="F2174" t="str">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cell>
          <cell r="F2175" t="str">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cell>
          <cell r="F2176" t="str">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cell>
          <cell r="F2177" t="str">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cell>
          <cell r="F2178" t="str">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cell>
          <cell r="F2179" t="str">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cell>
          <cell r="F2180" t="str">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cell>
          <cell r="F2181" t="str">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cell>
          <cell r="F2182" t="str">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cell>
          <cell r="F2183" t="str">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cell>
          <cell r="F2184" t="str">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cell>
          <cell r="F2185" t="str">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cell>
          <cell r="F2186" t="str">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cell>
          <cell r="F2187" t="str">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cell>
          <cell r="F2188" t="str">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cell>
          <cell r="F2189" t="str">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cell>
          <cell r="F2190" t="str">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cell>
          <cell r="F2191" t="str">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cell>
          <cell r="F2192" t="str">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cell>
          <cell r="F2193" t="str">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cell>
          <cell r="F2194" t="str">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cell>
          <cell r="F2195" t="str">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cell>
          <cell r="F2196" t="str">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cell>
          <cell r="F2197" t="str">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cell>
          <cell r="F2198" t="str">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cell>
          <cell r="F2199" t="str">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cell>
          <cell r="F2200" t="str">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cell>
          <cell r="F2201" t="str">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cell>
          <cell r="F2202" t="str">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cell>
          <cell r="F2203" t="str">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cell>
          <cell r="F2204" t="str">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cell>
          <cell r="F2205" t="str">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cell>
          <cell r="F2206" t="str">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cell>
          <cell r="F2207" t="str">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cell>
          <cell r="F2208" t="str">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cell>
          <cell r="F2209" t="str">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cell>
          <cell r="F2210" t="str">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cell>
          <cell r="F2211" t="str">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cell>
          <cell r="F2212" t="str">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cell>
          <cell r="F2213" t="str">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cell>
          <cell r="F2214" t="str">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cell>
          <cell r="F2215" t="str">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cell>
          <cell r="F2216" t="str">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cell>
          <cell r="F2217" t="str">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cell>
          <cell r="F2218" t="str">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cell>
          <cell r="F2219" t="str">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cell>
          <cell r="F2220" t="str">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cell>
          <cell r="F2221" t="str">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cell>
          <cell r="F2222" t="str">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cell>
          <cell r="F2223" t="str">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cell>
          <cell r="F2224" t="str">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cell>
          <cell r="F2225" t="str">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cell>
          <cell r="F2226" t="str">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cell>
          <cell r="F2227" t="str">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cell>
          <cell r="F2228" t="str">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cell>
          <cell r="F2229" t="str">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cell>
          <cell r="F2230" t="str">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cell>
          <cell r="F2231" t="str">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cell>
          <cell r="F2232" t="str">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cell>
          <cell r="F2233" t="str">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cell>
          <cell r="F2234" t="str">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cell>
          <cell r="F2235" t="str">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cell>
          <cell r="F2236" t="str">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cell>
          <cell r="F2237" t="str">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cell>
          <cell r="F2238" t="str">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cell>
          <cell r="F2239" t="str">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cell>
          <cell r="F2240" t="str">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cell>
          <cell r="F2241" t="str">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cell>
          <cell r="F2242" t="str">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cell>
          <cell r="F2243" t="str">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cell>
          <cell r="F2244" t="str">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cell>
          <cell r="F2245" t="str">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cell>
          <cell r="F2247" t="str">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cell>
          <cell r="F2248" t="str">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cell>
          <cell r="F2249" t="str">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cell>
          <cell r="F2250" t="str">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cell>
          <cell r="F2251" t="str">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cell>
          <cell r="F2252" t="str">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cell>
          <cell r="F2253" t="str">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cell>
          <cell r="F2254" t="str">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cell>
          <cell r="F2255" t="str">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cell>
          <cell r="F2256" t="str">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cell>
          <cell r="F2262" t="str">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cell>
          <cell r="F2264" t="str">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cell>
          <cell r="F2265" t="str">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cell>
          <cell r="F2266" t="str">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cell>
          <cell r="F2267" t="str">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cell>
          <cell r="F2268" t="str">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cell>
          <cell r="F2269" t="str">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cell>
          <cell r="F2270" t="str">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cell>
          <cell r="F2271" t="str">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cell>
          <cell r="F2272" t="str">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cell>
          <cell r="F2273" t="str">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cell>
          <cell r="F2275" t="str">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cell>
          <cell r="F2276" t="str">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cell>
          <cell r="F2278" t="str">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cell>
          <cell r="F2279" t="str">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cell>
          <cell r="F2282" t="str">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cell>
          <cell r="F2283" t="str">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cell>
          <cell r="F2284" t="str">
            <v/>
          </cell>
          <cell r="G2284" t="str">
            <v>EXPENDITURE</v>
          </cell>
          <cell r="H2284" t="str">
            <v>DEPRECIATION</v>
          </cell>
          <cell r="I2284" t="str">
            <v>DEPRECIATION</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
          <cell r="C3" t="str">
            <v>Portalplayer (India) Private Limited</v>
          </cell>
        </row>
        <row r="4">
          <cell r="C4" t="str">
            <v>Plot No:249, Prashasan Nagar,Road No:72, Jubilee Hills,Hyderabad-500 034.</v>
          </cell>
        </row>
        <row r="7">
          <cell r="C7" t="str">
            <v>Private Limited Company</v>
          </cell>
        </row>
        <row r="11">
          <cell r="C11" t="str">
            <v>AABCP7418F</v>
          </cell>
        </row>
        <row r="16">
          <cell r="C16" t="str">
            <v>Partner</v>
          </cell>
        </row>
        <row r="19">
          <cell r="C19" t="str">
            <v>Deloitte Haskins &amp; Sells</v>
          </cell>
        </row>
        <row r="20">
          <cell r="C20" t="str">
            <v>P.R. Ramesh</v>
          </cell>
        </row>
        <row r="23">
          <cell r="C23" t="str">
            <v>M.No: 70928</v>
          </cell>
        </row>
        <row r="24">
          <cell r="C24" t="str">
            <v>Chartered Accountants,7th Floor, Amrutha Estates,Lingapur House,Himayathnagar,Hyderabad-500 029.</v>
          </cell>
        </row>
        <row r="40">
          <cell r="C40" t="str">
            <v>August 5, 2006</v>
          </cell>
        </row>
        <row r="43">
          <cell r="C43" t="str">
            <v>Hyderabad</v>
          </cell>
        </row>
        <row r="45">
          <cell r="C45" t="str">
            <v>Software Development</v>
          </cell>
        </row>
        <row r="46">
          <cell r="C46" t="str">
            <v>Mercantile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NL"/>
      <sheetName val="SCHEDULE"/>
      <sheetName val="Dep-bs"/>
      <sheetName val="Comp-F"/>
      <sheetName val="MAT-115JB"/>
      <sheetName val="ABSTRACT"/>
      <sheetName val="Def-tax"/>
      <sheetName val="Trial Balance(2005-06)"/>
      <sheetName val="115JB"/>
      <sheetName val="computation "/>
    </sheetNames>
    <sheetDataSet>
      <sheetData sheetId="0">
        <row r="8">
          <cell r="G8" t="str">
            <v>As at</v>
          </cell>
        </row>
        <row r="9">
          <cell r="F9" t="str">
            <v>Schedules</v>
          </cell>
          <cell r="G9" t="str">
            <v>March 31, 2006</v>
          </cell>
        </row>
        <row r="10">
          <cell r="F10" t="str">
            <v>No.</v>
          </cell>
          <cell r="G10" t="str">
            <v>Rs.</v>
          </cell>
          <cell r="H10" t="str">
            <v>Rs.</v>
          </cell>
        </row>
        <row r="13">
          <cell r="C13" t="str">
            <v>SOURCES OF FUNDS</v>
          </cell>
        </row>
        <row r="15">
          <cell r="C15" t="str">
            <v>Shareholders' funds</v>
          </cell>
        </row>
        <row r="16">
          <cell r="C16" t="str">
            <v>Share capital</v>
          </cell>
          <cell r="F16">
            <v>1</v>
          </cell>
          <cell r="H16">
            <v>26943750</v>
          </cell>
        </row>
        <row r="18">
          <cell r="C18" t="str">
            <v>Deferred tax liability</v>
          </cell>
          <cell r="H18">
            <v>66913.723799999992</v>
          </cell>
        </row>
        <row r="20">
          <cell r="H20">
            <v>27010663.7238</v>
          </cell>
        </row>
        <row r="22">
          <cell r="C22" t="str">
            <v>APPLICATION OF FUNDS</v>
          </cell>
        </row>
        <row r="24">
          <cell r="C24" t="str">
            <v>Fixed assets</v>
          </cell>
        </row>
        <row r="25">
          <cell r="C25" t="str">
            <v>(a)  Gross book value</v>
          </cell>
          <cell r="F25">
            <v>2</v>
          </cell>
          <cell r="G25">
            <v>865649</v>
          </cell>
        </row>
        <row r="26">
          <cell r="C26" t="str">
            <v>(b)  Less: Accumulated depreciation</v>
          </cell>
          <cell r="G26">
            <v>484688</v>
          </cell>
        </row>
        <row r="27">
          <cell r="H27">
            <v>380961</v>
          </cell>
        </row>
        <row r="29">
          <cell r="C29" t="str">
            <v>Current assets, loans and advances</v>
          </cell>
        </row>
        <row r="30">
          <cell r="C30" t="str">
            <v>(a)  Cash &amp; bank balances</v>
          </cell>
          <cell r="F30">
            <v>3</v>
          </cell>
          <cell r="G30">
            <v>213316.2</v>
          </cell>
        </row>
        <row r="31">
          <cell r="C31" t="str">
            <v>(b)  Other Current Assets</v>
          </cell>
          <cell r="F31">
            <v>4</v>
          </cell>
          <cell r="G31">
            <v>65500</v>
          </cell>
        </row>
        <row r="32">
          <cell r="C32" t="str">
            <v>(c)  Loans and advances</v>
          </cell>
          <cell r="F32">
            <v>5</v>
          </cell>
          <cell r="G32">
            <v>93154</v>
          </cell>
        </row>
        <row r="33">
          <cell r="G33">
            <v>371970.2</v>
          </cell>
        </row>
        <row r="34">
          <cell r="C34" t="str">
            <v>Less: Current liabilities</v>
          </cell>
          <cell r="F34">
            <v>6</v>
          </cell>
          <cell r="G34">
            <v>79898.95</v>
          </cell>
        </row>
        <row r="35">
          <cell r="C35" t="str">
            <v>Net current assets</v>
          </cell>
          <cell r="H35">
            <v>292071.25</v>
          </cell>
        </row>
        <row r="38">
          <cell r="C38" t="str">
            <v>Profit &amp; loss account (Debit balance)</v>
          </cell>
          <cell r="H38">
            <v>26337631.503800001</v>
          </cell>
        </row>
        <row r="40">
          <cell r="C40" t="str">
            <v>Notes to the accounts</v>
          </cell>
          <cell r="F40">
            <v>11</v>
          </cell>
        </row>
        <row r="41">
          <cell r="H41">
            <v>27010663.753800001</v>
          </cell>
        </row>
        <row r="43">
          <cell r="C43" t="str">
            <v>Notes to the Accounts</v>
          </cell>
          <cell r="D43">
            <v>14</v>
          </cell>
          <cell r="F43">
            <v>14</v>
          </cell>
          <cell r="G43" t="str">
            <v/>
          </cell>
          <cell r="H43" t="str">
            <v/>
          </cell>
        </row>
        <row r="44">
          <cell r="H44">
            <v>-3.0000001192092896E-2</v>
          </cell>
        </row>
        <row r="45">
          <cell r="H45">
            <v>-3.0000001192092896E-2</v>
          </cell>
        </row>
        <row r="51">
          <cell r="G51" t="str">
            <v>For and on behalf of the Board</v>
          </cell>
        </row>
        <row r="57">
          <cell r="G57" t="str">
            <v>Ranjit Shastri</v>
          </cell>
        </row>
        <row r="58">
          <cell r="G58" t="str">
            <v>[Director]</v>
          </cell>
        </row>
      </sheetData>
      <sheetData sheetId="1"/>
      <sheetData sheetId="2"/>
      <sheetData sheetId="3"/>
      <sheetData sheetId="4" refreshError="1"/>
      <sheetData sheetId="5"/>
      <sheetData sheetId="6" refreshError="1"/>
      <sheetData sheetId="7" refreshError="1"/>
      <sheetData sheetId="8"/>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o"/>
      <sheetName val="Schedule Listing"/>
      <sheetName val="Trading Update"/>
      <sheetName val="KPI Summary"/>
      <sheetName val="Financial Overview"/>
      <sheetName val="1st&amp;2nd Half"/>
      <sheetName val="P&amp;L Bridge"/>
      <sheetName val="P &amp; L Bridge vs Forecast"/>
      <sheetName val="P &amp; L Bridge vs Plan"/>
      <sheetName val="P &amp; L Bridge vs Last Year"/>
      <sheetName val="Cashflow Analysis"/>
      <sheetName val="Cashflow Bridge FY"/>
      <sheetName val="Cashflow Bridge vs Forecast FY"/>
      <sheetName val="Cashflow Bridge vs Plan FY"/>
      <sheetName val="Cashflow Bridge vs Last Year FY"/>
      <sheetName val="Cashflow Bridge HY"/>
      <sheetName val="Cashflow Bridge vs Forecast HY"/>
      <sheetName val="Cashflow Bridge vs Plan HY"/>
      <sheetName val="Cashflow Bridge vs Last Year HY"/>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6"/>
      <sheetName val="cover for tax"/>
      <sheetName val="FORM_16"/>
      <sheetName val="Assume"/>
      <sheetName val="TB9899"/>
      <sheetName val="Thomas_00_01_FINAL_18july"/>
      <sheetName val="Fixed Assets-Last year"/>
      <sheetName val="BS Schdl- 1 &amp; 2"/>
      <sheetName val="Ref"/>
      <sheetName val="Input Form"/>
      <sheetName val="Eqpmnt Plng"/>
      <sheetName val="DPR 31st march"/>
      <sheetName val="database-NO"/>
      <sheetName val="Edge_Multiservice"/>
      <sheetName val="Input_Form"/>
      <sheetName val="Eqpmnt_Plng"/>
      <sheetName val="DPR_31st_march"/>
      <sheetName val="for challans"/>
      <sheetName val="CRITERIA4"/>
      <sheetName val="Assumptions"/>
      <sheetName val="DATA CH. 281"/>
      <sheetName val="Pub Rts 1.5 Standalon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Page 2"/>
      <sheetName val="Page 3"/>
      <sheetName val="Page 4"/>
      <sheetName val="Page 5"/>
      <sheetName val="Page 6"/>
      <sheetName val="Page 7"/>
      <sheetName val="Acknowledgement"/>
      <sheetName val="Computation "/>
      <sheetName val="Annexure1"/>
      <sheetName val="ANNEXURE 2"/>
      <sheetName val="men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kks vs. records (2)"/>
      <sheetName val="Bokks vs. records"/>
      <sheetName val="Service tax payments"/>
      <sheetName val="Interest - Corporation bank"/>
      <sheetName val="ICICI &amp; TMBL interest"/>
      <sheetName val="Gratuity"/>
      <sheetName val="Bonus"/>
      <sheetName val="PL-paid (given by Bodena Sir)"/>
      <sheetName val="PL"/>
      <sheetName val="bodenna-sales-2008"/>
    </sheetNames>
    <sheetDataSet>
      <sheetData sheetId="0"/>
      <sheetData sheetId="1" refreshError="1"/>
      <sheetData sheetId="2" refreshError="1"/>
      <sheetData sheetId="3" refreshError="1"/>
      <sheetData sheetId="4">
        <row r="4">
          <cell r="J4">
            <v>3997594.5</v>
          </cell>
        </row>
        <row r="5">
          <cell r="J5">
            <v>115583</v>
          </cell>
        </row>
        <row r="6">
          <cell r="J6">
            <v>1406509</v>
          </cell>
        </row>
        <row r="7">
          <cell r="J7">
            <v>373421</v>
          </cell>
        </row>
        <row r="8">
          <cell r="J8">
            <v>353</v>
          </cell>
        </row>
        <row r="9">
          <cell r="J9">
            <v>487661.6</v>
          </cell>
        </row>
        <row r="10">
          <cell r="J10">
            <v>100486</v>
          </cell>
        </row>
        <row r="11">
          <cell r="J11">
            <v>101264</v>
          </cell>
        </row>
        <row r="12">
          <cell r="J12">
            <v>102452</v>
          </cell>
        </row>
        <row r="13">
          <cell r="J13">
            <v>226073</v>
          </cell>
        </row>
        <row r="14">
          <cell r="J14">
            <v>388300</v>
          </cell>
        </row>
        <row r="15">
          <cell r="J15">
            <v>-190906</v>
          </cell>
        </row>
        <row r="16">
          <cell r="J16">
            <v>53710</v>
          </cell>
        </row>
        <row r="17">
          <cell r="J17">
            <v>14267</v>
          </cell>
        </row>
        <row r="18">
          <cell r="J18">
            <v>40701</v>
          </cell>
        </row>
        <row r="19">
          <cell r="J19">
            <v>131757</v>
          </cell>
        </row>
        <row r="20">
          <cell r="J20">
            <v>56242</v>
          </cell>
        </row>
        <row r="21">
          <cell r="J21">
            <v>14939</v>
          </cell>
        </row>
        <row r="22">
          <cell r="J22">
            <v>42621</v>
          </cell>
        </row>
        <row r="23">
          <cell r="J23">
            <v>137969</v>
          </cell>
        </row>
        <row r="24">
          <cell r="J24">
            <v>104885</v>
          </cell>
        </row>
        <row r="25">
          <cell r="J25">
            <v>97021</v>
          </cell>
        </row>
        <row r="26">
          <cell r="J26">
            <v>93163</v>
          </cell>
        </row>
        <row r="27">
          <cell r="J27">
            <v>97766</v>
          </cell>
        </row>
        <row r="28">
          <cell r="J28">
            <v>90553</v>
          </cell>
        </row>
      </sheetData>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Summary"/>
      <sheetName val="Main Sheet"/>
      <sheetName val="VRXP"/>
      <sheetName val="V.Ins"/>
      <sheetName val="Sw"/>
      <sheetName val="Rent others"/>
      <sheetName val="Rent Guest House Actual"/>
      <sheetName val="Int. on HP"/>
      <sheetName val="Fuel Charges"/>
      <sheetName val="Subscription"/>
      <sheetName val="Entertainment"/>
      <sheetName val="SIE Admin &amp; Corp"/>
      <sheetName val="4219020-SIE Advert"/>
      <sheetName val="4219021-SIE P&amp;S"/>
      <sheetName val="Dont Alter"/>
      <sheetName val="Sheet1"/>
      <sheetName val="Fbt SANDEEP"/>
    </sheetNames>
    <sheetDataSet>
      <sheetData sheetId="0"/>
      <sheetData sheetId="1"/>
      <sheetData sheetId="2"/>
      <sheetData sheetId="3"/>
      <sheetData sheetId="4"/>
      <sheetData sheetId="5"/>
      <sheetData sheetId="6"/>
      <sheetData sheetId="7"/>
      <sheetData sheetId="8"/>
      <sheetData sheetId="9"/>
      <sheetData sheetId="10">
        <row r="2">
          <cell r="D2">
            <v>2090</v>
          </cell>
        </row>
        <row r="3">
          <cell r="D3">
            <v>10658</v>
          </cell>
        </row>
        <row r="4">
          <cell r="D4">
            <v>414</v>
          </cell>
        </row>
        <row r="5">
          <cell r="D5">
            <v>5000</v>
          </cell>
        </row>
        <row r="6">
          <cell r="D6">
            <v>3274.12</v>
          </cell>
        </row>
        <row r="7">
          <cell r="D7">
            <v>1515</v>
          </cell>
        </row>
        <row r="8">
          <cell r="D8">
            <v>2080.86</v>
          </cell>
        </row>
        <row r="9">
          <cell r="D9">
            <v>110</v>
          </cell>
        </row>
        <row r="10">
          <cell r="D10">
            <v>1650</v>
          </cell>
        </row>
        <row r="11">
          <cell r="D11">
            <v>20000</v>
          </cell>
        </row>
        <row r="12">
          <cell r="D12">
            <v>89888</v>
          </cell>
        </row>
        <row r="13">
          <cell r="D13">
            <v>70000</v>
          </cell>
        </row>
        <row r="14">
          <cell r="D14">
            <v>1150</v>
          </cell>
        </row>
        <row r="15">
          <cell r="D15">
            <v>3160.35</v>
          </cell>
        </row>
        <row r="16">
          <cell r="D16">
            <v>11242</v>
          </cell>
        </row>
        <row r="17">
          <cell r="D17">
            <v>1200</v>
          </cell>
        </row>
        <row r="18">
          <cell r="D18">
            <v>581</v>
          </cell>
        </row>
        <row r="19">
          <cell r="D19">
            <v>60</v>
          </cell>
        </row>
        <row r="20">
          <cell r="D20">
            <v>180</v>
          </cell>
        </row>
        <row r="21">
          <cell r="D21">
            <v>380</v>
          </cell>
        </row>
        <row r="22">
          <cell r="D22">
            <v>4000</v>
          </cell>
        </row>
        <row r="23">
          <cell r="D23">
            <v>1070</v>
          </cell>
        </row>
        <row r="24">
          <cell r="D24">
            <v>4993000</v>
          </cell>
        </row>
        <row r="25">
          <cell r="D25">
            <v>1500000</v>
          </cell>
        </row>
        <row r="26">
          <cell r="D26">
            <v>1714000</v>
          </cell>
        </row>
        <row r="27">
          <cell r="D27">
            <v>1870130</v>
          </cell>
        </row>
        <row r="28">
          <cell r="D28">
            <v>-4993000</v>
          </cell>
        </row>
        <row r="29">
          <cell r="D29">
            <v>1403500</v>
          </cell>
        </row>
        <row r="30">
          <cell r="D30">
            <v>1247580</v>
          </cell>
        </row>
        <row r="31">
          <cell r="D31">
            <v>623800</v>
          </cell>
        </row>
        <row r="32">
          <cell r="D32">
            <v>155800</v>
          </cell>
        </row>
        <row r="33">
          <cell r="D33">
            <v>-10000</v>
          </cell>
        </row>
        <row r="34">
          <cell r="D34">
            <v>4993000</v>
          </cell>
        </row>
        <row r="35">
          <cell r="D35">
            <v>-1500000</v>
          </cell>
        </row>
        <row r="36">
          <cell r="D36">
            <v>-11997810</v>
          </cell>
        </row>
        <row r="37">
          <cell r="D37">
            <v>-1539610</v>
          </cell>
        </row>
        <row r="38">
          <cell r="D38">
            <v>-1679854</v>
          </cell>
        </row>
        <row r="39">
          <cell r="D39">
            <v>-1260702</v>
          </cell>
        </row>
        <row r="40">
          <cell r="D40">
            <v>-560332</v>
          </cell>
        </row>
        <row r="41">
          <cell r="D41">
            <v>-1120646</v>
          </cell>
        </row>
        <row r="42">
          <cell r="D42">
            <v>-4484990</v>
          </cell>
        </row>
        <row r="43">
          <cell r="D43">
            <v>-130966</v>
          </cell>
        </row>
        <row r="44">
          <cell r="D44">
            <v>1500000</v>
          </cell>
        </row>
        <row r="45">
          <cell r="D45">
            <v>405</v>
          </cell>
        </row>
        <row r="46">
          <cell r="D46">
            <v>55000</v>
          </cell>
        </row>
        <row r="47">
          <cell r="D47">
            <v>240</v>
          </cell>
        </row>
        <row r="48">
          <cell r="D48">
            <v>130</v>
          </cell>
        </row>
        <row r="49">
          <cell r="D49">
            <v>3371</v>
          </cell>
        </row>
        <row r="50">
          <cell r="D50">
            <v>60</v>
          </cell>
        </row>
        <row r="51">
          <cell r="D51">
            <v>100</v>
          </cell>
        </row>
        <row r="52">
          <cell r="D52">
            <v>5282850</v>
          </cell>
        </row>
        <row r="53">
          <cell r="D53">
            <v>7717150</v>
          </cell>
        </row>
        <row r="54">
          <cell r="D54">
            <v>-1002190</v>
          </cell>
        </row>
        <row r="55">
          <cell r="D55">
            <v>-60</v>
          </cell>
        </row>
        <row r="56">
          <cell r="D56">
            <v>500</v>
          </cell>
        </row>
        <row r="57">
          <cell r="D57">
            <v>2078</v>
          </cell>
        </row>
        <row r="58">
          <cell r="D58">
            <v>210</v>
          </cell>
        </row>
        <row r="59">
          <cell r="D59">
            <v>300</v>
          </cell>
        </row>
        <row r="60">
          <cell r="D60">
            <v>150</v>
          </cell>
        </row>
        <row r="61">
          <cell r="D61">
            <v>300</v>
          </cell>
        </row>
        <row r="62">
          <cell r="D62">
            <v>204</v>
          </cell>
        </row>
        <row r="63">
          <cell r="D63">
            <v>103</v>
          </cell>
        </row>
        <row r="64">
          <cell r="D64">
            <v>112700</v>
          </cell>
        </row>
        <row r="65">
          <cell r="D65">
            <v>700</v>
          </cell>
        </row>
        <row r="66">
          <cell r="D66">
            <v>1040</v>
          </cell>
        </row>
        <row r="67">
          <cell r="D67">
            <v>105</v>
          </cell>
        </row>
        <row r="68">
          <cell r="D68">
            <v>1515</v>
          </cell>
        </row>
        <row r="69">
          <cell r="D69">
            <v>600</v>
          </cell>
        </row>
        <row r="70">
          <cell r="D70">
            <v>2000</v>
          </cell>
        </row>
        <row r="71">
          <cell r="D71">
            <v>11633</v>
          </cell>
        </row>
        <row r="72">
          <cell r="D72">
            <v>45660</v>
          </cell>
        </row>
        <row r="73">
          <cell r="D73">
            <v>-11633</v>
          </cell>
        </row>
        <row r="74">
          <cell r="D74">
            <v>-45660</v>
          </cell>
        </row>
        <row r="75">
          <cell r="D75">
            <v>1500</v>
          </cell>
        </row>
        <row r="76">
          <cell r="D76">
            <v>750</v>
          </cell>
        </row>
        <row r="77">
          <cell r="D77">
            <v>3926</v>
          </cell>
        </row>
        <row r="78">
          <cell r="D78">
            <v>600</v>
          </cell>
        </row>
        <row r="79">
          <cell r="D79">
            <v>174390</v>
          </cell>
        </row>
        <row r="80">
          <cell r="D80">
            <v>190276</v>
          </cell>
        </row>
        <row r="81">
          <cell r="D81">
            <v>142799</v>
          </cell>
        </row>
        <row r="82">
          <cell r="D82">
            <v>126935</v>
          </cell>
        </row>
        <row r="83">
          <cell r="D83">
            <v>508011</v>
          </cell>
        </row>
        <row r="84">
          <cell r="D84">
            <v>63468</v>
          </cell>
        </row>
        <row r="85">
          <cell r="D85">
            <v>14834</v>
          </cell>
        </row>
        <row r="86">
          <cell r="D86">
            <v>110</v>
          </cell>
        </row>
        <row r="87">
          <cell r="D87">
            <v>400</v>
          </cell>
        </row>
        <row r="88">
          <cell r="D88">
            <v>3630.6</v>
          </cell>
        </row>
        <row r="89">
          <cell r="D89">
            <v>-517</v>
          </cell>
        </row>
        <row r="90">
          <cell r="D90">
            <v>-1109027</v>
          </cell>
        </row>
        <row r="91">
          <cell r="D91">
            <v>1109027</v>
          </cell>
        </row>
        <row r="92">
          <cell r="D92">
            <v>-686704.38</v>
          </cell>
        </row>
        <row r="93">
          <cell r="D93">
            <v>763102.21</v>
          </cell>
        </row>
        <row r="94">
          <cell r="D94">
            <v>65</v>
          </cell>
        </row>
        <row r="95">
          <cell r="D95">
            <v>385</v>
          </cell>
        </row>
        <row r="96">
          <cell r="D96">
            <v>100000</v>
          </cell>
        </row>
        <row r="97">
          <cell r="D97">
            <v>330</v>
          </cell>
        </row>
        <row r="98">
          <cell r="D98">
            <v>116258</v>
          </cell>
        </row>
        <row r="99">
          <cell r="D99">
            <v>116258</v>
          </cell>
        </row>
        <row r="100">
          <cell r="D100">
            <v>-683701.24</v>
          </cell>
        </row>
        <row r="101">
          <cell r="D101">
            <v>683701.24</v>
          </cell>
        </row>
        <row r="102">
          <cell r="D102">
            <v>686704.38</v>
          </cell>
        </row>
        <row r="103">
          <cell r="D103">
            <v>3631</v>
          </cell>
        </row>
        <row r="104">
          <cell r="D104">
            <v>25027</v>
          </cell>
        </row>
        <row r="105">
          <cell r="D105">
            <v>120</v>
          </cell>
        </row>
        <row r="106">
          <cell r="D106">
            <v>250</v>
          </cell>
        </row>
        <row r="107">
          <cell r="D107">
            <v>2375</v>
          </cell>
        </row>
        <row r="108">
          <cell r="D108">
            <v>210</v>
          </cell>
        </row>
        <row r="109">
          <cell r="D109">
            <v>3631</v>
          </cell>
        </row>
        <row r="110">
          <cell r="D110">
            <v>2500</v>
          </cell>
        </row>
        <row r="111">
          <cell r="D111">
            <v>8000</v>
          </cell>
        </row>
        <row r="112">
          <cell r="D112">
            <v>155</v>
          </cell>
        </row>
        <row r="113">
          <cell r="D113">
            <v>360</v>
          </cell>
        </row>
        <row r="114">
          <cell r="D114">
            <v>240</v>
          </cell>
        </row>
        <row r="115">
          <cell r="D115">
            <v>120</v>
          </cell>
        </row>
        <row r="116">
          <cell r="D116">
            <v>600</v>
          </cell>
        </row>
        <row r="117">
          <cell r="D117">
            <v>60</v>
          </cell>
        </row>
        <row r="118">
          <cell r="D118">
            <v>360</v>
          </cell>
        </row>
        <row r="119">
          <cell r="D119">
            <v>63469</v>
          </cell>
        </row>
        <row r="120">
          <cell r="D120">
            <v>3631</v>
          </cell>
        </row>
        <row r="121">
          <cell r="D121">
            <v>6240</v>
          </cell>
        </row>
        <row r="122">
          <cell r="D122">
            <v>180</v>
          </cell>
        </row>
        <row r="123">
          <cell r="D123">
            <v>4190</v>
          </cell>
        </row>
        <row r="124">
          <cell r="D124">
            <v>142799</v>
          </cell>
        </row>
        <row r="125">
          <cell r="D125">
            <v>470</v>
          </cell>
        </row>
        <row r="126">
          <cell r="D126">
            <v>120</v>
          </cell>
        </row>
        <row r="127">
          <cell r="D127">
            <v>120</v>
          </cell>
        </row>
        <row r="128">
          <cell r="D128">
            <v>2437</v>
          </cell>
        </row>
        <row r="129">
          <cell r="D129">
            <v>190275</v>
          </cell>
        </row>
        <row r="130">
          <cell r="D130">
            <v>126935</v>
          </cell>
        </row>
        <row r="131">
          <cell r="D131">
            <v>508010</v>
          </cell>
        </row>
        <row r="132">
          <cell r="D132">
            <v>3631</v>
          </cell>
        </row>
        <row r="133">
          <cell r="D133">
            <v>110</v>
          </cell>
        </row>
        <row r="134">
          <cell r="D134">
            <v>90000</v>
          </cell>
        </row>
        <row r="135">
          <cell r="D135">
            <v>110</v>
          </cell>
        </row>
        <row r="136">
          <cell r="D136">
            <v>180</v>
          </cell>
        </row>
        <row r="137">
          <cell r="D137">
            <v>50000</v>
          </cell>
        </row>
        <row r="138">
          <cell r="D138">
            <v>2990</v>
          </cell>
        </row>
        <row r="139">
          <cell r="D139">
            <v>48620</v>
          </cell>
        </row>
        <row r="140">
          <cell r="D140">
            <v>18232.5</v>
          </cell>
        </row>
        <row r="141">
          <cell r="D141">
            <v>12155</v>
          </cell>
        </row>
        <row r="142">
          <cell r="D142">
            <v>-180</v>
          </cell>
        </row>
        <row r="143">
          <cell r="D143">
            <v>180</v>
          </cell>
        </row>
        <row r="144">
          <cell r="D144">
            <v>2400</v>
          </cell>
        </row>
        <row r="145">
          <cell r="D145">
            <v>5625</v>
          </cell>
        </row>
        <row r="146">
          <cell r="D146">
            <v>1950</v>
          </cell>
        </row>
        <row r="147">
          <cell r="D147">
            <v>3631</v>
          </cell>
        </row>
        <row r="148">
          <cell r="D148">
            <v>-100000</v>
          </cell>
        </row>
        <row r="149">
          <cell r="D149">
            <v>4600</v>
          </cell>
        </row>
        <row r="150">
          <cell r="D150">
            <v>5000</v>
          </cell>
        </row>
        <row r="151">
          <cell r="D151">
            <v>25000</v>
          </cell>
        </row>
        <row r="152">
          <cell r="D152">
            <v>25000</v>
          </cell>
        </row>
        <row r="153">
          <cell r="D153">
            <v>1985</v>
          </cell>
        </row>
        <row r="154">
          <cell r="D154">
            <v>7311</v>
          </cell>
        </row>
        <row r="155">
          <cell r="D155">
            <v>126933</v>
          </cell>
        </row>
        <row r="156">
          <cell r="D156">
            <v>-174390</v>
          </cell>
        </row>
        <row r="157">
          <cell r="D157">
            <v>50822</v>
          </cell>
        </row>
        <row r="158">
          <cell r="D158">
            <v>20000</v>
          </cell>
        </row>
        <row r="159">
          <cell r="D159">
            <v>190276</v>
          </cell>
        </row>
        <row r="160">
          <cell r="D160">
            <v>100</v>
          </cell>
        </row>
        <row r="161">
          <cell r="D161">
            <v>2500</v>
          </cell>
        </row>
        <row r="162">
          <cell r="D162">
            <v>3780</v>
          </cell>
        </row>
        <row r="163">
          <cell r="D163">
            <v>5000</v>
          </cell>
        </row>
        <row r="164">
          <cell r="D164">
            <v>950</v>
          </cell>
        </row>
        <row r="165">
          <cell r="D165">
            <v>6864</v>
          </cell>
        </row>
        <row r="166">
          <cell r="D166">
            <v>3631</v>
          </cell>
        </row>
        <row r="167">
          <cell r="D167">
            <v>29669</v>
          </cell>
        </row>
        <row r="168">
          <cell r="D168">
            <v>63469</v>
          </cell>
        </row>
        <row r="169">
          <cell r="D169">
            <v>142799</v>
          </cell>
        </row>
        <row r="170">
          <cell r="D170">
            <v>-1500000</v>
          </cell>
        </row>
        <row r="171">
          <cell r="D171">
            <v>508012</v>
          </cell>
        </row>
      </sheetData>
      <sheetData sheetId="11"/>
      <sheetData sheetId="12"/>
      <sheetData sheetId="13">
        <row r="2">
          <cell r="H2">
            <v>81600</v>
          </cell>
        </row>
        <row r="3">
          <cell r="H3">
            <v>1219967</v>
          </cell>
        </row>
        <row r="4">
          <cell r="H4">
            <v>15548191</v>
          </cell>
        </row>
        <row r="5">
          <cell r="H5">
            <v>18360</v>
          </cell>
        </row>
        <row r="6">
          <cell r="H6">
            <v>400</v>
          </cell>
        </row>
        <row r="7">
          <cell r="H7">
            <v>15482094</v>
          </cell>
        </row>
        <row r="8">
          <cell r="H8">
            <v>256000</v>
          </cell>
        </row>
        <row r="9">
          <cell r="H9">
            <v>561800</v>
          </cell>
        </row>
        <row r="10">
          <cell r="H10">
            <v>730117</v>
          </cell>
        </row>
        <row r="11">
          <cell r="H11">
            <v>103459</v>
          </cell>
        </row>
        <row r="12">
          <cell r="H12">
            <v>938320</v>
          </cell>
        </row>
        <row r="13">
          <cell r="H13">
            <v>143035</v>
          </cell>
        </row>
        <row r="14">
          <cell r="H14">
            <v>998880</v>
          </cell>
        </row>
        <row r="15">
          <cell r="H15">
            <v>-1011240</v>
          </cell>
        </row>
        <row r="16">
          <cell r="H16">
            <v>-998880</v>
          </cell>
        </row>
        <row r="17">
          <cell r="H17">
            <v>1011240</v>
          </cell>
        </row>
        <row r="18">
          <cell r="H18">
            <v>982026</v>
          </cell>
        </row>
        <row r="19">
          <cell r="H19">
            <v>955060</v>
          </cell>
        </row>
        <row r="20">
          <cell r="H20">
            <v>45000</v>
          </cell>
        </row>
        <row r="21">
          <cell r="H21">
            <v>10400</v>
          </cell>
        </row>
        <row r="22">
          <cell r="H22">
            <v>-204328</v>
          </cell>
        </row>
        <row r="23">
          <cell r="H23">
            <v>11252715</v>
          </cell>
        </row>
        <row r="24">
          <cell r="H24">
            <v>1123600</v>
          </cell>
        </row>
        <row r="25">
          <cell r="H25">
            <v>130321</v>
          </cell>
        </row>
        <row r="26">
          <cell r="H26">
            <v>158128</v>
          </cell>
        </row>
        <row r="27">
          <cell r="H27">
            <v>105419</v>
          </cell>
        </row>
        <row r="28">
          <cell r="H28">
            <v>4171590</v>
          </cell>
        </row>
        <row r="29">
          <cell r="H29">
            <v>8890836</v>
          </cell>
        </row>
        <row r="30">
          <cell r="H30">
            <v>6802116</v>
          </cell>
        </row>
        <row r="31">
          <cell r="H31">
            <v>7315918</v>
          </cell>
        </row>
        <row r="32">
          <cell r="H32">
            <v>4125494</v>
          </cell>
        </row>
        <row r="33">
          <cell r="H33">
            <v>5185892</v>
          </cell>
        </row>
        <row r="34">
          <cell r="H34">
            <v>204328</v>
          </cell>
        </row>
        <row r="35">
          <cell r="H35">
            <v>204328</v>
          </cell>
        </row>
        <row r="36">
          <cell r="H36">
            <v>1080208.57</v>
          </cell>
        </row>
        <row r="37">
          <cell r="H37">
            <v>4586535</v>
          </cell>
        </row>
        <row r="38">
          <cell r="H38">
            <v>97372.42</v>
          </cell>
        </row>
        <row r="39">
          <cell r="H39">
            <v>383672</v>
          </cell>
        </row>
        <row r="40">
          <cell r="H40">
            <v>154000</v>
          </cell>
        </row>
        <row r="41">
          <cell r="H41">
            <v>0.34</v>
          </cell>
        </row>
        <row r="42">
          <cell r="H42">
            <v>-10351439</v>
          </cell>
        </row>
        <row r="43">
          <cell r="H43">
            <v>825867</v>
          </cell>
        </row>
        <row r="44">
          <cell r="H44">
            <v>-50500000</v>
          </cell>
        </row>
        <row r="45">
          <cell r="H45">
            <v>-14600000</v>
          </cell>
        </row>
      </sheetData>
      <sheetData sheetId="14"/>
      <sheetData sheetId="15">
        <row r="3">
          <cell r="B3" t="str">
            <v>Conference</v>
          </cell>
        </row>
        <row r="4">
          <cell r="B4" t="str">
            <v>Conveyance</v>
          </cell>
        </row>
        <row r="5">
          <cell r="B5" t="str">
            <v>Employee Welfare</v>
          </cell>
        </row>
        <row r="6">
          <cell r="B6" t="str">
            <v>Entertainment</v>
          </cell>
        </row>
        <row r="7">
          <cell r="B7" t="str">
            <v>Gifts</v>
          </cell>
        </row>
        <row r="8">
          <cell r="B8" t="str">
            <v>Hotel, Boarding &amp; Lodging</v>
          </cell>
        </row>
        <row r="9">
          <cell r="B9" t="str">
            <v>Maintenance of accomodation in the nature of guest house</v>
          </cell>
        </row>
        <row r="10">
          <cell r="B10" t="str">
            <v>Not Applicable</v>
          </cell>
        </row>
        <row r="11">
          <cell r="B11" t="str">
            <v>Repair, Running and Maintenance of Motor Car</v>
          </cell>
        </row>
        <row r="12">
          <cell r="B12" t="str">
            <v>Sales Promotion (including publicity)</v>
          </cell>
        </row>
        <row r="13">
          <cell r="B13" t="str">
            <v>Tour, travel &amp; Foreign Travel</v>
          </cell>
        </row>
        <row r="14">
          <cell r="B14" t="str">
            <v>Use of Club facilities</v>
          </cell>
        </row>
        <row r="15">
          <cell r="B15" t="str">
            <v>Use of telephone</v>
          </cell>
        </row>
      </sheetData>
      <sheetData sheetId="16"/>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Rates"/>
      <sheetName val="FX Dump OP"/>
      <sheetName val="Data Dump"/>
      <sheetName val="Control"/>
      <sheetName val="Index"/>
      <sheetName val="ERROR"/>
      <sheetName val="Instructions "/>
      <sheetName val="Summary Sheets &gt;&gt;"/>
      <sheetName val="Summary"/>
      <sheetName val="Summary LC"/>
      <sheetName val="Input Sheets &gt;&gt;"/>
      <sheetName val="CDR"/>
      <sheetName val="Acquisition"/>
      <sheetName val="Headcount"/>
      <sheetName val="Securitization"/>
      <sheetName val="Supplemental Data"/>
      <sheetName val="Sourcing"/>
      <sheetName val="Insurance"/>
      <sheetName val="PRM &gt;&gt;"/>
      <sheetName val="PRM FY 2004"/>
      <sheetName val="PRM FY 2005"/>
      <sheetName val="PRM FY 2006"/>
      <sheetName val="PRM FY 2007"/>
      <sheetName val="Net Income Drivers  &gt;&gt;"/>
      <sheetName val="NIVD FY04SI vs FY03ACT"/>
      <sheetName val="NIVD FY04SI vs FY04OP"/>
      <sheetName val="NIVD FY05SI vs FY04SI"/>
      <sheetName val="NIVD FY06SI vs FY05SI"/>
      <sheetName val="NIVD FY07SI vs FY06SI"/>
      <sheetName val="Other Analysis &gt;&gt;"/>
      <sheetName val="Revenue Analysis"/>
      <sheetName val="Op Admin Analysis"/>
      <sheetName val="Asset Analysis"/>
      <sheetName val="Asset Quality Analysis"/>
      <sheetName val="Headcount Analysis"/>
    </sheetNames>
    <sheetDataSet>
      <sheetData sheetId="0" refreshError="1"/>
      <sheetData sheetId="1" refreshError="1">
        <row r="3">
          <cell r="C3" t="str">
            <v>Q204SI</v>
          </cell>
          <cell r="D3" t="str">
            <v>Q304SI</v>
          </cell>
          <cell r="E3" t="str">
            <v>Q404SI</v>
          </cell>
          <cell r="F3" t="str">
            <v>FY04OPPL</v>
          </cell>
          <cell r="G3" t="str">
            <v>FY04OPBS</v>
          </cell>
          <cell r="H3" t="str">
            <v>FY05SI</v>
          </cell>
          <cell r="I3" t="str">
            <v>FY06SI</v>
          </cell>
          <cell r="J3" t="str">
            <v>FY07SI</v>
          </cell>
        </row>
        <row r="5">
          <cell r="A5" t="str">
            <v>GE Consumer Finance</v>
          </cell>
          <cell r="C5">
            <v>1</v>
          </cell>
          <cell r="D5">
            <v>1</v>
          </cell>
          <cell r="E5">
            <v>1</v>
          </cell>
          <cell r="F5">
            <v>1</v>
          </cell>
          <cell r="G5">
            <v>1</v>
          </cell>
          <cell r="H5">
            <v>1</v>
          </cell>
          <cell r="I5">
            <v>1</v>
          </cell>
          <cell r="J5">
            <v>1</v>
          </cell>
        </row>
        <row r="7">
          <cell r="A7" t="str">
            <v>North America</v>
          </cell>
          <cell r="C7">
            <v>1</v>
          </cell>
          <cell r="D7">
            <v>1</v>
          </cell>
          <cell r="E7">
            <v>1</v>
          </cell>
          <cell r="F7">
            <v>1</v>
          </cell>
          <cell r="G7">
            <v>1</v>
          </cell>
          <cell r="H7">
            <v>1</v>
          </cell>
          <cell r="I7">
            <v>1</v>
          </cell>
          <cell r="J7">
            <v>1</v>
          </cell>
        </row>
        <row r="8">
          <cell r="A8" t="str">
            <v>Card</v>
          </cell>
          <cell r="C8">
            <v>1</v>
          </cell>
          <cell r="D8">
            <v>1</v>
          </cell>
          <cell r="E8">
            <v>1</v>
          </cell>
          <cell r="F8">
            <v>1</v>
          </cell>
          <cell r="G8">
            <v>1</v>
          </cell>
          <cell r="H8">
            <v>1</v>
          </cell>
          <cell r="I8">
            <v>1</v>
          </cell>
          <cell r="J8">
            <v>1</v>
          </cell>
        </row>
        <row r="9">
          <cell r="A9" t="str">
            <v>PMG</v>
          </cell>
          <cell r="C9">
            <v>1</v>
          </cell>
          <cell r="D9">
            <v>1</v>
          </cell>
          <cell r="E9">
            <v>1</v>
          </cell>
          <cell r="F9">
            <v>1</v>
          </cell>
          <cell r="G9">
            <v>1</v>
          </cell>
          <cell r="H9">
            <v>1</v>
          </cell>
          <cell r="I9">
            <v>1</v>
          </cell>
          <cell r="J9">
            <v>1</v>
          </cell>
        </row>
        <row r="11">
          <cell r="A11" t="str">
            <v>GCF</v>
          </cell>
          <cell r="C11">
            <v>1</v>
          </cell>
          <cell r="D11">
            <v>1</v>
          </cell>
          <cell r="E11">
            <v>1</v>
          </cell>
          <cell r="F11">
            <v>1</v>
          </cell>
          <cell r="G11">
            <v>1</v>
          </cell>
          <cell r="H11">
            <v>1</v>
          </cell>
          <cell r="I11">
            <v>1</v>
          </cell>
          <cell r="J11">
            <v>1</v>
          </cell>
        </row>
        <row r="13">
          <cell r="A13" t="str">
            <v>Australia</v>
          </cell>
          <cell r="C13">
            <v>1.4285713999999998</v>
          </cell>
          <cell r="D13">
            <v>1.4285713999999998</v>
          </cell>
          <cell r="E13">
            <v>1.4285713999999998</v>
          </cell>
          <cell r="F13">
            <v>1.4285713999999998</v>
          </cell>
          <cell r="G13">
            <v>1.4285713999999998</v>
          </cell>
          <cell r="H13">
            <v>1.4285714285714286</v>
          </cell>
          <cell r="I13">
            <v>1.4285714285714286</v>
          </cell>
          <cell r="J13">
            <v>1.4285714285714286</v>
          </cell>
        </row>
        <row r="15">
          <cell r="A15" t="str">
            <v>Europe</v>
          </cell>
          <cell r="C15">
            <v>1</v>
          </cell>
          <cell r="D15">
            <v>1</v>
          </cell>
          <cell r="E15">
            <v>1</v>
          </cell>
          <cell r="F15">
            <v>1</v>
          </cell>
          <cell r="G15">
            <v>1</v>
          </cell>
          <cell r="H15">
            <v>1</v>
          </cell>
          <cell r="I15">
            <v>1</v>
          </cell>
          <cell r="J15">
            <v>1</v>
          </cell>
        </row>
        <row r="16">
          <cell r="A16" t="str">
            <v>Consumer UK</v>
          </cell>
          <cell r="C16">
            <v>0.59007080000000001</v>
          </cell>
          <cell r="D16">
            <v>0.59575359999999999</v>
          </cell>
          <cell r="E16">
            <v>0.6014198999999999</v>
          </cell>
          <cell r="F16">
            <v>0.59265994999999994</v>
          </cell>
          <cell r="G16">
            <v>0.6014198999999999</v>
          </cell>
          <cell r="H16">
            <v>0.56892637903013221</v>
          </cell>
          <cell r="I16">
            <v>0.58203716889360557</v>
          </cell>
          <cell r="J16">
            <v>0.59087918884104951</v>
          </cell>
        </row>
        <row r="17">
          <cell r="A17" t="str">
            <v>igroup</v>
          </cell>
          <cell r="C17">
            <v>0.59007080000000001</v>
          </cell>
          <cell r="D17">
            <v>0.59575359999999999</v>
          </cell>
          <cell r="E17">
            <v>0.6014198999999999</v>
          </cell>
          <cell r="F17">
            <v>0.59265994999999994</v>
          </cell>
          <cell r="G17">
            <v>0.6014198999999999</v>
          </cell>
          <cell r="H17">
            <v>0.56892637903013221</v>
          </cell>
          <cell r="I17">
            <v>0.58203716889360557</v>
          </cell>
          <cell r="J17">
            <v>0.59087918884104951</v>
          </cell>
        </row>
        <row r="18">
          <cell r="A18" t="str">
            <v>Auto UK</v>
          </cell>
          <cell r="C18">
            <v>0.59007080000000001</v>
          </cell>
          <cell r="D18">
            <v>0.59575359999999999</v>
          </cell>
          <cell r="E18">
            <v>0.6014198999999999</v>
          </cell>
          <cell r="F18">
            <v>0.59265994999999994</v>
          </cell>
          <cell r="G18">
            <v>0.6014198999999999</v>
          </cell>
          <cell r="H18">
            <v>0.56892637903013221</v>
          </cell>
          <cell r="I18">
            <v>0.58203716889360557</v>
          </cell>
          <cell r="J18">
            <v>0.59087918884104951</v>
          </cell>
        </row>
        <row r="19">
          <cell r="A19" t="str">
            <v>Sweden Inc. Fleet</v>
          </cell>
          <cell r="C19">
            <v>7.7311551999999999</v>
          </cell>
          <cell r="D19">
            <v>7.7568434000000011</v>
          </cell>
          <cell r="E19">
            <v>7.7753661000000012</v>
          </cell>
          <cell r="F19">
            <v>7.7406419750000008</v>
          </cell>
          <cell r="G19">
            <v>7.7753661000000012</v>
          </cell>
          <cell r="H19">
            <v>7.6400599999999992</v>
          </cell>
          <cell r="I19">
            <v>7.6856666666666662</v>
          </cell>
          <cell r="J19">
            <v>7.7917666666666667</v>
          </cell>
        </row>
        <row r="20">
          <cell r="A20" t="str">
            <v>Ireland</v>
          </cell>
          <cell r="C20">
            <v>0.80892280000000005</v>
          </cell>
          <cell r="D20">
            <v>0.82251819999999998</v>
          </cell>
          <cell r="E20">
            <v>0.82864720000000003</v>
          </cell>
          <cell r="F20">
            <v>0.81143562499999999</v>
          </cell>
          <cell r="G20">
            <v>0.82864720000000003</v>
          </cell>
          <cell r="H20">
            <v>0.82095740052048694</v>
          </cell>
          <cell r="I20">
            <v>0.82151492829543871</v>
          </cell>
          <cell r="J20">
            <v>0.82056219451153289</v>
          </cell>
        </row>
        <row r="21">
          <cell r="A21" t="str">
            <v>Europe HQ</v>
          </cell>
          <cell r="C21">
            <v>0.80892280000000005</v>
          </cell>
          <cell r="D21">
            <v>0.82251819999999998</v>
          </cell>
          <cell r="E21">
            <v>0.82864720000000003</v>
          </cell>
          <cell r="F21">
            <v>0.81143562499999999</v>
          </cell>
          <cell r="G21">
            <v>0.82864720000000003</v>
          </cell>
          <cell r="H21">
            <v>0.82095740052048694</v>
          </cell>
          <cell r="I21">
            <v>0.82151492829543871</v>
          </cell>
          <cell r="J21">
            <v>0.82056219451153289</v>
          </cell>
        </row>
        <row r="22">
          <cell r="A22" t="str">
            <v>DOMs</v>
          </cell>
          <cell r="C22">
            <v>0.80892280000000005</v>
          </cell>
          <cell r="D22">
            <v>0.82251819999999998</v>
          </cell>
          <cell r="E22">
            <v>0.82864720000000003</v>
          </cell>
          <cell r="F22">
            <v>0.81143562499999999</v>
          </cell>
          <cell r="G22">
            <v>0.82864720000000003</v>
          </cell>
          <cell r="H22">
            <v>0.82095740052048694</v>
          </cell>
          <cell r="I22">
            <v>0.82151492829543871</v>
          </cell>
          <cell r="J22">
            <v>0.82056219451153289</v>
          </cell>
        </row>
        <row r="23">
          <cell r="A23" t="str">
            <v>France GECB</v>
          </cell>
          <cell r="C23">
            <v>0.80892280000000005</v>
          </cell>
          <cell r="D23">
            <v>0.82251819999999998</v>
          </cell>
          <cell r="E23">
            <v>0.82864720000000003</v>
          </cell>
          <cell r="F23">
            <v>0.81143562499999999</v>
          </cell>
          <cell r="G23">
            <v>0.82864720000000003</v>
          </cell>
          <cell r="H23">
            <v>0.82095740052048694</v>
          </cell>
          <cell r="I23">
            <v>0.82151492829543871</v>
          </cell>
          <cell r="J23">
            <v>0.82056219451153289</v>
          </cell>
        </row>
        <row r="24">
          <cell r="A24" t="str">
            <v>Austria</v>
          </cell>
          <cell r="C24">
            <v>0.80892280000000005</v>
          </cell>
          <cell r="D24">
            <v>0.82251819999999998</v>
          </cell>
          <cell r="E24">
            <v>0.82864720000000003</v>
          </cell>
          <cell r="F24">
            <v>0.81143562499999999</v>
          </cell>
          <cell r="G24">
            <v>0.82864720000000003</v>
          </cell>
          <cell r="H24">
            <v>0.82095740052048694</v>
          </cell>
          <cell r="I24">
            <v>0.82151492829543871</v>
          </cell>
          <cell r="J24">
            <v>0.82056219451153289</v>
          </cell>
        </row>
        <row r="25">
          <cell r="A25" t="str">
            <v>Italy</v>
          </cell>
          <cell r="C25">
            <v>0.80892280000000005</v>
          </cell>
          <cell r="D25">
            <v>0.82251819999999998</v>
          </cell>
          <cell r="E25">
            <v>0.82864720000000003</v>
          </cell>
          <cell r="F25">
            <v>0.81143562499999999</v>
          </cell>
          <cell r="G25">
            <v>0.82864720000000003</v>
          </cell>
          <cell r="H25">
            <v>0.82095740052048694</v>
          </cell>
          <cell r="I25">
            <v>0.82151492829543871</v>
          </cell>
          <cell r="J25">
            <v>0.82056219451153289</v>
          </cell>
        </row>
        <row r="26">
          <cell r="A26" t="str">
            <v>Portugal</v>
          </cell>
          <cell r="C26">
            <v>0.80892280000000005</v>
          </cell>
          <cell r="D26">
            <v>0.82251819999999998</v>
          </cell>
          <cell r="E26">
            <v>0.82864720000000003</v>
          </cell>
          <cell r="F26">
            <v>0.81143562499999999</v>
          </cell>
          <cell r="G26">
            <v>0.82864720000000003</v>
          </cell>
          <cell r="H26">
            <v>0.82095740052048694</v>
          </cell>
          <cell r="I26">
            <v>0.82151492829543871</v>
          </cell>
          <cell r="J26">
            <v>0.82056219451153289</v>
          </cell>
        </row>
        <row r="27">
          <cell r="A27" t="str">
            <v>Spain</v>
          </cell>
          <cell r="C27">
            <v>0.80892280000000005</v>
          </cell>
          <cell r="D27">
            <v>0.82251819999999998</v>
          </cell>
          <cell r="E27">
            <v>0.82864720000000003</v>
          </cell>
          <cell r="F27">
            <v>0.81143562499999999</v>
          </cell>
          <cell r="G27">
            <v>0.82864720000000003</v>
          </cell>
          <cell r="H27">
            <v>0.82095740052048694</v>
          </cell>
          <cell r="I27">
            <v>0.82151492829543871</v>
          </cell>
          <cell r="J27">
            <v>0.82056219451153289</v>
          </cell>
        </row>
        <row r="28">
          <cell r="A28" t="str">
            <v>Spain Auto</v>
          </cell>
          <cell r="C28">
            <v>0.80892280000000005</v>
          </cell>
          <cell r="D28">
            <v>0.82251819999999998</v>
          </cell>
          <cell r="E28">
            <v>0.82864720000000003</v>
          </cell>
          <cell r="F28">
            <v>0.81143562499999999</v>
          </cell>
          <cell r="G28">
            <v>0.82864720000000003</v>
          </cell>
          <cell r="H28">
            <v>0.82095740052048694</v>
          </cell>
          <cell r="I28">
            <v>0.82151492829543871</v>
          </cell>
          <cell r="J28">
            <v>0.82056219451153289</v>
          </cell>
        </row>
        <row r="29">
          <cell r="A29" t="str">
            <v>Spain Mortgage</v>
          </cell>
          <cell r="C29">
            <v>0.80892280000000005</v>
          </cell>
          <cell r="D29">
            <v>0.82251819999999998</v>
          </cell>
          <cell r="E29">
            <v>0.82864720000000003</v>
          </cell>
          <cell r="F29">
            <v>0.81143562499999999</v>
          </cell>
          <cell r="G29">
            <v>0.82864720000000003</v>
          </cell>
          <cell r="H29">
            <v>0.82095740052048694</v>
          </cell>
          <cell r="I29">
            <v>0.82151492829543871</v>
          </cell>
          <cell r="J29">
            <v>0.82056219451153289</v>
          </cell>
        </row>
        <row r="30">
          <cell r="A30" t="str">
            <v>Sweden Auto</v>
          </cell>
          <cell r="C30">
            <v>7.7311551999999999</v>
          </cell>
          <cell r="D30">
            <v>7.7568434000000011</v>
          </cell>
          <cell r="E30">
            <v>7.7753661000000012</v>
          </cell>
          <cell r="F30">
            <v>7.7406419750000008</v>
          </cell>
          <cell r="G30">
            <v>7.7753661000000012</v>
          </cell>
          <cell r="H30">
            <v>7.6400599999999992</v>
          </cell>
          <cell r="I30">
            <v>7.6856666666666662</v>
          </cell>
          <cell r="J30">
            <v>7.7917666666666667</v>
          </cell>
        </row>
        <row r="31">
          <cell r="A31" t="str">
            <v>Gemplus</v>
          </cell>
          <cell r="C31">
            <v>0.80892280000000005</v>
          </cell>
          <cell r="D31">
            <v>0.82251819999999998</v>
          </cell>
          <cell r="E31">
            <v>0.82864720000000003</v>
          </cell>
          <cell r="F31">
            <v>0.81143562499999999</v>
          </cell>
          <cell r="G31">
            <v>0.82864720000000003</v>
          </cell>
          <cell r="H31">
            <v>0.82095740052048694</v>
          </cell>
          <cell r="I31">
            <v>0.82151492829543871</v>
          </cell>
          <cell r="J31">
            <v>0.82056219451153289</v>
          </cell>
        </row>
        <row r="32">
          <cell r="A32" t="str">
            <v>Germany</v>
          </cell>
          <cell r="C32">
            <v>0.80892280000000005</v>
          </cell>
          <cell r="D32">
            <v>0.82251819999999998</v>
          </cell>
          <cell r="E32">
            <v>0.82864720000000003</v>
          </cell>
          <cell r="F32">
            <v>0.81143562499999999</v>
          </cell>
          <cell r="G32">
            <v>0.82864720000000003</v>
          </cell>
          <cell r="H32">
            <v>0.82095740052048694</v>
          </cell>
          <cell r="I32">
            <v>0.82151492829543871</v>
          </cell>
          <cell r="J32">
            <v>0.82056219451153289</v>
          </cell>
        </row>
        <row r="33">
          <cell r="A33" t="str">
            <v>Budapest Bank</v>
          </cell>
          <cell r="C33">
            <v>227.67661159999997</v>
          </cell>
          <cell r="D33">
            <v>232.5673817</v>
          </cell>
          <cell r="E33">
            <v>236.89128640000004</v>
          </cell>
          <cell r="F33">
            <v>229.6517863</v>
          </cell>
          <cell r="G33">
            <v>236.89128640000004</v>
          </cell>
          <cell r="H33">
            <v>232.77799999999999</v>
          </cell>
          <cell r="I33">
            <v>247.43</v>
          </cell>
          <cell r="J33">
            <v>258.09500000000003</v>
          </cell>
        </row>
        <row r="34">
          <cell r="A34" t="str">
            <v>Czech Republic</v>
          </cell>
          <cell r="C34">
            <v>27.257720799999998</v>
          </cell>
          <cell r="D34">
            <v>27.338162100000002</v>
          </cell>
          <cell r="E34">
            <v>27.405465700000001</v>
          </cell>
          <cell r="F34">
            <v>27.30134005</v>
          </cell>
          <cell r="G34">
            <v>27.405465700000001</v>
          </cell>
          <cell r="H34">
            <v>27.260256666666667</v>
          </cell>
          <cell r="I34">
            <v>27.330526666666668</v>
          </cell>
          <cell r="J34">
            <v>27.426883333333336</v>
          </cell>
        </row>
        <row r="35">
          <cell r="A35" t="str">
            <v>Housing Bank</v>
          </cell>
          <cell r="C35">
            <v>4.0224285999999996</v>
          </cell>
          <cell r="D35">
            <v>4.0628986999999999</v>
          </cell>
          <cell r="E35">
            <v>4.0976371999999994</v>
          </cell>
          <cell r="F35">
            <v>4.041589525</v>
          </cell>
          <cell r="G35">
            <v>4.0976371999999994</v>
          </cell>
          <cell r="H35">
            <v>4.0485433333333329</v>
          </cell>
          <cell r="I35">
            <v>4.1948266666666667</v>
          </cell>
          <cell r="J35">
            <v>4.3391933333333332</v>
          </cell>
        </row>
        <row r="36">
          <cell r="A36" t="str">
            <v>Poland</v>
          </cell>
          <cell r="C36">
            <v>4.0224285999999996</v>
          </cell>
          <cell r="D36">
            <v>4.0628986999999999</v>
          </cell>
          <cell r="E36">
            <v>4.0976371999999994</v>
          </cell>
          <cell r="F36">
            <v>4.041589525</v>
          </cell>
          <cell r="G36">
            <v>4.0976371999999994</v>
          </cell>
          <cell r="H36">
            <v>4.0485433333333329</v>
          </cell>
          <cell r="I36">
            <v>4.1948266666666667</v>
          </cell>
          <cell r="J36">
            <v>4.3391933333333332</v>
          </cell>
        </row>
        <row r="37">
          <cell r="A37" t="str">
            <v>Poland Total</v>
          </cell>
          <cell r="C37">
            <v>4.0224285999999996</v>
          </cell>
          <cell r="D37">
            <v>4.0628986999999999</v>
          </cell>
          <cell r="E37">
            <v>4.0976371999999994</v>
          </cell>
          <cell r="F37">
            <v>4.041589525</v>
          </cell>
          <cell r="G37">
            <v>4.0976371999999994</v>
          </cell>
          <cell r="H37">
            <v>4.0485433333333329</v>
          </cell>
          <cell r="I37">
            <v>4.1948266666666667</v>
          </cell>
          <cell r="J37">
            <v>4.3391933333333332</v>
          </cell>
        </row>
        <row r="38">
          <cell r="A38" t="str">
            <v>Norway Inc. Fleet</v>
          </cell>
          <cell r="C38">
            <v>7.0009252999999996</v>
          </cell>
          <cell r="D38">
            <v>7.0274631000000003</v>
          </cell>
          <cell r="E38">
            <v>7.0640356999999989</v>
          </cell>
          <cell r="F38">
            <v>7.0143425749999988</v>
          </cell>
          <cell r="G38">
            <v>7.0640356999999989</v>
          </cell>
          <cell r="H38">
            <v>7.0117333333333329</v>
          </cell>
          <cell r="I38">
            <v>7.0403966666666662</v>
          </cell>
          <cell r="J38">
            <v>7.2180566666666666</v>
          </cell>
        </row>
        <row r="39">
          <cell r="A39" t="str">
            <v>Denmark</v>
          </cell>
          <cell r="C39">
            <v>6.2380572000000001</v>
          </cell>
          <cell r="D39">
            <v>6.2599193</v>
          </cell>
          <cell r="E39">
            <v>6.2753433000000012</v>
          </cell>
          <cell r="F39">
            <v>6.2485595000000007</v>
          </cell>
          <cell r="G39">
            <v>6.2753433000000012</v>
          </cell>
          <cell r="H39">
            <v>6.1343199999999998</v>
          </cell>
          <cell r="I39">
            <v>6.1474900000000003</v>
          </cell>
          <cell r="J39">
            <v>6.1732766666666663</v>
          </cell>
        </row>
        <row r="40">
          <cell r="A40" t="str">
            <v>Norway</v>
          </cell>
          <cell r="C40">
            <v>7.0009252999999996</v>
          </cell>
          <cell r="D40">
            <v>7.0274631000000003</v>
          </cell>
          <cell r="E40">
            <v>7.0640356999999989</v>
          </cell>
          <cell r="F40">
            <v>7.0143425749999988</v>
          </cell>
          <cell r="G40">
            <v>7.0640356999999989</v>
          </cell>
          <cell r="H40">
            <v>7.0117333333333329</v>
          </cell>
          <cell r="I40">
            <v>7.0403966666666662</v>
          </cell>
          <cell r="J40">
            <v>7.2180566666666666</v>
          </cell>
        </row>
        <row r="41">
          <cell r="A41" t="str">
            <v>Sweden</v>
          </cell>
          <cell r="C41">
            <v>7.7311551999999999</v>
          </cell>
          <cell r="D41">
            <v>7.7568434000000011</v>
          </cell>
          <cell r="E41">
            <v>7.7753661000000012</v>
          </cell>
          <cell r="F41">
            <v>7.7406419750000008</v>
          </cell>
          <cell r="G41">
            <v>7.7753661000000012</v>
          </cell>
          <cell r="H41">
            <v>7.6400599999999992</v>
          </cell>
          <cell r="I41">
            <v>7.6856666666666662</v>
          </cell>
          <cell r="J41">
            <v>7.7917666666666667</v>
          </cell>
        </row>
        <row r="42">
          <cell r="A42" t="str">
            <v>Switzerland</v>
          </cell>
          <cell r="C42">
            <v>1.2772839</v>
          </cell>
          <cell r="D42">
            <v>1.2742458000000001</v>
          </cell>
          <cell r="E42">
            <v>1.2675394999999998</v>
          </cell>
          <cell r="F42">
            <v>1.2749486999999999</v>
          </cell>
          <cell r="G42">
            <v>1.2675394999999998</v>
          </cell>
          <cell r="H42">
            <v>1.2557766666666665</v>
          </cell>
          <cell r="I42">
            <v>1.2325933333333332</v>
          </cell>
          <cell r="J42">
            <v>1.2156833333333334</v>
          </cell>
        </row>
        <row r="43">
          <cell r="A43" t="str">
            <v>Belgium</v>
          </cell>
          <cell r="C43">
            <v>0.80892280000000005</v>
          </cell>
          <cell r="D43">
            <v>0.82251819999999998</v>
          </cell>
          <cell r="E43">
            <v>0.82864720000000003</v>
          </cell>
          <cell r="F43">
            <v>0.81143562499999999</v>
          </cell>
          <cell r="G43">
            <v>0.82864720000000003</v>
          </cell>
          <cell r="H43">
            <v>0.82095740052048694</v>
          </cell>
          <cell r="I43">
            <v>0.82151492829543871</v>
          </cell>
          <cell r="J43">
            <v>0.82056219451153289</v>
          </cell>
        </row>
        <row r="44">
          <cell r="A44" t="str">
            <v>First National</v>
          </cell>
          <cell r="C44">
            <v>0.59007080000000001</v>
          </cell>
          <cell r="D44">
            <v>0.59575359999999999</v>
          </cell>
          <cell r="E44">
            <v>0.6014198999999999</v>
          </cell>
          <cell r="F44">
            <v>0.59265994999999994</v>
          </cell>
          <cell r="G44">
            <v>0.6014198999999999</v>
          </cell>
          <cell r="H44">
            <v>0.56892637903013221</v>
          </cell>
          <cell r="I44">
            <v>0.58203716889360557</v>
          </cell>
          <cell r="J44">
            <v>0.59087918884104951</v>
          </cell>
        </row>
        <row r="46">
          <cell r="A46" t="str">
            <v>Japan</v>
          </cell>
          <cell r="C46">
            <v>109.71740000000001</v>
          </cell>
          <cell r="D46">
            <v>109.33229999999999</v>
          </cell>
          <cell r="E46">
            <v>108.85420000000001</v>
          </cell>
          <cell r="F46">
            <v>109.485225</v>
          </cell>
          <cell r="G46">
            <v>108.85420000000001</v>
          </cell>
          <cell r="H46">
            <v>105.05666666666666</v>
          </cell>
          <cell r="I46">
            <v>102.51</v>
          </cell>
          <cell r="J46">
            <v>99.09</v>
          </cell>
        </row>
        <row r="47">
          <cell r="A47" t="str">
            <v>Japan - GECCC</v>
          </cell>
          <cell r="C47">
            <v>109.71740000000001</v>
          </cell>
          <cell r="D47">
            <v>109.33229999999999</v>
          </cell>
          <cell r="E47">
            <v>108.85420000000001</v>
          </cell>
          <cell r="F47">
            <v>109.485225</v>
          </cell>
          <cell r="G47">
            <v>108.85420000000001</v>
          </cell>
          <cell r="H47">
            <v>105.05666666666666</v>
          </cell>
          <cell r="I47">
            <v>102.51</v>
          </cell>
          <cell r="J47">
            <v>99.09</v>
          </cell>
        </row>
        <row r="48">
          <cell r="A48" t="str">
            <v>Japan - GECCF</v>
          </cell>
          <cell r="C48">
            <v>109.71740000000001</v>
          </cell>
          <cell r="D48">
            <v>109.33229999999999</v>
          </cell>
          <cell r="E48">
            <v>108.85420000000001</v>
          </cell>
          <cell r="F48">
            <v>109.485225</v>
          </cell>
          <cell r="G48">
            <v>108.85420000000001</v>
          </cell>
          <cell r="H48">
            <v>105.05666666666666</v>
          </cell>
          <cell r="I48">
            <v>102.51</v>
          </cell>
          <cell r="J48">
            <v>99.09</v>
          </cell>
        </row>
        <row r="49">
          <cell r="A49" t="str">
            <v>Japan - Tax</v>
          </cell>
          <cell r="C49">
            <v>109.71740000000001</v>
          </cell>
          <cell r="D49">
            <v>109.33229999999999</v>
          </cell>
          <cell r="E49">
            <v>108.85420000000001</v>
          </cell>
          <cell r="F49">
            <v>109.485225</v>
          </cell>
          <cell r="G49">
            <v>108.85420000000001</v>
          </cell>
          <cell r="H49">
            <v>105.05666666666666</v>
          </cell>
          <cell r="I49">
            <v>102.51</v>
          </cell>
          <cell r="J49">
            <v>99.09</v>
          </cell>
        </row>
        <row r="51">
          <cell r="A51" t="str">
            <v>Latin America</v>
          </cell>
          <cell r="C51">
            <v>1</v>
          </cell>
          <cell r="D51">
            <v>1</v>
          </cell>
          <cell r="E51">
            <v>1</v>
          </cell>
          <cell r="F51">
            <v>1</v>
          </cell>
          <cell r="G51">
            <v>1</v>
          </cell>
          <cell r="H51">
            <v>1</v>
          </cell>
          <cell r="I51">
            <v>1</v>
          </cell>
          <cell r="J51">
            <v>1</v>
          </cell>
        </row>
        <row r="52">
          <cell r="A52" t="str">
            <v>Argentina</v>
          </cell>
          <cell r="C52">
            <v>3</v>
          </cell>
          <cell r="D52">
            <v>3</v>
          </cell>
          <cell r="E52">
            <v>3</v>
          </cell>
          <cell r="F52">
            <v>3</v>
          </cell>
          <cell r="G52">
            <v>3</v>
          </cell>
          <cell r="H52">
            <v>3.126381232876712</v>
          </cell>
          <cell r="I52">
            <v>3.4079465068493149</v>
          </cell>
          <cell r="J52">
            <v>3.5887420491803281</v>
          </cell>
        </row>
        <row r="53">
          <cell r="A53" t="str">
            <v>Brazil</v>
          </cell>
          <cell r="C53">
            <v>3.28</v>
          </cell>
          <cell r="D53">
            <v>3.28</v>
          </cell>
          <cell r="E53">
            <v>3.28</v>
          </cell>
          <cell r="F53">
            <v>3.28</v>
          </cell>
          <cell r="G53">
            <v>3.28</v>
          </cell>
          <cell r="H53">
            <v>3.36352502283105</v>
          </cell>
          <cell r="I53">
            <v>3.7013737671232878</v>
          </cell>
          <cell r="J53">
            <v>4.0509458196721315</v>
          </cell>
        </row>
        <row r="54">
          <cell r="A54" t="str">
            <v>Mexico</v>
          </cell>
          <cell r="C54">
            <v>10.5</v>
          </cell>
          <cell r="D54">
            <v>10.5</v>
          </cell>
          <cell r="E54">
            <v>10.5</v>
          </cell>
          <cell r="F54">
            <v>10.5</v>
          </cell>
          <cell r="G54">
            <v>10.5</v>
          </cell>
          <cell r="H54">
            <v>11.718593333333333</v>
          </cell>
          <cell r="I54">
            <v>12.292213333333331</v>
          </cell>
          <cell r="J54">
            <v>12.843323333333336</v>
          </cell>
        </row>
        <row r="55">
          <cell r="A55" t="str">
            <v>Mexico Mortgage</v>
          </cell>
          <cell r="C55">
            <v>10.5</v>
          </cell>
          <cell r="D55">
            <v>10.5</v>
          </cell>
          <cell r="E55">
            <v>10.5</v>
          </cell>
          <cell r="F55">
            <v>10.5</v>
          </cell>
          <cell r="G55">
            <v>10.5</v>
          </cell>
          <cell r="H55">
            <v>11.718593333333333</v>
          </cell>
          <cell r="I55">
            <v>12.292213333333331</v>
          </cell>
          <cell r="J55">
            <v>12.843323333333336</v>
          </cell>
        </row>
        <row r="57">
          <cell r="A57" t="str">
            <v>Asia</v>
          </cell>
          <cell r="C57">
            <v>1</v>
          </cell>
          <cell r="D57">
            <v>1</v>
          </cell>
          <cell r="E57">
            <v>1</v>
          </cell>
          <cell r="F57">
            <v>1</v>
          </cell>
          <cell r="G57">
            <v>1</v>
          </cell>
          <cell r="H57">
            <v>1</v>
          </cell>
          <cell r="I57">
            <v>1</v>
          </cell>
          <cell r="J57">
            <v>1</v>
          </cell>
        </row>
        <row r="58">
          <cell r="A58" t="str">
            <v>AP HQ</v>
          </cell>
          <cell r="C58">
            <v>7.8084999999999996</v>
          </cell>
          <cell r="D58">
            <v>7.8084999999999996</v>
          </cell>
          <cell r="E58">
            <v>7.8084999999999996</v>
          </cell>
          <cell r="F58">
            <v>7.8084999999999996</v>
          </cell>
          <cell r="G58">
            <v>7.8084999999999996</v>
          </cell>
          <cell r="H58">
            <v>7.7345533333333334</v>
          </cell>
          <cell r="I58">
            <v>7.7262666666666675</v>
          </cell>
          <cell r="J58">
            <v>7.7359100000000005</v>
          </cell>
        </row>
        <row r="59">
          <cell r="A59" t="str">
            <v>Hong Kong</v>
          </cell>
          <cell r="C59">
            <v>7.8084999999999996</v>
          </cell>
          <cell r="D59">
            <v>7.8084999999999996</v>
          </cell>
          <cell r="E59">
            <v>7.8084999999999996</v>
          </cell>
          <cell r="F59">
            <v>7.8084999999999996</v>
          </cell>
          <cell r="G59">
            <v>7.8084999999999996</v>
          </cell>
          <cell r="H59">
            <v>7.7345533333333334</v>
          </cell>
          <cell r="I59">
            <v>7.7262666666666675</v>
          </cell>
          <cell r="J59">
            <v>7.7359100000000005</v>
          </cell>
        </row>
        <row r="60">
          <cell r="A60" t="str">
            <v>China</v>
          </cell>
          <cell r="C60">
            <v>1</v>
          </cell>
          <cell r="D60">
            <v>1</v>
          </cell>
          <cell r="E60">
            <v>1</v>
          </cell>
          <cell r="F60">
            <v>1</v>
          </cell>
          <cell r="G60">
            <v>1</v>
          </cell>
          <cell r="H60">
            <v>1</v>
          </cell>
          <cell r="I60">
            <v>1</v>
          </cell>
          <cell r="J60">
            <v>1</v>
          </cell>
        </row>
        <row r="61">
          <cell r="A61" t="str">
            <v>Indonesia</v>
          </cell>
          <cell r="C61">
            <v>9170</v>
          </cell>
          <cell r="D61">
            <v>9170</v>
          </cell>
          <cell r="E61">
            <v>9170</v>
          </cell>
          <cell r="F61">
            <v>9170</v>
          </cell>
          <cell r="G61">
            <v>9170</v>
          </cell>
          <cell r="H61">
            <v>9736.5400000000009</v>
          </cell>
          <cell r="I61">
            <v>9736.5400000000009</v>
          </cell>
          <cell r="J61">
            <v>9736.5400000000009</v>
          </cell>
        </row>
        <row r="62">
          <cell r="A62" t="str">
            <v>Korea</v>
          </cell>
          <cell r="C62">
            <v>1203.75</v>
          </cell>
          <cell r="D62">
            <v>1203.75</v>
          </cell>
          <cell r="E62">
            <v>1203.75</v>
          </cell>
          <cell r="F62">
            <v>1203.75</v>
          </cell>
          <cell r="G62">
            <v>1203.75</v>
          </cell>
          <cell r="H62">
            <v>1187.83</v>
          </cell>
          <cell r="I62">
            <v>1203.3</v>
          </cell>
          <cell r="J62">
            <v>1207.2433333333333</v>
          </cell>
        </row>
        <row r="63">
          <cell r="A63" t="str">
            <v>Malaysia</v>
          </cell>
          <cell r="C63">
            <v>1</v>
          </cell>
          <cell r="D63">
            <v>1</v>
          </cell>
          <cell r="E63">
            <v>1</v>
          </cell>
          <cell r="F63">
            <v>1</v>
          </cell>
          <cell r="G63">
            <v>1</v>
          </cell>
          <cell r="H63">
            <v>1</v>
          </cell>
          <cell r="I63">
            <v>1</v>
          </cell>
          <cell r="J63">
            <v>1</v>
          </cell>
        </row>
        <row r="64">
          <cell r="A64" t="str">
            <v>Philippines</v>
          </cell>
          <cell r="C64">
            <v>1</v>
          </cell>
          <cell r="D64">
            <v>1</v>
          </cell>
          <cell r="E64">
            <v>1</v>
          </cell>
          <cell r="F64">
            <v>1</v>
          </cell>
          <cell r="G64">
            <v>1</v>
          </cell>
          <cell r="H64">
            <v>1</v>
          </cell>
          <cell r="I64">
            <v>1</v>
          </cell>
          <cell r="J64">
            <v>1</v>
          </cell>
        </row>
        <row r="65">
          <cell r="A65" t="str">
            <v>Singapore</v>
          </cell>
          <cell r="C65">
            <v>1.75</v>
          </cell>
          <cell r="D65">
            <v>1.75</v>
          </cell>
          <cell r="E65">
            <v>1.75</v>
          </cell>
          <cell r="F65">
            <v>1.75</v>
          </cell>
          <cell r="G65">
            <v>1.75</v>
          </cell>
          <cell r="H65">
            <v>1.6832900000000002</v>
          </cell>
          <cell r="I65">
            <v>1.6690799999999999</v>
          </cell>
          <cell r="J65">
            <v>1.6447466666666666</v>
          </cell>
        </row>
        <row r="66">
          <cell r="A66" t="str">
            <v>Taiwan</v>
          </cell>
          <cell r="C66">
            <v>34.08</v>
          </cell>
          <cell r="D66">
            <v>34.08</v>
          </cell>
          <cell r="E66">
            <v>34.08</v>
          </cell>
          <cell r="F66">
            <v>34.08</v>
          </cell>
          <cell r="G66">
            <v>34.08</v>
          </cell>
          <cell r="H66">
            <v>32.547146666666663</v>
          </cell>
          <cell r="I66">
            <v>32.080336666666661</v>
          </cell>
          <cell r="J66">
            <v>31.425633333333334</v>
          </cell>
        </row>
        <row r="67">
          <cell r="A67" t="str">
            <v>Thailand</v>
          </cell>
          <cell r="C67">
            <v>41.9</v>
          </cell>
          <cell r="D67">
            <v>41.9</v>
          </cell>
          <cell r="E67">
            <v>41.9</v>
          </cell>
          <cell r="F67">
            <v>41.9</v>
          </cell>
          <cell r="G67">
            <v>41.9</v>
          </cell>
          <cell r="H67">
            <v>39.76146</v>
          </cell>
          <cell r="I67">
            <v>40.143034999999998</v>
          </cell>
          <cell r="J67">
            <v>39.694679999999998</v>
          </cell>
        </row>
        <row r="68">
          <cell r="A68" t="str">
            <v>Countrywide</v>
          </cell>
          <cell r="C68">
            <v>46.99</v>
          </cell>
          <cell r="D68">
            <v>46.99</v>
          </cell>
          <cell r="E68">
            <v>46.99</v>
          </cell>
          <cell r="F68">
            <v>46.99</v>
          </cell>
          <cell r="G68">
            <v>46.99</v>
          </cell>
          <cell r="H68">
            <v>45.233803333333334</v>
          </cell>
          <cell r="I68">
            <v>45.392753333333332</v>
          </cell>
          <cell r="J68">
            <v>45.522070000000006</v>
          </cell>
        </row>
        <row r="69">
          <cell r="A69" t="str">
            <v>India Auto</v>
          </cell>
          <cell r="C69">
            <v>46.99</v>
          </cell>
          <cell r="D69">
            <v>46.99</v>
          </cell>
          <cell r="E69">
            <v>46.99</v>
          </cell>
          <cell r="F69">
            <v>46.99</v>
          </cell>
          <cell r="G69">
            <v>46.99</v>
          </cell>
          <cell r="H69">
            <v>45.233803333333334</v>
          </cell>
          <cell r="I69">
            <v>45.392753333333332</v>
          </cell>
          <cell r="J69">
            <v>45.522070000000006</v>
          </cell>
        </row>
        <row r="70">
          <cell r="A70" t="str">
            <v>GECIS</v>
          </cell>
          <cell r="C70">
            <v>46.99</v>
          </cell>
          <cell r="D70">
            <v>46.99</v>
          </cell>
          <cell r="E70">
            <v>46.99</v>
          </cell>
          <cell r="F70">
            <v>46.99</v>
          </cell>
          <cell r="G70">
            <v>46.99</v>
          </cell>
          <cell r="H70">
            <v>45.233803333333334</v>
          </cell>
          <cell r="I70">
            <v>45.392753333333332</v>
          </cell>
          <cell r="J70">
            <v>45.522070000000006</v>
          </cell>
        </row>
        <row r="71">
          <cell r="A71" t="str">
            <v>India</v>
          </cell>
          <cell r="C71">
            <v>46.99</v>
          </cell>
          <cell r="D71">
            <v>46.99</v>
          </cell>
          <cell r="E71">
            <v>46.99</v>
          </cell>
          <cell r="F71">
            <v>46.99</v>
          </cell>
          <cell r="G71">
            <v>46.99</v>
          </cell>
          <cell r="H71">
            <v>45.233803333333334</v>
          </cell>
          <cell r="I71">
            <v>45.392753333333332</v>
          </cell>
          <cell r="J71">
            <v>45.522070000000006</v>
          </cell>
        </row>
        <row r="72">
          <cell r="A72" t="str">
            <v>SBI</v>
          </cell>
          <cell r="C72">
            <v>46.99</v>
          </cell>
          <cell r="D72">
            <v>46.99</v>
          </cell>
          <cell r="E72">
            <v>46.99</v>
          </cell>
          <cell r="F72">
            <v>46.99</v>
          </cell>
          <cell r="G72">
            <v>46.99</v>
          </cell>
          <cell r="H72">
            <v>45.233803333333334</v>
          </cell>
          <cell r="I72">
            <v>45.392753333333332</v>
          </cell>
          <cell r="J72">
            <v>45.522070000000006</v>
          </cell>
        </row>
        <row r="74">
          <cell r="A74" t="str">
            <v>Stamford</v>
          </cell>
          <cell r="C74">
            <v>1</v>
          </cell>
          <cell r="D74">
            <v>1</v>
          </cell>
          <cell r="E74">
            <v>1</v>
          </cell>
          <cell r="F74">
            <v>1</v>
          </cell>
          <cell r="G74">
            <v>1</v>
          </cell>
          <cell r="H74">
            <v>1</v>
          </cell>
          <cell r="I74">
            <v>1</v>
          </cell>
          <cell r="J74">
            <v>1</v>
          </cell>
        </row>
        <row r="75">
          <cell r="A75" t="str">
            <v>HQ</v>
          </cell>
          <cell r="C75">
            <v>1</v>
          </cell>
          <cell r="D75">
            <v>1</v>
          </cell>
          <cell r="E75">
            <v>1</v>
          </cell>
          <cell r="F75">
            <v>1</v>
          </cell>
          <cell r="G75">
            <v>1</v>
          </cell>
          <cell r="H75">
            <v>1</v>
          </cell>
          <cell r="I75">
            <v>1</v>
          </cell>
          <cell r="J75">
            <v>1</v>
          </cell>
        </row>
        <row r="76">
          <cell r="A76" t="str">
            <v>Project Prophet</v>
          </cell>
          <cell r="C76">
            <v>0.59007080000000001</v>
          </cell>
          <cell r="D76">
            <v>0.59575359999999999</v>
          </cell>
          <cell r="E76">
            <v>0.6014198999999999</v>
          </cell>
          <cell r="F76">
            <v>0.59265994999999994</v>
          </cell>
          <cell r="G76">
            <v>0.6014198999999999</v>
          </cell>
          <cell r="H76">
            <v>0.56892637903013221</v>
          </cell>
          <cell r="I76">
            <v>0.58203716889360557</v>
          </cell>
          <cell r="J76">
            <v>0.59087918884104951</v>
          </cell>
        </row>
        <row r="77">
          <cell r="A77" t="str">
            <v>BD Stretch</v>
          </cell>
          <cell r="C77">
            <v>1</v>
          </cell>
          <cell r="D77">
            <v>1</v>
          </cell>
          <cell r="E77">
            <v>1</v>
          </cell>
          <cell r="F77">
            <v>1</v>
          </cell>
          <cell r="G77">
            <v>1</v>
          </cell>
          <cell r="H77">
            <v>1</v>
          </cell>
          <cell r="I77">
            <v>1</v>
          </cell>
          <cell r="J77">
            <v>1</v>
          </cell>
        </row>
        <row r="78">
          <cell r="A78" t="str">
            <v>Other Stretch</v>
          </cell>
          <cell r="C78">
            <v>1</v>
          </cell>
          <cell r="D78">
            <v>1</v>
          </cell>
          <cell r="E78">
            <v>1</v>
          </cell>
          <cell r="F78">
            <v>1</v>
          </cell>
          <cell r="G78">
            <v>1</v>
          </cell>
          <cell r="H78">
            <v>1</v>
          </cell>
          <cell r="I78">
            <v>1</v>
          </cell>
          <cell r="J78">
            <v>1</v>
          </cell>
        </row>
        <row r="80">
          <cell r="A80" t="str">
            <v>Other Consumer</v>
          </cell>
          <cell r="C80">
            <v>1</v>
          </cell>
          <cell r="D80">
            <v>1</v>
          </cell>
          <cell r="E80">
            <v>1</v>
          </cell>
          <cell r="F80">
            <v>1</v>
          </cell>
          <cell r="G80">
            <v>1</v>
          </cell>
          <cell r="H80">
            <v>1</v>
          </cell>
          <cell r="I80">
            <v>1</v>
          </cell>
          <cell r="J80">
            <v>1</v>
          </cell>
        </row>
      </sheetData>
      <sheetData sheetId="2" refreshError="1">
        <row r="1">
          <cell r="B1" t="str">
            <v>Q102A</v>
          </cell>
          <cell r="C1" t="str">
            <v>Q202A</v>
          </cell>
          <cell r="D1" t="str">
            <v>Q302A</v>
          </cell>
          <cell r="E1" t="str">
            <v>Q402A</v>
          </cell>
          <cell r="F1" t="str">
            <v>FY02A</v>
          </cell>
          <cell r="G1" t="str">
            <v>Q103A</v>
          </cell>
          <cell r="H1" t="str">
            <v>Q203A</v>
          </cell>
          <cell r="I1" t="str">
            <v>Q303A</v>
          </cell>
          <cell r="J1" t="str">
            <v>Q403A</v>
          </cell>
          <cell r="K1" t="str">
            <v>FY03A</v>
          </cell>
          <cell r="L1" t="str">
            <v>Q104OP</v>
          </cell>
          <cell r="M1" t="str">
            <v>Q204OP</v>
          </cell>
          <cell r="N1" t="str">
            <v>Q304OP</v>
          </cell>
          <cell r="O1" t="str">
            <v>Q404OP</v>
          </cell>
          <cell r="P1" t="str">
            <v>FY04OP</v>
          </cell>
          <cell r="Q1" t="str">
            <v>Q104A</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refreshError="1"/>
      <sheetData sheetId="15"/>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 val="YTD-KER"/>
      <sheetName val="Con_pl"/>
      <sheetName val="Con. BS"/>
      <sheetName val="results"/>
      <sheetName val="P &amp; L"/>
      <sheetName val="BS"/>
      <sheetName val="FA note 11"/>
      <sheetName val="CFS (2)"/>
      <sheetName val="EPS CALULATION"/>
      <sheetName val="TAX"/>
      <sheetName val=" Def.Tax- (2)"/>
      <sheetName val="it dap calulation"/>
      <sheetName val="significant policy"/>
      <sheetName val="EPS"/>
      <sheetName val="related party"/>
      <sheetName val="Sheet1"/>
      <sheetName val="ho fa"/>
      <sheetName val="metal fa"/>
      <sheetName val="fa of 8"/>
      <sheetName val="adj"/>
      <sheetName val="certificates"/>
      <sheetName val="dividend tax"/>
      <sheetName val="foreign exc fluc"/>
      <sheetName val="inv written off"/>
      <sheetName val="dilusion"/>
      <sheetName val="loans"/>
      <sheetName val="Assumptions"/>
      <sheetName val="Project Cost"/>
      <sheetName val="Debt_Ops"/>
      <sheetName val="Working_Cap"/>
      <sheetName val="Op_Costs"/>
      <sheetName val="P&amp;L"/>
      <sheetName val="Cash Flow"/>
      <sheetName val="Balance Sheet"/>
      <sheetName val="Deprn"/>
      <sheetName val="VOL1"/>
      <sheetName val="VOL2"/>
      <sheetName val="KPI-PAY"/>
      <sheetName val="STOCKS"/>
      <sheetName val="KPI-Oee"/>
      <sheetName val="KPI-ppv"/>
      <sheetName val="MNFVAR"/>
      <sheetName val="OTH-ppv"/>
      <sheetName val="XPD"/>
      <sheetName val="XPI"/>
      <sheetName val="XPT"/>
      <sheetName val="SIMULACION"/>
      <sheetName val="KPI-P&amp;L"/>
      <sheetName val="GMV"/>
      <sheetName val="RECONC"/>
      <sheetName val="RATE"/>
      <sheetName val="GR1"/>
      <sheetName val="GR2"/>
      <sheetName val="GRANOLLERS"/>
      <sheetName val="RATE GBP HYP"/>
      <sheetName val="Fact Statement FC"/>
      <sheetName val="bgt.vs9mthupotdec.'04"/>
      <sheetName val="vc_comparision"/>
      <sheetName val="03-04_Org.bgt."/>
      <sheetName val="Org.bud._VS_rev.bgt"/>
      <sheetName val="Q1"/>
      <sheetName val="Q2"/>
      <sheetName val="Q3"/>
      <sheetName val="Q4"/>
      <sheetName val="total"/>
      <sheetName val="qtrwise_summary"/>
      <sheetName val="rbgt0405_vs_05-06"/>
      <sheetName val="Bgt.Target"/>
      <sheetName val="9mth.dec'04vs.bgt05-06vsTrgt"/>
      <sheetName val="recon"/>
      <sheetName val="Masters"/>
      <sheetName val="보고6월"/>
      <sheetName val="Capex"/>
      <sheetName val="Factory Op Statement"/>
      <sheetName val="Reconciliation"/>
      <sheetName val="OtherKPI"/>
      <sheetName val="LC"/>
      <sheetName val="GBP"/>
      <sheetName val="Sheet2"/>
      <sheetName val="Sheet3"/>
      <sheetName val="June08TB"/>
      <sheetName val="May08TB"/>
      <sheetName val="July08TB"/>
      <sheetName val="Aug08TB"/>
      <sheetName val="Sept08TB"/>
      <sheetName val="Variances"/>
      <sheetName val="KAS 08-09"/>
      <sheetName val="3 Months Sales"/>
      <sheetName val="Cost data input(input colm E-P)"/>
      <sheetName val="Sales data(input colmn G-R)"/>
      <sheetName val="Sales by customer(pivot)"/>
      <sheetName val="Sales by code (pivot)"/>
      <sheetName val="Month &amp; YTD Summary"/>
      <sheetName val="GRAPHS VALUE"/>
      <sheetName val="GRAPHS VOLUME"/>
      <sheetName val="Fixed"/>
      <sheetName val="workings"/>
      <sheetName val="Input"/>
      <sheetName val="Fixed &amp; Var"/>
      <sheetName val="2+10"/>
      <sheetName val="Back-up"/>
      <sheetName val="Intro"/>
      <sheetName val="USD"/>
      <sheetName val="Control"/>
      <sheetName val="UnitsbyActivity"/>
      <sheetName val="CARSEG.XLS"/>
      <sheetName val="2001 VM as % Rev Explanation - "/>
      <sheetName val="Drop Down Listings"/>
      <sheetName val="COS"/>
      <sheetName val="PSA Base V6 BoM"/>
      <sheetName val="PPAP Info"/>
      <sheetName val="CHKLST"/>
      <sheetName val="ISAR"/>
      <sheetName val="APQP TIMING PLAN"/>
      <sheetName val="MANUFACTURING FEASIBILITY STUDY"/>
      <sheetName val="PSW"/>
      <sheetName val="APPROVAL REQUEST"/>
      <sheetName val="Layout"/>
      <sheetName val="INTERNAL LAB SCOPE"/>
      <sheetName val="QLIB"/>
      <sheetName val="GRR"/>
      <sheetName val="List of Supp."/>
      <sheetName val="Packaging"/>
      <sheetName val="CA"/>
      <sheetName val="Bud Sales &amp; COS"/>
      <sheetName val="Sheet4"/>
      <sheetName val="SA Fin Perf 2007_17"/>
      <sheetName val="SA Fin Perf 2007_18"/>
      <sheetName val="SOA YTD Oct07_19"/>
      <sheetName val="India YTD Oct07MLC_20"/>
      <sheetName val="India YTD Oct07TGBP_21"/>
      <sheetName val="BD YTD Oct07MLC_22"/>
      <sheetName val="BD YTD Oct07TGBP_23"/>
      <sheetName val="SL YTD Oct07MLC_24"/>
      <sheetName val="SL YTD Oct07TGBP_25"/>
      <sheetName val="Ind YTD Sept MLC 26"/>
      <sheetName val="Ind YTD Sept07 TGBP 27"/>
      <sheetName val="SOA FY2007TGBP_28"/>
      <sheetName val="India FY2007MLC_29"/>
      <sheetName val="India FY2007TGBP_30"/>
      <sheetName val="BD FY2007MLC_31"/>
      <sheetName val="BD FY2007TGBP_32"/>
      <sheetName val="SL FY2007MLC_33"/>
      <sheetName val="SL FY2007TGBP_34"/>
      <sheetName val="ID FY2007MLC_35"/>
      <sheetName val="ID FY2007TGBP_36"/>
      <sheetName val="SOA NWC2007_37"/>
      <sheetName val="INDIA NWC2007_38"/>
      <sheetName val="BD NWC2007_39"/>
      <sheetName val="SL NWC2007_40"/>
      <sheetName val="ID NWC2007_41"/>
      <sheetName val="SOA-ExchangeRates_54"/>
      <sheetName val="SOACharts_56 to 60"/>
      <sheetName val="SOA PL2008TGBP_61"/>
      <sheetName val="SOA PL2008TGBP Phasing_62"/>
      <sheetName val="India PL2008MLC_66"/>
      <sheetName val="India PL2008TGBP_67"/>
      <sheetName val="BD PL2008MLC_68"/>
      <sheetName val="BD PL2008TGBP_69"/>
      <sheetName val="SL PL2008MLC_70"/>
      <sheetName val="SL PL2008TGBP_71"/>
      <sheetName val="ID PL2008MLC_72"/>
      <sheetName val="ID PL2008TGBP_73"/>
      <sheetName val="SOA NWC_2008_71"/>
      <sheetName val="INDIA NWC_2008_72"/>
      <sheetName val="BNGLD NWC_2008_73"/>
      <sheetName val="SRLNK NWC_2008_74"/>
      <sheetName val="INDNS NWC_2008_74A"/>
      <sheetName val="SOA Risk&amp;Opp2008_76"/>
      <sheetName val="SOA BTG2007TGBP_107"/>
      <sheetName val="India BTG2007MLC_108"/>
      <sheetName val="India BTG2007TGBP_109"/>
      <sheetName val="SL BTG2007MLC_110"/>
      <sheetName val="SL BTG2007TGBP_111"/>
      <sheetName val="BD BTG2007MLC_112"/>
      <sheetName val="BD BTG2007TGBP_113"/>
      <sheetName val="ID BTG2007MLC_113A"/>
      <sheetName val="ID BTG2007TGBP_113B"/>
      <sheetName val="SOA GMVA 2008_115"/>
      <sheetName val="INDIA GMVA _116"/>
      <sheetName val="SOA COC2008_117"/>
      <sheetName val="India COC2008_118"/>
      <sheetName val="SOA COP BldgBlk_119"/>
      <sheetName val="SAF-DeltaAnalysis"/>
      <sheetName val="KeyRatios_Pl2008"/>
      <sheetName val="SOA-NR Analysis"/>
      <sheetName val="BS before P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Details"/>
      <sheetName val="result"/>
      <sheetName val="IENC"/>
      <sheetName val="calc"/>
      <sheetName val="MIBOR rates"/>
      <sheetName val="Data for calm"/>
      <sheetName val="Data Entry"/>
      <sheetName val="Accrual"/>
      <sheetName val="Matured Depo"/>
      <sheetName val="Holiday list"/>
      <sheetName val="Deferrals"/>
    </sheetNames>
    <sheetDataSet>
      <sheetData sheetId="0" refreshError="1">
        <row r="5">
          <cell r="A5">
            <v>1</v>
          </cell>
          <cell r="B5" t="str">
            <v>GE CAPITAL TRANSPORTATION SER</v>
          </cell>
          <cell r="C5">
            <v>15600000</v>
          </cell>
          <cell r="D5">
            <v>37711</v>
          </cell>
          <cell r="E5">
            <v>37711</v>
          </cell>
          <cell r="F5">
            <v>38352</v>
          </cell>
          <cell r="G5">
            <v>-25</v>
          </cell>
          <cell r="H5">
            <v>38128</v>
          </cell>
          <cell r="I5" t="str">
            <v>Y</v>
          </cell>
          <cell r="J5" t="str">
            <v>Y</v>
          </cell>
          <cell r="K5">
            <v>2007462002</v>
          </cell>
          <cell r="L5">
            <v>0.20499999999999999</v>
          </cell>
          <cell r="M5">
            <v>0</v>
          </cell>
          <cell r="N5">
            <v>1</v>
          </cell>
        </row>
        <row r="6">
          <cell r="A6">
            <v>2</v>
          </cell>
          <cell r="B6" t="str">
            <v>HINDUSTAN COCA COLA BEVERAGES</v>
          </cell>
          <cell r="C6">
            <v>1000000000</v>
          </cell>
          <cell r="D6">
            <v>37700</v>
          </cell>
          <cell r="E6">
            <v>37700</v>
          </cell>
          <cell r="F6">
            <v>38774</v>
          </cell>
          <cell r="G6">
            <v>-35</v>
          </cell>
          <cell r="H6">
            <v>38774</v>
          </cell>
          <cell r="I6" t="str">
            <v>Y</v>
          </cell>
          <cell r="J6" t="str">
            <v>Y</v>
          </cell>
          <cell r="K6">
            <v>2009122012</v>
          </cell>
          <cell r="L6">
            <v>0.20499999999999999</v>
          </cell>
          <cell r="M6">
            <v>0</v>
          </cell>
          <cell r="N6">
            <v>1</v>
          </cell>
        </row>
        <row r="7">
          <cell r="A7">
            <v>3</v>
          </cell>
          <cell r="B7" t="str">
            <v>GE CAPITAL TRANSPORTATION SER</v>
          </cell>
          <cell r="C7">
            <v>14580000</v>
          </cell>
          <cell r="D7">
            <v>38013</v>
          </cell>
          <cell r="E7">
            <v>38013</v>
          </cell>
          <cell r="F7">
            <v>38195</v>
          </cell>
          <cell r="G7">
            <v>-40</v>
          </cell>
          <cell r="H7">
            <v>38128</v>
          </cell>
          <cell r="I7" t="str">
            <v>Y</v>
          </cell>
          <cell r="J7" t="str">
            <v>Y</v>
          </cell>
          <cell r="K7">
            <v>2007462002</v>
          </cell>
          <cell r="L7">
            <v>0.20499999999999999</v>
          </cell>
          <cell r="M7">
            <v>0</v>
          </cell>
          <cell r="N7">
            <v>1</v>
          </cell>
        </row>
        <row r="8">
          <cell r="A8">
            <v>4</v>
          </cell>
          <cell r="B8" t="str">
            <v>PHILLIPS CARBON BLACK LTD</v>
          </cell>
          <cell r="C8">
            <v>13824593</v>
          </cell>
          <cell r="D8">
            <v>38096</v>
          </cell>
          <cell r="E8">
            <v>38096</v>
          </cell>
          <cell r="F8">
            <v>38157</v>
          </cell>
          <cell r="H8">
            <v>38157</v>
          </cell>
          <cell r="I8" t="str">
            <v>N</v>
          </cell>
          <cell r="J8" t="str">
            <v>Y</v>
          </cell>
          <cell r="K8">
            <v>2001371005</v>
          </cell>
          <cell r="L8">
            <v>0.20499999999999999</v>
          </cell>
          <cell r="M8">
            <v>0</v>
          </cell>
          <cell r="N8">
            <v>1</v>
          </cell>
        </row>
        <row r="9">
          <cell r="A9">
            <v>5</v>
          </cell>
          <cell r="B9" t="str">
            <v>HDFC MUTUAL FUND</v>
          </cell>
          <cell r="C9">
            <v>500000000</v>
          </cell>
          <cell r="D9">
            <v>38118</v>
          </cell>
          <cell r="E9">
            <v>38118</v>
          </cell>
          <cell r="F9">
            <v>38132</v>
          </cell>
          <cell r="G9">
            <v>-20</v>
          </cell>
          <cell r="H9">
            <v>38132</v>
          </cell>
          <cell r="I9" t="str">
            <v>Y</v>
          </cell>
          <cell r="J9" t="str">
            <v>N</v>
          </cell>
          <cell r="K9">
            <v>2011305019</v>
          </cell>
          <cell r="L9">
            <v>0</v>
          </cell>
          <cell r="M9">
            <v>0</v>
          </cell>
          <cell r="N9">
            <v>1</v>
          </cell>
        </row>
        <row r="10">
          <cell r="A10">
            <v>6</v>
          </cell>
          <cell r="B10" t="str">
            <v>UTI MUTUAL FUND</v>
          </cell>
          <cell r="C10">
            <v>1000000000</v>
          </cell>
          <cell r="D10">
            <v>38119</v>
          </cell>
          <cell r="E10">
            <v>38119</v>
          </cell>
          <cell r="F10">
            <v>38147</v>
          </cell>
          <cell r="G10">
            <v>-20</v>
          </cell>
          <cell r="H10">
            <v>38147</v>
          </cell>
          <cell r="I10" t="str">
            <v>Y</v>
          </cell>
          <cell r="J10" t="str">
            <v>N</v>
          </cell>
          <cell r="K10">
            <v>2010000087</v>
          </cell>
          <cell r="L10">
            <v>0</v>
          </cell>
          <cell r="M10">
            <v>0</v>
          </cell>
          <cell r="N10">
            <v>1</v>
          </cell>
        </row>
        <row r="11">
          <cell r="A11">
            <v>7</v>
          </cell>
          <cell r="B11" t="str">
            <v>CITICORP FINANCE (INDIA) LTD</v>
          </cell>
          <cell r="C11">
            <v>280000000</v>
          </cell>
          <cell r="D11">
            <v>38122</v>
          </cell>
          <cell r="E11">
            <v>38122</v>
          </cell>
          <cell r="F11">
            <v>38138</v>
          </cell>
          <cell r="G11">
            <v>-75</v>
          </cell>
          <cell r="H11">
            <v>38138</v>
          </cell>
          <cell r="I11" t="str">
            <v>N</v>
          </cell>
          <cell r="J11" t="str">
            <v>Y</v>
          </cell>
          <cell r="K11">
            <v>2007401062</v>
          </cell>
          <cell r="L11">
            <v>0.20499999999999999</v>
          </cell>
          <cell r="M11">
            <v>0</v>
          </cell>
          <cell r="N11">
            <v>1</v>
          </cell>
        </row>
        <row r="12">
          <cell r="A12">
            <v>8</v>
          </cell>
          <cell r="B12" t="str">
            <v>CITICORP FINANCE (INDIA) LTD</v>
          </cell>
          <cell r="C12">
            <v>1000000000</v>
          </cell>
          <cell r="D12">
            <v>38124</v>
          </cell>
          <cell r="E12">
            <v>38124</v>
          </cell>
          <cell r="F12">
            <v>38139</v>
          </cell>
          <cell r="G12">
            <v>-75</v>
          </cell>
          <cell r="H12">
            <v>38139</v>
          </cell>
          <cell r="I12" t="str">
            <v>Y</v>
          </cell>
          <cell r="J12" t="str">
            <v>Y</v>
          </cell>
          <cell r="K12">
            <v>2007401062</v>
          </cell>
          <cell r="L12">
            <v>0.20499999999999999</v>
          </cell>
          <cell r="M12">
            <v>0</v>
          </cell>
          <cell r="N12">
            <v>1</v>
          </cell>
        </row>
        <row r="13">
          <cell r="A13">
            <v>9</v>
          </cell>
          <cell r="B13" t="str">
            <v>CITICORP FINANCE (INDIA) LTD</v>
          </cell>
          <cell r="C13">
            <v>500000000</v>
          </cell>
          <cell r="D13">
            <v>38125</v>
          </cell>
          <cell r="E13">
            <v>38125</v>
          </cell>
          <cell r="F13">
            <v>38140</v>
          </cell>
          <cell r="G13">
            <v>-75</v>
          </cell>
          <cell r="H13">
            <v>38140</v>
          </cell>
          <cell r="I13" t="str">
            <v>Y</v>
          </cell>
          <cell r="J13" t="str">
            <v>Y</v>
          </cell>
          <cell r="K13">
            <v>2007401062</v>
          </cell>
          <cell r="L13">
            <v>0.20499999999999999</v>
          </cell>
          <cell r="M13">
            <v>0</v>
          </cell>
          <cell r="N13">
            <v>1</v>
          </cell>
        </row>
        <row r="14">
          <cell r="A14">
            <v>10</v>
          </cell>
          <cell r="B14" t="str">
            <v>CITICORP FINANCE (INDIA) LTD</v>
          </cell>
          <cell r="C14">
            <v>80000000</v>
          </cell>
          <cell r="D14">
            <v>38126</v>
          </cell>
          <cell r="E14">
            <v>38126</v>
          </cell>
          <cell r="F14">
            <v>38141</v>
          </cell>
          <cell r="G14">
            <v>-75</v>
          </cell>
          <cell r="H14">
            <v>38141</v>
          </cell>
          <cell r="I14" t="str">
            <v>N</v>
          </cell>
          <cell r="J14" t="str">
            <v>N</v>
          </cell>
          <cell r="K14">
            <v>2007401062</v>
          </cell>
          <cell r="L14">
            <v>0.20499999999999999</v>
          </cell>
          <cell r="M14">
            <v>0</v>
          </cell>
          <cell r="N14">
            <v>1</v>
          </cell>
        </row>
        <row r="15">
          <cell r="A15">
            <v>11</v>
          </cell>
          <cell r="B15" t="str">
            <v>PHILLIPS CARBON BLACK LTD</v>
          </cell>
          <cell r="C15">
            <v>35122239</v>
          </cell>
          <cell r="D15">
            <v>38126</v>
          </cell>
          <cell r="E15">
            <v>38126</v>
          </cell>
          <cell r="F15">
            <v>38157</v>
          </cell>
          <cell r="H15">
            <v>38157</v>
          </cell>
          <cell r="I15" t="str">
            <v>N</v>
          </cell>
          <cell r="J15" t="str">
            <v>Y</v>
          </cell>
          <cell r="K15">
            <v>2001371005</v>
          </cell>
          <cell r="L15">
            <v>0.20499999999999999</v>
          </cell>
          <cell r="M15">
            <v>0</v>
          </cell>
          <cell r="N15">
            <v>1</v>
          </cell>
        </row>
        <row r="16">
          <cell r="A16">
            <v>12</v>
          </cell>
          <cell r="B16" t="str">
            <v>CITICORP FINANCE (INDIA) LTD</v>
          </cell>
          <cell r="C16">
            <v>1030000000</v>
          </cell>
          <cell r="D16">
            <v>38127</v>
          </cell>
          <cell r="E16">
            <v>38127</v>
          </cell>
          <cell r="F16">
            <v>38142</v>
          </cell>
          <cell r="G16">
            <v>-75</v>
          </cell>
          <cell r="H16">
            <v>38142</v>
          </cell>
          <cell r="I16" t="str">
            <v>Y</v>
          </cell>
          <cell r="J16" t="str">
            <v>Y</v>
          </cell>
          <cell r="K16">
            <v>2007401062</v>
          </cell>
          <cell r="L16">
            <v>0.20499999999999999</v>
          </cell>
          <cell r="M16">
            <v>0</v>
          </cell>
          <cell r="N16">
            <v>1</v>
          </cell>
        </row>
        <row r="17">
          <cell r="A17">
            <v>13</v>
          </cell>
          <cell r="B17" t="str">
            <v>HDFC MUTUAL FUND</v>
          </cell>
          <cell r="C17">
            <v>500000000</v>
          </cell>
          <cell r="D17">
            <v>38128</v>
          </cell>
          <cell r="E17">
            <v>38128</v>
          </cell>
          <cell r="F17">
            <v>38159</v>
          </cell>
          <cell r="G17">
            <v>-20</v>
          </cell>
          <cell r="H17">
            <v>38159</v>
          </cell>
          <cell r="I17" t="str">
            <v>N</v>
          </cell>
          <cell r="J17" t="str">
            <v>N</v>
          </cell>
          <cell r="K17">
            <v>2011305019</v>
          </cell>
          <cell r="L17">
            <v>0</v>
          </cell>
          <cell r="M17">
            <v>0</v>
          </cell>
          <cell r="N17">
            <v>1</v>
          </cell>
        </row>
        <row r="18">
          <cell r="A18">
            <v>14</v>
          </cell>
          <cell r="B18" t="str">
            <v>CITICORP FINANCE (INDIA) LTD</v>
          </cell>
          <cell r="C18">
            <v>80000000</v>
          </cell>
          <cell r="D18">
            <v>38128</v>
          </cell>
          <cell r="E18">
            <v>38128</v>
          </cell>
          <cell r="F18">
            <v>38142</v>
          </cell>
          <cell r="G18">
            <v>-75</v>
          </cell>
          <cell r="H18">
            <v>38142</v>
          </cell>
          <cell r="I18" t="str">
            <v>N</v>
          </cell>
          <cell r="J18" t="str">
            <v>N</v>
          </cell>
          <cell r="K18">
            <v>2007401062</v>
          </cell>
          <cell r="L18">
            <v>0.20499999999999999</v>
          </cell>
          <cell r="M18">
            <v>0</v>
          </cell>
          <cell r="N18">
            <v>1</v>
          </cell>
        </row>
        <row r="28">
          <cell r="A28" t="str">
            <v/>
          </cell>
        </row>
        <row r="33">
          <cell r="A33" t="str">
            <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Page 2"/>
      <sheetName val="Page 3"/>
      <sheetName val="Page 4"/>
      <sheetName val="Page 5"/>
      <sheetName val="Page 6"/>
      <sheetName val="Page 7"/>
      <sheetName val="ACKNOWLEDGEMENT 1"/>
      <sheetName val="Computation"/>
      <sheetName val="Capital Gains"/>
      <sheetName val="Prepaid taxes"/>
      <sheetName val="Dividend"/>
      <sheetName val="Directors list"/>
      <sheetName val="PART-1 COMPUTATION OF INCOM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ing Sheet(Revenue)"/>
      <sheetName val="Accounting Sheet(Adjustment)"/>
      <sheetName val="Original from IT"/>
      <sheetName val="Summary Conso(all servers)"/>
      <sheetName val="Billing Stastics"/>
      <sheetName val="Rationalisation(a)"/>
      <sheetName val="Rationalisation (b)"/>
      <sheetName val="DPR 31st march"/>
      <sheetName val="Adj"/>
      <sheetName val="NRC"/>
      <sheetName val="RC"/>
      <sheetName val="USG-Amt"/>
      <sheetName val="USG-Dur"/>
      <sheetName val="Analysis of Zero Usage"/>
      <sheetName val="rate plan wise active base"/>
      <sheetName val="zero usage cases"/>
      <sheetName val="Outroaming_Payable"/>
      <sheetName val="Inroaming_Recievable"/>
      <sheetName val="POSTPAID  - PROV APR 03"/>
      <sheetName val="magic rev"/>
      <sheetName val="RC promo"/>
      <sheetName val="distr RF3"/>
      <sheetName val="HW"/>
      <sheetName val="80S R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Assume"/>
      <sheetName val="AANEX-L(TDS)"/>
      <sheetName val="Sheet1"/>
      <sheetName val="FAR (1)"/>
      <sheetName val="Comp"/>
      <sheetName val="Other"/>
      <sheetName val="Summary"/>
      <sheetName val="E_98-99"/>
      <sheetName val="Building"/>
      <sheetName val="SUN Variables"/>
      <sheetName val="samik_-_dues"/>
      <sheetName val="Samik_(3)"/>
      <sheetName val="FORM-16_Samik"/>
      <sheetName val="alok_-_for_f-16"/>
      <sheetName val="Tax_deposits"/>
      <sheetName val="SUN_Variables"/>
      <sheetName val="Network Summary"/>
      <sheetName val="Prices"/>
      <sheetName val="Control"/>
      <sheetName val="Calc"/>
      <sheetName val="Licences"/>
      <sheetName val="old_serial no."/>
      <sheetName val="tot_ass_9697"/>
      <sheetName val="Switch costs lookup"/>
      <sheetName val="comp."/>
      <sheetName val="Input"/>
      <sheetName val="FA"/>
      <sheetName val="Outgoing"/>
      <sheetName val="Incoming"/>
      <sheetName val="TT35"/>
      <sheetName val="Input-Pack Level"/>
      <sheetName val="INDORAMA Group June 02"/>
      <sheetName val="Delhi"/>
      <sheetName val="LCD"/>
      <sheetName val="Schedule A"/>
      <sheetName val="PLJAN"/>
      <sheetName val="Sheet Index"/>
      <sheetName val="Scenarios"/>
      <sheetName val="Input Sheet"/>
      <sheetName val="IRR Gaming"/>
      <sheetName val="P&amp;L breakup"/>
      <sheetName val="SALES-VAL"/>
      <sheetName val="US P&amp;L"/>
      <sheetName val="factor sheet"/>
      <sheetName val="currency (2)"/>
      <sheetName val="Factors"/>
      <sheetName val="DATA CH. 281"/>
      <sheetName val="cover for tax"/>
      <sheetName val="INFO"/>
      <sheetName val="NOTES "/>
      <sheetName val="new_main_20K"/>
      <sheetName val="MSU"/>
      <sheetName val="currency"/>
      <sheetName val="Switch_costs_lookup"/>
      <sheetName val="currency_(2)"/>
      <sheetName val="Cover "/>
      <sheetName val="Form"/>
      <sheetName val="Challan"/>
      <sheetName val="Cover_"/>
      <sheetName val="Fin-Assm"/>
      <sheetName val="Assumptions"/>
      <sheetName val="FX-13"/>
      <sheetName val="Factor_sheet"/>
      <sheetName val="Total Haryana POs AMC Sheet 3%"/>
      <sheetName val="delhi 03-04AMC @ 3%"/>
      <sheetName val="itemsdetails"/>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RE1"/>
      <sheetName val="Lists"/>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3 CD"/>
      <sheetName val=" TA section details"/>
      <sheetName val="Annexure 1"/>
      <sheetName val="Annexure 2"/>
      <sheetName val="Annexure 3"/>
      <sheetName val="annex4"/>
      <sheetName val="annex "/>
      <sheetName val="Ann"/>
      <sheetName val="annex 5"/>
      <sheetName val="Annex 6"/>
      <sheetName val="Appendix 1"/>
      <sheetName val="Appendix 2"/>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TARGE"/>
      <sheetName val="FORM-16"/>
      <sheetName val="entitlements"/>
    </sheet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3.01 Raw Material"/>
      <sheetName val="E-3.02 - PACKING MATERIAL"/>
      <sheetName val="E-3.03 - FINISHED GOODS"/>
      <sheetName val="E_3_01 Raw Material"/>
      <sheetName val="E_3_03 _ FINISHED GOODS"/>
      <sheetName val="1-10"/>
    </sheetNames>
    <sheetDataSet>
      <sheetData sheetId="0" refreshError="1">
        <row r="105">
          <cell r="I105" t="str">
            <v>A-4</v>
          </cell>
        </row>
      </sheetData>
      <sheetData sheetId="1"/>
      <sheetData sheetId="2" refreshError="1">
        <row r="175">
          <cell r="H175" t="str">
            <v>A-4</v>
          </cell>
        </row>
      </sheetData>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arameters"/>
      <sheetName val="Percentages"/>
      <sheetName val="People Depts"/>
      <sheetName val="Marketing"/>
      <sheetName val="IS"/>
      <sheetName val="Central Depts"/>
      <sheetName val="Int. Sales"/>
      <sheetName val="Turnover"/>
      <sheetName val="Space"/>
      <sheetName val="Warehouse"/>
      <sheetName val="Actuals"/>
      <sheetName val="Budget "/>
      <sheetName val="Act Dir Mkt"/>
      <sheetName val="Act Bud Var"/>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Customize Your Purchase Order"/>
      <sheetName val="Forecast Sales Model"/>
      <sheetName val="BS-203"/>
    </sheetNames>
    <sheetDataSet>
      <sheetData sheetId="0"/>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Austria Total"/>
      <sheetName val="P&amp;L-Austria Gesamt"/>
      <sheetName val="P&amp;L-Austria Brand&amp;Interco"/>
      <sheetName val="P&amp;L-Austria Privat label"/>
      <sheetName val="INVENTORY SKU"/>
      <sheetName val="INVENTORY STD"/>
      <sheetName val="MAIN MENU"/>
      <sheetName val="Labour By Branch"/>
      <sheetName val="HHold Labour Rate"/>
      <sheetName val="Aerosol Labour Rate"/>
      <sheetName val="WP Labour Rate"/>
      <sheetName val="Households"/>
      <sheetName val="Aerosol Cost Per Case"/>
      <sheetName val="HHOLD Cost Per Case"/>
      <sheetName val="WP Cost Per Case"/>
      <sheetName val="HH Chart - Volume"/>
      <sheetName val="HH  Chart - Labour"/>
      <sheetName val="Aerosol"/>
      <sheetName val="AA Chart - Labour"/>
      <sheetName val="AA Chart - Volume"/>
      <sheetName val="WETHERILL PARK"/>
      <sheetName val="WP Chart - Labour "/>
      <sheetName val="WP Chart - Volume"/>
      <sheetName val="Total Business"/>
      <sheetName val="Total Bus - Labour"/>
      <sheetName val="Total Bus - Volume"/>
      <sheetName val="Total Bus - Case"/>
      <sheetName val="Title"/>
      <sheetName val="SUPPLY REPORTING LABOUR- JANUAR"/>
      <sheetName val="PV"/>
      <sheetName val="Sheet4"/>
      <sheetName val="SA Fin Perf 2007_17"/>
      <sheetName val="SA Fin Perf 2007_18"/>
      <sheetName val="SOA YTD Oct07_19"/>
      <sheetName val="India YTD Oct07MLC_20"/>
      <sheetName val="India YTD Oct07TGBP_21"/>
      <sheetName val="BD YTD Oct07MLC_22"/>
      <sheetName val="BD YTD Oct07TGBP_23"/>
      <sheetName val="SL YTD Oct07MLC_24"/>
      <sheetName val="SL YTD Oct07TGBP_25"/>
      <sheetName val="Ind YTD Sept MLC 26"/>
      <sheetName val="Ind YTD Sept07 TGBP 27"/>
      <sheetName val="SOA FY2007TGBP_28"/>
      <sheetName val="India FY2007MLC_29"/>
      <sheetName val="India FY2007TGBP_30"/>
      <sheetName val="BD FY2007MLC_31"/>
      <sheetName val="BD FY2007TGBP_32"/>
      <sheetName val="SL FY2007MLC_33"/>
      <sheetName val="SL FY2007TGBP_34"/>
      <sheetName val="ID FY2007MLC_35"/>
      <sheetName val="ID FY2007TGBP_36"/>
      <sheetName val="SOA NWC2007_37"/>
      <sheetName val="INDIA NWC2007_38"/>
      <sheetName val="BD NWC2007_39"/>
      <sheetName val="SL NWC2007_40"/>
      <sheetName val="ID NWC2007_41"/>
      <sheetName val="SOA-ExchangeRates_54"/>
      <sheetName val="SOACharts_56 to 60"/>
      <sheetName val="SOA PL2008TGBP_61"/>
      <sheetName val="SOA PL2008TGBP Phasing_62"/>
      <sheetName val="India PL2008MLC_66"/>
      <sheetName val="India PL2008TGBP_67"/>
      <sheetName val="BD PL2008MLC_68"/>
      <sheetName val="BD PL2008TGBP_69"/>
      <sheetName val="SL PL2008MLC_70"/>
      <sheetName val="SL PL2008TGBP_71"/>
      <sheetName val="ID PL2008MLC_72"/>
      <sheetName val="ID PL2008TGBP_73"/>
      <sheetName val="SOA NWC_2008_71"/>
      <sheetName val="INDIA NWC_2008_72"/>
      <sheetName val="BNGLD NWC_2008_73"/>
      <sheetName val="SRLNK NWC_2008_74"/>
      <sheetName val="INDNS NWC_2008_74A"/>
      <sheetName val="SOA Risk&amp;Opp2008_76"/>
      <sheetName val="SOA BTG2007TGBP_107"/>
      <sheetName val="India BTG2007MLC_108"/>
      <sheetName val="India BTG2007TGBP_109"/>
      <sheetName val="SL BTG2007MLC_110"/>
      <sheetName val="SL BTG2007TGBP_111"/>
      <sheetName val="BD BTG2007MLC_112"/>
      <sheetName val="BD BTG2007TGBP_113"/>
      <sheetName val="ID BTG2007MLC_113A"/>
      <sheetName val="ID BTG2007TGBP_113B"/>
      <sheetName val="SOA GMVA 2008_115"/>
      <sheetName val="INDIA GMVA _116"/>
      <sheetName val="SOA COC2008_117"/>
      <sheetName val="India COC2008_118"/>
      <sheetName val="SOA COP BldgBlk_119"/>
      <sheetName val="SAF-DeltaAnalysis"/>
      <sheetName val="KeyRatios_Pl2008"/>
      <sheetName val="SOA-NR Analysis"/>
      <sheetName val="BS before PMO"/>
      <sheetName val="COGS"/>
      <sheetName val="FGcst"/>
      <sheetName val="FGcst (2)"/>
      <sheetName val="Financials"/>
      <sheetName val="Gross Vol."/>
      <sheetName val="TM Rate"/>
      <sheetName val="Return Vol."/>
      <sheetName val="DB Incv."/>
      <sheetName val="DM rate"/>
      <sheetName val="NR"/>
      <sheetName val="COGS Rate"/>
      <sheetName val="STC Rate "/>
      <sheetName val="COGS Value"/>
      <sheetName val="MT"/>
      <sheetName val="MRP"/>
      <sheetName val="Trade Margin"/>
      <sheetName val="STC Net"/>
      <sheetName val="DM value"/>
      <sheetName val="TS"/>
      <sheetName val="TM"/>
      <sheetName val="TmDmDbins"/>
      <sheetName val="TM+DB Incv."/>
      <sheetName val="Return Value"/>
      <sheetName val="Mkt. Bud"/>
      <sheetName val="Mkt."/>
      <sheetName val="Stat case"/>
      <sheetName val="Provi+adj"/>
      <sheetName val="NR Per Case"/>
      <sheetName val="VAT prov"/>
      <sheetName val="COGS rate Adj"/>
      <sheetName val="TM adj"/>
      <sheetName val="Plan 2007"/>
      <sheetName val="EV"/>
      <sheetName val="AA ROUT "/>
      <sheetName val="HH ROUT"/>
      <sheetName val="WP"/>
      <sheetName val="OEE Jan"/>
      <sheetName val="IT_FBT_DDTP"/>
      <sheetName val="Ketlon Data"/>
      <sheetName val="K A B"/>
      <sheetName val="Triplex Data"/>
      <sheetName val="T A B"/>
      <sheetName val="Triplex Aged Balance"/>
      <sheetName val="Triplex Remits"/>
      <sheetName val="Ketlon Aged Balance"/>
      <sheetName val="Ketlon Remits"/>
      <sheetName val="SELF BILL &amp; EXPORT"/>
      <sheetName val="HELP"/>
      <sheetName val="Triplex List"/>
      <sheetName val="Ketlon List"/>
      <sheetName val="Triplex Address List"/>
      <sheetName val="Ketlon Address List"/>
      <sheetName val="King Auto Systems"/>
      <sheetName val="K A 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sheetData sheetId="135" refreshError="1"/>
      <sheetData sheetId="136"/>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trial (2)"/>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vimoni"/>
      <sheetName val="Headwise TB"/>
      <sheetName val="Balancesheet"/>
      <sheetName val="CMA"/>
      <sheetName val="Adjustment of Loan"/>
      <sheetName val="Depriciation"/>
      <sheetName val="Computation"/>
      <sheetName val="liabilities"/>
      <sheetName val="Assets"/>
      <sheetName val="Earned Leave &amp; Gratuity"/>
      <sheetName val="Expenses"/>
      <sheetName val="Stock RM"/>
      <sheetName val="Stock Semi finished"/>
      <sheetName val="Sheet10"/>
      <sheetName val="Sheet1"/>
      <sheetName val="Sheet16"/>
      <sheetName val="Input"/>
      <sheetName val="b"/>
      <sheetName val="Assumptions"/>
      <sheetName val="ANNEX-I(21(B)"/>
      <sheetName val="ANNEX-J(P)"/>
      <sheetName val="ANX-D(16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Vimoni (India) Private Limited</v>
          </cell>
        </row>
      </sheetData>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
      <sheetName val="BS Schedule "/>
      <sheetName val="P &amp; L Schedule"/>
      <sheetName val="Abstract"/>
      <sheetName val="Tax Comp"/>
      <sheetName val="MAT-115JB"/>
      <sheetName val="Ann-Form29B"/>
      <sheetName val="TDSDedcuted-FY0910"/>
      <sheetName val="Exemption-10B"/>
      <sheetName val="Dep IT"/>
      <sheetName val="Dep IT-OS"/>
      <sheetName val="Group - BS"/>
      <sheetName val="Group - P &amp; L"/>
      <sheetName val="TB-Apr'08-Mar'10"/>
      <sheetName val="Input"/>
      <sheetName val="IT-Prov_CY09"/>
      <sheetName val="Dep Chart"/>
      <sheetName val="Dep Chart (2)"/>
      <sheetName val="Int 234 B&amp;C"/>
      <sheetName val="Tax Compt.-Final"/>
      <sheetName val="115JB"/>
      <sheetName val="Pending Issues"/>
      <sheetName val="TrialBal-Final"/>
      <sheetName val="Trial Balance "/>
      <sheetName val="Computation"/>
      <sheetName val="Co Act"/>
      <sheetName val="Income Tax "/>
      <sheetName val="AS-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1010101</v>
          </cell>
          <cell r="B5" t="str">
            <v>01010101 - Capital</v>
          </cell>
          <cell r="D5">
            <v>1700000</v>
          </cell>
          <cell r="E5">
            <v>0</v>
          </cell>
          <cell r="F5">
            <v>1700000</v>
          </cell>
        </row>
        <row r="6">
          <cell r="A6">
            <v>1010102</v>
          </cell>
          <cell r="B6" t="str">
            <v>01010102 - Ranjit Shastri</v>
          </cell>
          <cell r="E6">
            <v>0</v>
          </cell>
          <cell r="F6">
            <v>0</v>
          </cell>
        </row>
        <row r="7">
          <cell r="A7">
            <v>1010103</v>
          </cell>
          <cell r="B7" t="str">
            <v>01010103 - Share Appl. Money</v>
          </cell>
          <cell r="E7">
            <v>0</v>
          </cell>
          <cell r="F7">
            <v>0</v>
          </cell>
        </row>
        <row r="8">
          <cell r="A8">
            <v>1010104</v>
          </cell>
          <cell r="B8" t="str">
            <v>01010104 - Share Premium</v>
          </cell>
          <cell r="D8">
            <v>8700000</v>
          </cell>
          <cell r="E8">
            <v>0</v>
          </cell>
          <cell r="F8">
            <v>8700000</v>
          </cell>
        </row>
        <row r="9">
          <cell r="A9">
            <v>1020201</v>
          </cell>
          <cell r="B9" t="str">
            <v>01020201 - SmartAnalyst Inc. - Adv.&amp; Sec. Dep.</v>
          </cell>
          <cell r="D9">
            <v>10260890.35</v>
          </cell>
          <cell r="E9">
            <v>0</v>
          </cell>
          <cell r="F9">
            <v>10260890.35</v>
          </cell>
        </row>
        <row r="10">
          <cell r="A10">
            <v>1030102</v>
          </cell>
          <cell r="B10" t="str">
            <v>01030102 - TDS Payable (Contr)</v>
          </cell>
          <cell r="D10">
            <v>20562.5</v>
          </cell>
          <cell r="E10">
            <v>0</v>
          </cell>
          <cell r="F10">
            <v>19665</v>
          </cell>
        </row>
        <row r="11">
          <cell r="A11">
            <v>1030103</v>
          </cell>
          <cell r="B11" t="str">
            <v>01030103 - TDS Payable (Prof)</v>
          </cell>
          <cell r="D11">
            <v>93481</v>
          </cell>
          <cell r="E11">
            <v>0</v>
          </cell>
          <cell r="F11">
            <v>127551</v>
          </cell>
        </row>
        <row r="12">
          <cell r="A12">
            <v>1030104</v>
          </cell>
          <cell r="B12" t="str">
            <v>01030104 - TDS Payable (Rent)</v>
          </cell>
          <cell r="D12">
            <v>352585</v>
          </cell>
          <cell r="E12">
            <v>0</v>
          </cell>
          <cell r="F12">
            <v>159550</v>
          </cell>
        </row>
        <row r="13">
          <cell r="A13">
            <v>1030105</v>
          </cell>
          <cell r="B13" t="str">
            <v>01030105 - TDS Payable (Salary)</v>
          </cell>
          <cell r="D13">
            <v>1234312</v>
          </cell>
          <cell r="E13">
            <v>0</v>
          </cell>
          <cell r="F13">
            <v>1074260</v>
          </cell>
        </row>
        <row r="14">
          <cell r="A14">
            <v>1030106</v>
          </cell>
          <cell r="B14" t="str">
            <v>01030106 - FBT Payable</v>
          </cell>
          <cell r="D14">
            <v>7640</v>
          </cell>
          <cell r="E14">
            <v>0</v>
          </cell>
          <cell r="F14">
            <v>0</v>
          </cell>
        </row>
        <row r="15">
          <cell r="A15">
            <v>1030107</v>
          </cell>
          <cell r="B15" t="str">
            <v>01030107 - TDS Payable (Common Serv)</v>
          </cell>
          <cell r="E15">
            <v>0</v>
          </cell>
          <cell r="F15">
            <v>0</v>
          </cell>
        </row>
        <row r="16">
          <cell r="A16">
            <v>1030108</v>
          </cell>
          <cell r="B16" t="str">
            <v>01030108 - TDS Payable (Int)</v>
          </cell>
          <cell r="D16">
            <v>13307</v>
          </cell>
          <cell r="E16">
            <v>0</v>
          </cell>
          <cell r="F16">
            <v>4586</v>
          </cell>
        </row>
        <row r="17">
          <cell r="A17">
            <v>1030109</v>
          </cell>
          <cell r="B17" t="str">
            <v>01030109 - Service Tax Payable (Services)</v>
          </cell>
          <cell r="E17">
            <v>0</v>
          </cell>
          <cell r="F17">
            <v>0</v>
          </cell>
        </row>
        <row r="18">
          <cell r="A18">
            <v>1030110</v>
          </cell>
          <cell r="B18" t="str">
            <v>01030110 - TDS Payable - Brokerage</v>
          </cell>
          <cell r="D18">
            <v>117866</v>
          </cell>
          <cell r="E18">
            <v>0</v>
          </cell>
          <cell r="F18">
            <v>0</v>
          </cell>
        </row>
        <row r="19">
          <cell r="A19">
            <v>1030111</v>
          </cell>
          <cell r="B19" t="str">
            <v>01030111 - Service Tax Payable (Rent)</v>
          </cell>
          <cell r="E19">
            <v>0</v>
          </cell>
          <cell r="F19">
            <v>0</v>
          </cell>
        </row>
        <row r="20">
          <cell r="A20">
            <v>1030112</v>
          </cell>
          <cell r="B20" t="str">
            <v>01030112 - TDS Payable (Foreign Services)</v>
          </cell>
          <cell r="E20">
            <v>0</v>
          </cell>
          <cell r="F20">
            <v>0</v>
          </cell>
        </row>
        <row r="21">
          <cell r="A21">
            <v>1030113</v>
          </cell>
          <cell r="B21" t="str">
            <v>01030113 - HLWF -Payable</v>
          </cell>
          <cell r="D21">
            <v>6450</v>
          </cell>
          <cell r="E21">
            <v>0</v>
          </cell>
          <cell r="F21">
            <v>4815</v>
          </cell>
        </row>
        <row r="22">
          <cell r="A22">
            <v>1030114</v>
          </cell>
          <cell r="B22" t="str">
            <v>01030114 -  Service Tax Liability</v>
          </cell>
          <cell r="E22">
            <v>0</v>
          </cell>
          <cell r="F22">
            <v>96564</v>
          </cell>
        </row>
        <row r="23">
          <cell r="A23">
            <v>1030130</v>
          </cell>
          <cell r="B23" t="str">
            <v>01030130 - Income Tax Payable</v>
          </cell>
          <cell r="D23">
            <v>2844630</v>
          </cell>
          <cell r="E23">
            <v>0</v>
          </cell>
          <cell r="F23">
            <v>1759053</v>
          </cell>
        </row>
        <row r="24">
          <cell r="A24">
            <v>1031001</v>
          </cell>
          <cell r="B24" t="str">
            <v>01031001 - Active Comm.</v>
          </cell>
          <cell r="E24">
            <v>0</v>
          </cell>
          <cell r="F24">
            <v>0</v>
          </cell>
        </row>
        <row r="25">
          <cell r="A25">
            <v>1031002</v>
          </cell>
          <cell r="B25" t="str">
            <v>01031002 - N. Sriram</v>
          </cell>
          <cell r="E25">
            <v>0</v>
          </cell>
          <cell r="F25">
            <v>0</v>
          </cell>
        </row>
        <row r="26">
          <cell r="A26">
            <v>1031003</v>
          </cell>
          <cell r="B26" t="str">
            <v>01031003 - Namrata</v>
          </cell>
          <cell r="E26">
            <v>0</v>
          </cell>
          <cell r="F26">
            <v>0</v>
          </cell>
        </row>
        <row r="27">
          <cell r="A27">
            <v>1031004</v>
          </cell>
          <cell r="B27" t="str">
            <v>01031004 - J. Chhachhi</v>
          </cell>
          <cell r="E27">
            <v>0</v>
          </cell>
          <cell r="F27">
            <v>0</v>
          </cell>
        </row>
        <row r="28">
          <cell r="A28">
            <v>1031005</v>
          </cell>
          <cell r="B28" t="str">
            <v>01031005 - E. Chitra</v>
          </cell>
          <cell r="E28">
            <v>0</v>
          </cell>
          <cell r="F28">
            <v>0</v>
          </cell>
        </row>
        <row r="29">
          <cell r="A29">
            <v>1031006</v>
          </cell>
          <cell r="B29" t="str">
            <v>01031006 - Avninder Srivastava</v>
          </cell>
          <cell r="E29">
            <v>0</v>
          </cell>
          <cell r="F29">
            <v>0</v>
          </cell>
        </row>
        <row r="30">
          <cell r="A30">
            <v>1031007</v>
          </cell>
          <cell r="B30" t="str">
            <v>01031007 - Anuradha Bhasin</v>
          </cell>
          <cell r="E30">
            <v>0</v>
          </cell>
          <cell r="F30">
            <v>0</v>
          </cell>
        </row>
        <row r="31">
          <cell r="A31">
            <v>1031008</v>
          </cell>
          <cell r="B31" t="str">
            <v>01031008 - Info Transtech</v>
          </cell>
          <cell r="E31">
            <v>0</v>
          </cell>
          <cell r="F31">
            <v>0</v>
          </cell>
        </row>
        <row r="32">
          <cell r="A32">
            <v>1031009</v>
          </cell>
          <cell r="B32" t="str">
            <v>01031009 - Inox Global</v>
          </cell>
          <cell r="E32">
            <v>0</v>
          </cell>
          <cell r="F32">
            <v>0</v>
          </cell>
        </row>
        <row r="33">
          <cell r="A33">
            <v>1031010</v>
          </cell>
          <cell r="B33" t="str">
            <v>01031010 - SpadeWorkz</v>
          </cell>
          <cell r="E33">
            <v>0</v>
          </cell>
          <cell r="F33">
            <v>0</v>
          </cell>
        </row>
        <row r="34">
          <cell r="A34">
            <v>1031011</v>
          </cell>
          <cell r="B34" t="str">
            <v>01031011 - MKS</v>
          </cell>
          <cell r="E34">
            <v>0</v>
          </cell>
          <cell r="F34">
            <v>0</v>
          </cell>
        </row>
        <row r="35">
          <cell r="A35">
            <v>1031012</v>
          </cell>
          <cell r="B35" t="str">
            <v>01031012 - Unitell</v>
          </cell>
          <cell r="E35">
            <v>0</v>
          </cell>
          <cell r="F35">
            <v>0</v>
          </cell>
        </row>
        <row r="36">
          <cell r="A36">
            <v>1031013</v>
          </cell>
          <cell r="B36" t="str">
            <v>01031013 - Jobs &amp; Bonds</v>
          </cell>
          <cell r="E36">
            <v>0</v>
          </cell>
          <cell r="F36">
            <v>0</v>
          </cell>
        </row>
        <row r="37">
          <cell r="A37">
            <v>1031014</v>
          </cell>
          <cell r="B37" t="str">
            <v>01031014 - KM Associates</v>
          </cell>
          <cell r="E37">
            <v>0</v>
          </cell>
          <cell r="F37">
            <v>0</v>
          </cell>
        </row>
        <row r="38">
          <cell r="A38">
            <v>1031015</v>
          </cell>
          <cell r="B38" t="str">
            <v>01031015 - Perspective Conslt</v>
          </cell>
          <cell r="E38">
            <v>0</v>
          </cell>
          <cell r="F38">
            <v>0</v>
          </cell>
        </row>
        <row r="39">
          <cell r="A39">
            <v>1031016</v>
          </cell>
          <cell r="B39" t="str">
            <v>01031016 - Quadrangle Consltng</v>
          </cell>
          <cell r="E39">
            <v>0</v>
          </cell>
          <cell r="F39">
            <v>0</v>
          </cell>
        </row>
        <row r="40">
          <cell r="A40">
            <v>1031017</v>
          </cell>
          <cell r="B40" t="str">
            <v>01031017 - Ravi Garg</v>
          </cell>
          <cell r="E40">
            <v>0</v>
          </cell>
          <cell r="F40">
            <v>0</v>
          </cell>
        </row>
        <row r="41">
          <cell r="A41">
            <v>1031018</v>
          </cell>
          <cell r="B41" t="str">
            <v>01031018 - Sandeep Gupta</v>
          </cell>
          <cell r="E41">
            <v>0</v>
          </cell>
          <cell r="F41">
            <v>0</v>
          </cell>
        </row>
        <row r="42">
          <cell r="A42">
            <v>1031019</v>
          </cell>
          <cell r="B42" t="str">
            <v>01031019 - Komal Agarwal (HR Conslt)</v>
          </cell>
          <cell r="E42">
            <v>0</v>
          </cell>
          <cell r="F42">
            <v>0</v>
          </cell>
        </row>
        <row r="43">
          <cell r="A43">
            <v>1031020</v>
          </cell>
          <cell r="B43" t="str">
            <v>01031020 - Delta</v>
          </cell>
          <cell r="E43">
            <v>0</v>
          </cell>
          <cell r="F43">
            <v>0</v>
          </cell>
        </row>
        <row r="44">
          <cell r="A44">
            <v>1031021</v>
          </cell>
          <cell r="B44" t="str">
            <v>01031021 - Del DSL Internet</v>
          </cell>
          <cell r="E44">
            <v>0</v>
          </cell>
          <cell r="F44">
            <v>0</v>
          </cell>
        </row>
        <row r="45">
          <cell r="A45">
            <v>1031022</v>
          </cell>
          <cell r="B45" t="str">
            <v>01031022 - Supreme Furniture</v>
          </cell>
          <cell r="D45">
            <v>1506170</v>
          </cell>
          <cell r="E45">
            <v>0</v>
          </cell>
          <cell r="F45">
            <v>0</v>
          </cell>
        </row>
        <row r="46">
          <cell r="A46">
            <v>1031023</v>
          </cell>
          <cell r="B46" t="str">
            <v>01031023 - IECS</v>
          </cell>
          <cell r="E46">
            <v>0</v>
          </cell>
          <cell r="F46">
            <v>0</v>
          </cell>
        </row>
        <row r="47">
          <cell r="A47">
            <v>1031024</v>
          </cell>
          <cell r="B47" t="str">
            <v>01031024 - Iris Unified Learning Ltd.</v>
          </cell>
          <cell r="E47">
            <v>0</v>
          </cell>
          <cell r="F47">
            <v>0</v>
          </cell>
        </row>
        <row r="48">
          <cell r="A48">
            <v>1031025</v>
          </cell>
          <cell r="B48" t="str">
            <v>01031025 - Netlab Solution Inc.</v>
          </cell>
          <cell r="E48">
            <v>0</v>
          </cell>
          <cell r="F48">
            <v>0</v>
          </cell>
        </row>
        <row r="49">
          <cell r="A49">
            <v>1031026</v>
          </cell>
          <cell r="B49" t="str">
            <v>01031026 - Ideal Mktg. (Water)</v>
          </cell>
          <cell r="E49">
            <v>0</v>
          </cell>
          <cell r="F49">
            <v>0</v>
          </cell>
        </row>
        <row r="50">
          <cell r="A50">
            <v>1031027</v>
          </cell>
          <cell r="B50" t="str">
            <v>01031027 - Aggarwal Stores</v>
          </cell>
          <cell r="E50">
            <v>0</v>
          </cell>
          <cell r="F50">
            <v>0</v>
          </cell>
        </row>
        <row r="51">
          <cell r="A51">
            <v>1031028</v>
          </cell>
          <cell r="B51" t="str">
            <v>01031028 - Pooja Taxi</v>
          </cell>
          <cell r="E51">
            <v>0</v>
          </cell>
          <cell r="F51">
            <v>0</v>
          </cell>
        </row>
        <row r="52">
          <cell r="A52">
            <v>1031029</v>
          </cell>
          <cell r="B52" t="str">
            <v>01031029 - Sunrise Systems</v>
          </cell>
          <cell r="E52">
            <v>0</v>
          </cell>
          <cell r="F52">
            <v>0</v>
          </cell>
        </row>
        <row r="53">
          <cell r="A53">
            <v>1031030</v>
          </cell>
          <cell r="B53" t="str">
            <v>01031030 - Twinkle Stationers</v>
          </cell>
          <cell r="E53">
            <v>0</v>
          </cell>
          <cell r="F53">
            <v>0</v>
          </cell>
        </row>
        <row r="54">
          <cell r="A54">
            <v>1031031</v>
          </cell>
          <cell r="B54" t="str">
            <v>01031031 - Viraj Enterprises</v>
          </cell>
          <cell r="E54">
            <v>0</v>
          </cell>
          <cell r="F54">
            <v>0</v>
          </cell>
        </row>
        <row r="55">
          <cell r="A55">
            <v>1031032</v>
          </cell>
          <cell r="B55" t="str">
            <v>01031032 - Syntax Soft - Tech</v>
          </cell>
          <cell r="E55">
            <v>0</v>
          </cell>
          <cell r="F55">
            <v>0</v>
          </cell>
        </row>
        <row r="56">
          <cell r="A56">
            <v>1031033</v>
          </cell>
          <cell r="B56" t="str">
            <v>01031033 - Tack Innovation</v>
          </cell>
          <cell r="E56">
            <v>0</v>
          </cell>
          <cell r="F56">
            <v>0</v>
          </cell>
        </row>
        <row r="57">
          <cell r="A57">
            <v>1031034</v>
          </cell>
          <cell r="B57" t="str">
            <v>01031034 - Ish Arora</v>
          </cell>
          <cell r="E57">
            <v>0</v>
          </cell>
          <cell r="F57">
            <v>0</v>
          </cell>
        </row>
        <row r="58">
          <cell r="A58">
            <v>1031035</v>
          </cell>
          <cell r="B58" t="str">
            <v>01031035 - Manish Arora</v>
          </cell>
          <cell r="E58">
            <v>0</v>
          </cell>
          <cell r="F58">
            <v>0</v>
          </cell>
        </row>
        <row r="59">
          <cell r="A59">
            <v>1031036</v>
          </cell>
          <cell r="B59" t="str">
            <v>01031036 - S. B. Developers Ltd.</v>
          </cell>
          <cell r="E59">
            <v>0</v>
          </cell>
          <cell r="F59">
            <v>0</v>
          </cell>
        </row>
        <row r="60">
          <cell r="A60">
            <v>1031037</v>
          </cell>
          <cell r="B60" t="str">
            <v>01031037 - Black Fox Security</v>
          </cell>
          <cell r="E60">
            <v>0</v>
          </cell>
          <cell r="F60">
            <v>0</v>
          </cell>
        </row>
        <row r="61">
          <cell r="A61">
            <v>1031038</v>
          </cell>
          <cell r="B61" t="str">
            <v>01031038 - ERA Pvt. Ltd.</v>
          </cell>
          <cell r="E61">
            <v>0</v>
          </cell>
          <cell r="F61">
            <v>0</v>
          </cell>
        </row>
        <row r="62">
          <cell r="A62">
            <v>1031040</v>
          </cell>
          <cell r="B62" t="str">
            <v>01031040 - Vulcan Mould &amp; Dies</v>
          </cell>
          <cell r="E62">
            <v>0</v>
          </cell>
          <cell r="F62">
            <v>0</v>
          </cell>
        </row>
        <row r="63">
          <cell r="A63">
            <v>1031041</v>
          </cell>
          <cell r="B63" t="str">
            <v>01031041 - DLF CyberCity</v>
          </cell>
          <cell r="E63">
            <v>0</v>
          </cell>
          <cell r="F63">
            <v>0</v>
          </cell>
        </row>
        <row r="64">
          <cell r="A64">
            <v>1031042</v>
          </cell>
          <cell r="B64" t="str">
            <v>01031042 - Avanindra Kumar</v>
          </cell>
          <cell r="E64">
            <v>0</v>
          </cell>
          <cell r="F64">
            <v>0</v>
          </cell>
        </row>
        <row r="65">
          <cell r="A65">
            <v>1031043</v>
          </cell>
          <cell r="B65" t="str">
            <v>01031043 - Sujata Chatterji</v>
          </cell>
          <cell r="E65">
            <v>0</v>
          </cell>
          <cell r="F65">
            <v>0</v>
          </cell>
        </row>
        <row r="66">
          <cell r="A66">
            <v>1031044</v>
          </cell>
          <cell r="B66" t="str">
            <v>01031044 - Allied Videos</v>
          </cell>
          <cell r="E66">
            <v>0</v>
          </cell>
          <cell r="F66">
            <v>0</v>
          </cell>
        </row>
        <row r="67">
          <cell r="A67">
            <v>1031045</v>
          </cell>
          <cell r="B67" t="str">
            <v>01031045 - Jayna Book Depot</v>
          </cell>
          <cell r="E67">
            <v>0</v>
          </cell>
          <cell r="F67">
            <v>0</v>
          </cell>
        </row>
        <row r="68">
          <cell r="A68">
            <v>1031046</v>
          </cell>
          <cell r="B68" t="str">
            <v>01031046 - Pragya Taneja</v>
          </cell>
          <cell r="E68">
            <v>0</v>
          </cell>
          <cell r="F68">
            <v>0</v>
          </cell>
        </row>
        <row r="69">
          <cell r="A69">
            <v>1031047</v>
          </cell>
          <cell r="B69" t="str">
            <v>01031047 - Virk Consultancy Services</v>
          </cell>
          <cell r="E69">
            <v>0</v>
          </cell>
          <cell r="F69">
            <v>0</v>
          </cell>
        </row>
        <row r="70">
          <cell r="A70">
            <v>1031048</v>
          </cell>
          <cell r="B70" t="str">
            <v>01031048 - DBM Enterprises</v>
          </cell>
          <cell r="E70">
            <v>0</v>
          </cell>
          <cell r="F70">
            <v>0</v>
          </cell>
        </row>
        <row r="71">
          <cell r="A71">
            <v>1031049</v>
          </cell>
          <cell r="B71" t="str">
            <v>01031049 - Quick Advertisment Co</v>
          </cell>
          <cell r="E71">
            <v>0</v>
          </cell>
          <cell r="F71">
            <v>0</v>
          </cell>
        </row>
        <row r="72">
          <cell r="A72">
            <v>1031050</v>
          </cell>
          <cell r="B72" t="str">
            <v>01031050 - Corporate Telesystems</v>
          </cell>
          <cell r="E72">
            <v>0</v>
          </cell>
          <cell r="F72">
            <v>0</v>
          </cell>
        </row>
        <row r="73">
          <cell r="A73">
            <v>1031051</v>
          </cell>
          <cell r="B73" t="str">
            <v>01031051 - Jai Kr. Tejwani</v>
          </cell>
          <cell r="E73">
            <v>0</v>
          </cell>
          <cell r="F73">
            <v>0</v>
          </cell>
        </row>
        <row r="74">
          <cell r="A74">
            <v>1031052</v>
          </cell>
          <cell r="B74" t="str">
            <v>01031052 - Bhavna Joshi</v>
          </cell>
          <cell r="E74">
            <v>0</v>
          </cell>
          <cell r="F74">
            <v>0</v>
          </cell>
        </row>
        <row r="75">
          <cell r="A75">
            <v>1031053</v>
          </cell>
          <cell r="B75" t="str">
            <v>01031053 - LG Electronic India</v>
          </cell>
          <cell r="E75">
            <v>0</v>
          </cell>
          <cell r="F75">
            <v>0</v>
          </cell>
        </row>
        <row r="76">
          <cell r="A76">
            <v>1031054</v>
          </cell>
          <cell r="B76" t="str">
            <v>01031054 - Perfect Airconditioning Trad. Co.</v>
          </cell>
          <cell r="E76">
            <v>0</v>
          </cell>
          <cell r="F76">
            <v>0</v>
          </cell>
        </row>
        <row r="77">
          <cell r="A77">
            <v>1031055</v>
          </cell>
          <cell r="B77" t="str">
            <v>01031055 - Concept Safety Systems</v>
          </cell>
          <cell r="E77">
            <v>0</v>
          </cell>
          <cell r="F77">
            <v>0</v>
          </cell>
        </row>
        <row r="78">
          <cell r="A78">
            <v>1031056</v>
          </cell>
          <cell r="B78" t="str">
            <v>01031056 - TelecraftE Solutions</v>
          </cell>
          <cell r="D78">
            <v>60</v>
          </cell>
          <cell r="E78">
            <v>0</v>
          </cell>
          <cell r="F78">
            <v>60</v>
          </cell>
        </row>
        <row r="79">
          <cell r="A79">
            <v>1031057</v>
          </cell>
          <cell r="B79" t="str">
            <v>01031057 - STPI</v>
          </cell>
          <cell r="E79">
            <v>0</v>
          </cell>
          <cell r="F79">
            <v>0</v>
          </cell>
        </row>
        <row r="80">
          <cell r="A80">
            <v>1031058</v>
          </cell>
          <cell r="B80" t="str">
            <v>01031058 - Dr. Karan</v>
          </cell>
          <cell r="E80">
            <v>0</v>
          </cell>
          <cell r="F80">
            <v>0</v>
          </cell>
        </row>
        <row r="81">
          <cell r="A81">
            <v>1031059</v>
          </cell>
          <cell r="B81" t="str">
            <v>01031059 - DLF Cyber City</v>
          </cell>
          <cell r="E81">
            <v>1174417</v>
          </cell>
          <cell r="F81">
            <v>0</v>
          </cell>
        </row>
        <row r="82">
          <cell r="A82">
            <v>1031060</v>
          </cell>
          <cell r="B82" t="str">
            <v>01031060 - AXIOM</v>
          </cell>
          <cell r="E82">
            <v>0</v>
          </cell>
          <cell r="F82">
            <v>0</v>
          </cell>
        </row>
        <row r="83">
          <cell r="A83">
            <v>1031061</v>
          </cell>
          <cell r="B83" t="str">
            <v>01031061 - DLF Services</v>
          </cell>
          <cell r="D83">
            <v>177471</v>
          </cell>
          <cell r="E83">
            <v>0</v>
          </cell>
          <cell r="F83">
            <v>155544.20000000001</v>
          </cell>
        </row>
        <row r="84">
          <cell r="A84">
            <v>1031062</v>
          </cell>
          <cell r="B84" t="str">
            <v>01031062 - Destination Travel</v>
          </cell>
          <cell r="E84">
            <v>0</v>
          </cell>
          <cell r="F84">
            <v>0</v>
          </cell>
        </row>
        <row r="85">
          <cell r="A85">
            <v>1031063</v>
          </cell>
          <cell r="B85" t="str">
            <v>01031063 - Delta IT Network - EMI</v>
          </cell>
          <cell r="E85">
            <v>0</v>
          </cell>
          <cell r="F85">
            <v>0</v>
          </cell>
        </row>
        <row r="86">
          <cell r="A86">
            <v>1031064</v>
          </cell>
          <cell r="B86" t="str">
            <v>01031064 - Bharti Airtel</v>
          </cell>
          <cell r="E86">
            <v>0</v>
          </cell>
          <cell r="F86">
            <v>0</v>
          </cell>
        </row>
        <row r="87">
          <cell r="A87">
            <v>1031065</v>
          </cell>
          <cell r="B87" t="str">
            <v>01031065 - Eurekay</v>
          </cell>
          <cell r="E87">
            <v>0</v>
          </cell>
          <cell r="F87">
            <v>0</v>
          </cell>
        </row>
        <row r="88">
          <cell r="A88">
            <v>1031066</v>
          </cell>
          <cell r="B88" t="str">
            <v>01031066 - Elixir</v>
          </cell>
          <cell r="E88">
            <v>0</v>
          </cell>
          <cell r="F88">
            <v>0</v>
          </cell>
        </row>
        <row r="89">
          <cell r="A89">
            <v>1031067</v>
          </cell>
          <cell r="B89" t="str">
            <v>01031067 - Shiv Craft</v>
          </cell>
          <cell r="E89">
            <v>0</v>
          </cell>
          <cell r="F89">
            <v>0</v>
          </cell>
        </row>
        <row r="90">
          <cell r="A90">
            <v>1031068</v>
          </cell>
          <cell r="B90" t="str">
            <v>01031068 - Mgmt. Dev. Inst.</v>
          </cell>
          <cell r="E90">
            <v>0</v>
          </cell>
          <cell r="F90">
            <v>0</v>
          </cell>
        </row>
        <row r="91">
          <cell r="A91">
            <v>1031069</v>
          </cell>
          <cell r="B91" t="str">
            <v>01031069 - IT Works @Siyaram</v>
          </cell>
          <cell r="E91">
            <v>0</v>
          </cell>
          <cell r="F91">
            <v>0</v>
          </cell>
        </row>
        <row r="92">
          <cell r="A92">
            <v>1031070</v>
          </cell>
          <cell r="B92" t="str">
            <v>01031070 - SLV Security</v>
          </cell>
          <cell r="E92">
            <v>0</v>
          </cell>
          <cell r="F92">
            <v>0</v>
          </cell>
        </row>
        <row r="93">
          <cell r="A93">
            <v>1031071</v>
          </cell>
          <cell r="B93" t="str">
            <v>01031071 - Vodaphone</v>
          </cell>
          <cell r="E93">
            <v>0</v>
          </cell>
          <cell r="F93">
            <v>0</v>
          </cell>
        </row>
        <row r="94">
          <cell r="A94">
            <v>1031072</v>
          </cell>
          <cell r="B94" t="str">
            <v>01031072 - Shubham (Newspaper)</v>
          </cell>
          <cell r="E94">
            <v>0</v>
          </cell>
          <cell r="F94">
            <v>0</v>
          </cell>
        </row>
        <row r="95">
          <cell r="A95">
            <v>1031073</v>
          </cell>
          <cell r="B95" t="str">
            <v>01031073 - Aplha Computer</v>
          </cell>
          <cell r="E95">
            <v>0</v>
          </cell>
          <cell r="F95">
            <v>0</v>
          </cell>
        </row>
        <row r="96">
          <cell r="A96">
            <v>1031074</v>
          </cell>
          <cell r="B96" t="str">
            <v>01031074 - The Palms Club</v>
          </cell>
          <cell r="E96">
            <v>0</v>
          </cell>
          <cell r="F96">
            <v>0</v>
          </cell>
        </row>
        <row r="97">
          <cell r="A97">
            <v>1031075</v>
          </cell>
          <cell r="B97" t="str">
            <v>01031075 - Aptech Ltd.</v>
          </cell>
          <cell r="E97">
            <v>0</v>
          </cell>
          <cell r="F97">
            <v>0</v>
          </cell>
        </row>
        <row r="98">
          <cell r="A98">
            <v>1031076</v>
          </cell>
          <cell r="B98" t="str">
            <v>01031076 - Shakuntlam</v>
          </cell>
          <cell r="E98">
            <v>0</v>
          </cell>
          <cell r="F98">
            <v>0</v>
          </cell>
        </row>
        <row r="99">
          <cell r="A99">
            <v>1031077</v>
          </cell>
          <cell r="B99" t="str">
            <v>01031077 - All Business Solutions</v>
          </cell>
          <cell r="E99">
            <v>0</v>
          </cell>
          <cell r="F99">
            <v>0</v>
          </cell>
        </row>
        <row r="100">
          <cell r="A100">
            <v>1031078</v>
          </cell>
          <cell r="B100" t="str">
            <v>01031078 - Landmark Technologies</v>
          </cell>
          <cell r="E100">
            <v>0</v>
          </cell>
          <cell r="F100">
            <v>0</v>
          </cell>
        </row>
        <row r="101">
          <cell r="A101">
            <v>1031079</v>
          </cell>
          <cell r="B101" t="str">
            <v>01031079 - Translation India</v>
          </cell>
          <cell r="E101">
            <v>0</v>
          </cell>
          <cell r="F101">
            <v>0</v>
          </cell>
        </row>
        <row r="102">
          <cell r="A102">
            <v>1031080</v>
          </cell>
          <cell r="B102" t="str">
            <v>01031080 - Presto Control Combine</v>
          </cell>
          <cell r="E102">
            <v>0</v>
          </cell>
          <cell r="F102">
            <v>0</v>
          </cell>
        </row>
        <row r="103">
          <cell r="A103">
            <v>1031081</v>
          </cell>
          <cell r="B103" t="str">
            <v>01031081 - Wipro Ltd.</v>
          </cell>
          <cell r="E103">
            <v>0</v>
          </cell>
          <cell r="F103">
            <v>0</v>
          </cell>
        </row>
        <row r="104">
          <cell r="A104">
            <v>1031082</v>
          </cell>
          <cell r="B104" t="str">
            <v>01031082 - Suresh Chand Aggarwal</v>
          </cell>
          <cell r="E104">
            <v>0</v>
          </cell>
          <cell r="F104">
            <v>0</v>
          </cell>
        </row>
        <row r="105">
          <cell r="A105">
            <v>1031083</v>
          </cell>
          <cell r="B105" t="str">
            <v>01031083 - Vishvas Marketing</v>
          </cell>
          <cell r="E105">
            <v>0</v>
          </cell>
          <cell r="F105">
            <v>0</v>
          </cell>
        </row>
        <row r="106">
          <cell r="A106">
            <v>1031084</v>
          </cell>
          <cell r="B106" t="str">
            <v>01031084 - Epitome Recruitments</v>
          </cell>
          <cell r="E106">
            <v>0</v>
          </cell>
          <cell r="F106">
            <v>0</v>
          </cell>
        </row>
        <row r="107">
          <cell r="A107">
            <v>1031085</v>
          </cell>
          <cell r="B107" t="str">
            <v>01031085 - Evening Stare Cargo Services</v>
          </cell>
          <cell r="E107">
            <v>0</v>
          </cell>
          <cell r="F107">
            <v>0</v>
          </cell>
        </row>
        <row r="108">
          <cell r="A108">
            <v>1031086</v>
          </cell>
          <cell r="B108" t="str">
            <v>01031086 - The New India Assurance Co. Ltd.</v>
          </cell>
          <cell r="E108">
            <v>0</v>
          </cell>
          <cell r="F108">
            <v>0</v>
          </cell>
        </row>
        <row r="109">
          <cell r="A109">
            <v>1031087</v>
          </cell>
          <cell r="B109" t="str">
            <v>01031087 - New Horizons</v>
          </cell>
          <cell r="E109">
            <v>0</v>
          </cell>
          <cell r="F109">
            <v>0</v>
          </cell>
        </row>
        <row r="110">
          <cell r="A110">
            <v>1031088</v>
          </cell>
          <cell r="B110" t="str">
            <v>01031088 - Reliance Webstore Ltd.</v>
          </cell>
          <cell r="E110">
            <v>0</v>
          </cell>
          <cell r="F110">
            <v>0</v>
          </cell>
        </row>
        <row r="111">
          <cell r="A111">
            <v>1031089</v>
          </cell>
          <cell r="B111" t="str">
            <v>01031089 - SAMS FACILITIES</v>
          </cell>
          <cell r="E111">
            <v>0</v>
          </cell>
          <cell r="F111">
            <v>0</v>
          </cell>
        </row>
        <row r="112">
          <cell r="A112">
            <v>1031090</v>
          </cell>
          <cell r="B112" t="str">
            <v>01031090 - Monster .Com</v>
          </cell>
          <cell r="E112">
            <v>0</v>
          </cell>
          <cell r="F112">
            <v>0</v>
          </cell>
        </row>
        <row r="113">
          <cell r="A113">
            <v>1031091</v>
          </cell>
          <cell r="B113" t="str">
            <v>01031091 - STAR BEVERAGE</v>
          </cell>
          <cell r="E113">
            <v>0</v>
          </cell>
          <cell r="F113">
            <v>0</v>
          </cell>
        </row>
        <row r="114">
          <cell r="A114">
            <v>1031092</v>
          </cell>
          <cell r="B114" t="str">
            <v>01031092 - AIESEC DI</v>
          </cell>
          <cell r="E114">
            <v>0</v>
          </cell>
          <cell r="F114">
            <v>0</v>
          </cell>
        </row>
        <row r="115">
          <cell r="A115">
            <v>1031093</v>
          </cell>
          <cell r="B115" t="str">
            <v>01031093 - TRUTEK PRODUCTS</v>
          </cell>
          <cell r="E115">
            <v>0</v>
          </cell>
          <cell r="F115">
            <v>0</v>
          </cell>
        </row>
        <row r="116">
          <cell r="A116">
            <v>1031094</v>
          </cell>
          <cell r="B116" t="str">
            <v>01031094 - SUPREME FURNITURE (HPASSETS)</v>
          </cell>
          <cell r="D116">
            <v>5226071</v>
          </cell>
          <cell r="E116">
            <v>0</v>
          </cell>
          <cell r="F116">
            <v>3771683</v>
          </cell>
        </row>
        <row r="117">
          <cell r="A117">
            <v>1031095</v>
          </cell>
          <cell r="B117" t="str">
            <v>01031095 - SUPREME FURNITURE - VAT</v>
          </cell>
          <cell r="E117">
            <v>0</v>
          </cell>
          <cell r="F117">
            <v>0</v>
          </cell>
        </row>
        <row r="118">
          <cell r="A118">
            <v>1031096</v>
          </cell>
          <cell r="B118" t="str">
            <v>01031096 - DVR MANAGEMENT</v>
          </cell>
          <cell r="E118">
            <v>0</v>
          </cell>
          <cell r="F118">
            <v>0</v>
          </cell>
        </row>
        <row r="119">
          <cell r="A119">
            <v>1031098</v>
          </cell>
          <cell r="B119" t="str">
            <v>01031098 - ARORA &amp; JAGGI ASSC.</v>
          </cell>
          <cell r="E119">
            <v>0</v>
          </cell>
          <cell r="F119">
            <v>0</v>
          </cell>
        </row>
        <row r="120">
          <cell r="A120">
            <v>1031099</v>
          </cell>
          <cell r="B120" t="str">
            <v>01031099 - Kumar Typing &amp; Xerox</v>
          </cell>
          <cell r="E120">
            <v>0</v>
          </cell>
          <cell r="F120">
            <v>0</v>
          </cell>
        </row>
        <row r="121">
          <cell r="A121">
            <v>1031100</v>
          </cell>
          <cell r="B121" t="str">
            <v>01031100 - Kaizzen Comm.</v>
          </cell>
          <cell r="E121">
            <v>0</v>
          </cell>
          <cell r="F121">
            <v>0</v>
          </cell>
        </row>
        <row r="122">
          <cell r="A122">
            <v>1031101</v>
          </cell>
          <cell r="B122" t="str">
            <v>01031101 - AV SPRINT TRANSPORTATION</v>
          </cell>
          <cell r="E122">
            <v>0</v>
          </cell>
          <cell r="F122">
            <v>0</v>
          </cell>
        </row>
        <row r="123">
          <cell r="A123">
            <v>1031102</v>
          </cell>
          <cell r="B123" t="str">
            <v>01031102 - New Pooja Tour &amp; Travel</v>
          </cell>
          <cell r="E123">
            <v>0</v>
          </cell>
          <cell r="F123">
            <v>0</v>
          </cell>
        </row>
        <row r="124">
          <cell r="A124">
            <v>1031103</v>
          </cell>
          <cell r="B124" t="str">
            <v>01031103 - Unison</v>
          </cell>
          <cell r="E124">
            <v>0</v>
          </cell>
          <cell r="F124">
            <v>0</v>
          </cell>
        </row>
        <row r="125">
          <cell r="A125">
            <v>1031104</v>
          </cell>
          <cell r="B125" t="str">
            <v>01031104 - Lokesh Goel</v>
          </cell>
          <cell r="E125">
            <v>0</v>
          </cell>
          <cell r="F125">
            <v>0</v>
          </cell>
        </row>
        <row r="126">
          <cell r="A126">
            <v>1031105</v>
          </cell>
          <cell r="B126" t="str">
            <v>01031105 - Sheema Mookherjee</v>
          </cell>
          <cell r="E126">
            <v>0</v>
          </cell>
          <cell r="F126">
            <v>0</v>
          </cell>
        </row>
        <row r="127">
          <cell r="A127">
            <v>1031106</v>
          </cell>
          <cell r="B127" t="str">
            <v>01031106 - Rita Luther</v>
          </cell>
          <cell r="E127">
            <v>0</v>
          </cell>
          <cell r="F127">
            <v>0</v>
          </cell>
        </row>
        <row r="128">
          <cell r="A128">
            <v>1031107</v>
          </cell>
          <cell r="B128" t="str">
            <v>01031107 - Sodexho</v>
          </cell>
          <cell r="E128">
            <v>0</v>
          </cell>
          <cell r="F128">
            <v>0</v>
          </cell>
        </row>
        <row r="129">
          <cell r="A129">
            <v>1031108</v>
          </cell>
          <cell r="B129" t="str">
            <v>01031108 - Tapas Consultants</v>
          </cell>
          <cell r="E129">
            <v>0</v>
          </cell>
          <cell r="F129">
            <v>0</v>
          </cell>
        </row>
        <row r="130">
          <cell r="A130">
            <v>1031109</v>
          </cell>
          <cell r="B130" t="str">
            <v>01031109 - AAA Services</v>
          </cell>
          <cell r="E130">
            <v>0</v>
          </cell>
          <cell r="F130">
            <v>0</v>
          </cell>
        </row>
        <row r="131">
          <cell r="A131">
            <v>1031110</v>
          </cell>
          <cell r="B131" t="str">
            <v>01031110 - Priya Chandrasekar</v>
          </cell>
          <cell r="E131">
            <v>0</v>
          </cell>
          <cell r="F131">
            <v>0</v>
          </cell>
        </row>
        <row r="132">
          <cell r="A132">
            <v>1031111</v>
          </cell>
          <cell r="B132" t="str">
            <v>01031111 - Jobline Consultants</v>
          </cell>
          <cell r="E132">
            <v>0</v>
          </cell>
          <cell r="F132">
            <v>0</v>
          </cell>
        </row>
        <row r="133">
          <cell r="A133">
            <v>1031112</v>
          </cell>
          <cell r="B133" t="str">
            <v>01031112 - YWCA</v>
          </cell>
          <cell r="E133">
            <v>0</v>
          </cell>
          <cell r="F133">
            <v>0</v>
          </cell>
        </row>
        <row r="134">
          <cell r="A134">
            <v>1031113</v>
          </cell>
          <cell r="B134" t="str">
            <v>01031113 - Assure Corporate Solutions</v>
          </cell>
          <cell r="E134">
            <v>0</v>
          </cell>
          <cell r="F134">
            <v>0</v>
          </cell>
        </row>
        <row r="135">
          <cell r="A135">
            <v>1031114</v>
          </cell>
          <cell r="B135" t="str">
            <v>01031114 - Shraddhananda Moharana</v>
          </cell>
          <cell r="E135">
            <v>0</v>
          </cell>
          <cell r="F135">
            <v>0</v>
          </cell>
        </row>
        <row r="136">
          <cell r="A136">
            <v>1031115</v>
          </cell>
          <cell r="B136" t="str">
            <v>01031115 - Gayathri Sampat</v>
          </cell>
          <cell r="E136">
            <v>0</v>
          </cell>
          <cell r="F136">
            <v>0</v>
          </cell>
        </row>
        <row r="137">
          <cell r="A137">
            <v>1031116</v>
          </cell>
          <cell r="B137" t="str">
            <v>01031116 - Dr. Ravinder Makkar</v>
          </cell>
          <cell r="E137">
            <v>0</v>
          </cell>
          <cell r="F137">
            <v>0</v>
          </cell>
        </row>
        <row r="138">
          <cell r="A138">
            <v>1031117</v>
          </cell>
          <cell r="B138" t="str">
            <v>01031117 - Footprints</v>
          </cell>
          <cell r="E138">
            <v>0</v>
          </cell>
          <cell r="F138">
            <v>0</v>
          </cell>
        </row>
        <row r="139">
          <cell r="A139">
            <v>1031118</v>
          </cell>
          <cell r="B139" t="str">
            <v>01031118 - Saiom India</v>
          </cell>
          <cell r="C139">
            <v>40</v>
          </cell>
          <cell r="E139">
            <v>0</v>
          </cell>
          <cell r="F139">
            <v>136441</v>
          </cell>
        </row>
        <row r="140">
          <cell r="A140">
            <v>1031119</v>
          </cell>
          <cell r="B140" t="str">
            <v>01031119 - Language Aide</v>
          </cell>
          <cell r="E140">
            <v>0</v>
          </cell>
          <cell r="F140">
            <v>0</v>
          </cell>
        </row>
        <row r="141">
          <cell r="A141">
            <v>1031120</v>
          </cell>
          <cell r="B141" t="str">
            <v>01031120 - Vaishnavi International</v>
          </cell>
          <cell r="E141">
            <v>0</v>
          </cell>
          <cell r="F141">
            <v>0</v>
          </cell>
        </row>
        <row r="142">
          <cell r="A142">
            <v>1031121</v>
          </cell>
          <cell r="B142" t="str">
            <v>01031121 - DBM Marketing</v>
          </cell>
          <cell r="E142">
            <v>0</v>
          </cell>
          <cell r="F142">
            <v>0</v>
          </cell>
        </row>
        <row r="143">
          <cell r="A143">
            <v>1031122</v>
          </cell>
          <cell r="B143" t="str">
            <v>01031122 - Dr. Anil Kumar Mishra</v>
          </cell>
          <cell r="E143">
            <v>0</v>
          </cell>
          <cell r="F143">
            <v>0</v>
          </cell>
        </row>
        <row r="144">
          <cell r="A144">
            <v>1031123</v>
          </cell>
          <cell r="B144" t="str">
            <v>01031123 - Suvidha Travels</v>
          </cell>
          <cell r="E144">
            <v>0</v>
          </cell>
          <cell r="F144">
            <v>0</v>
          </cell>
        </row>
        <row r="145">
          <cell r="A145">
            <v>1031124</v>
          </cell>
          <cell r="B145" t="str">
            <v>01031124 - S. D. Pathak &amp; Co.</v>
          </cell>
          <cell r="E145">
            <v>0</v>
          </cell>
          <cell r="F145">
            <v>0</v>
          </cell>
        </row>
        <row r="146">
          <cell r="A146">
            <v>1031125</v>
          </cell>
          <cell r="B146" t="str">
            <v>01031125 - Jupiter Hospitality Services (P) Ltd.</v>
          </cell>
          <cell r="E146">
            <v>0</v>
          </cell>
          <cell r="F146">
            <v>0</v>
          </cell>
        </row>
        <row r="147">
          <cell r="A147">
            <v>1031126</v>
          </cell>
          <cell r="B147" t="str">
            <v>01031126 - Shivam Tour &amp; Travels</v>
          </cell>
          <cell r="E147">
            <v>0</v>
          </cell>
          <cell r="F147">
            <v>0</v>
          </cell>
        </row>
        <row r="148">
          <cell r="A148">
            <v>1031127</v>
          </cell>
          <cell r="B148" t="str">
            <v>01031127 - Rajni Sadana</v>
          </cell>
          <cell r="E148">
            <v>0</v>
          </cell>
          <cell r="F148">
            <v>0</v>
          </cell>
        </row>
        <row r="149">
          <cell r="A149">
            <v>1031128</v>
          </cell>
          <cell r="B149" t="str">
            <v>01031128 - Velocis</v>
          </cell>
          <cell r="E149">
            <v>0</v>
          </cell>
          <cell r="F149">
            <v>0</v>
          </cell>
        </row>
        <row r="150">
          <cell r="A150">
            <v>1031129</v>
          </cell>
          <cell r="B150" t="str">
            <v>01031129 - Advance Billings - Sales</v>
          </cell>
          <cell r="D150">
            <v>587500</v>
          </cell>
          <cell r="E150">
            <v>0</v>
          </cell>
          <cell r="F150">
            <v>825000</v>
          </cell>
        </row>
        <row r="151">
          <cell r="A151">
            <v>1031130</v>
          </cell>
          <cell r="B151" t="str">
            <v>01031130 - Shreya Kitchen &amp; Caters Pvt. Ltd</v>
          </cell>
          <cell r="E151">
            <v>0</v>
          </cell>
          <cell r="F151">
            <v>0</v>
          </cell>
        </row>
        <row r="152">
          <cell r="A152">
            <v>1031131</v>
          </cell>
          <cell r="B152" t="str">
            <v>01031131- Raja Travels</v>
          </cell>
          <cell r="E152">
            <v>0</v>
          </cell>
          <cell r="F152">
            <v>0</v>
          </cell>
        </row>
        <row r="153">
          <cell r="A153">
            <v>1031132</v>
          </cell>
          <cell r="B153" t="str">
            <v>01031132 - Dr. Raj Lalwani</v>
          </cell>
          <cell r="E153">
            <v>0</v>
          </cell>
          <cell r="F153">
            <v>0</v>
          </cell>
        </row>
        <row r="154">
          <cell r="A154">
            <v>1031133</v>
          </cell>
          <cell r="B154" t="str">
            <v>01031133 - DSA Partners Advocate &amp; Solicitors</v>
          </cell>
          <cell r="E154">
            <v>0</v>
          </cell>
          <cell r="F154">
            <v>0</v>
          </cell>
        </row>
        <row r="155">
          <cell r="A155">
            <v>1031134</v>
          </cell>
          <cell r="B155" t="str">
            <v>01031134-Orix Auto Infrastructure Services Ltd</v>
          </cell>
          <cell r="E155">
            <v>0</v>
          </cell>
          <cell r="F155">
            <v>0</v>
          </cell>
        </row>
        <row r="156">
          <cell r="A156">
            <v>1031135</v>
          </cell>
          <cell r="B156" t="str">
            <v>01031135 -  Sudatta Gupta</v>
          </cell>
          <cell r="E156">
            <v>0</v>
          </cell>
          <cell r="F156">
            <v>0</v>
          </cell>
        </row>
        <row r="157">
          <cell r="A157">
            <v>1031136</v>
          </cell>
          <cell r="B157" t="str">
            <v>01031136 - Sridhar Appasamy</v>
          </cell>
          <cell r="E157">
            <v>0</v>
          </cell>
          <cell r="F157">
            <v>0</v>
          </cell>
        </row>
        <row r="158">
          <cell r="A158">
            <v>1031137</v>
          </cell>
          <cell r="B158" t="str">
            <v>01031137 - GODREJ &amp; BAYCE CO. LTD.</v>
          </cell>
          <cell r="E158">
            <v>0</v>
          </cell>
          <cell r="F158">
            <v>0</v>
          </cell>
        </row>
        <row r="159">
          <cell r="A159">
            <v>1031138</v>
          </cell>
          <cell r="B159" t="str">
            <v>01031138- LIBRA Corporate Solution</v>
          </cell>
          <cell r="E159">
            <v>0</v>
          </cell>
          <cell r="F159">
            <v>0</v>
          </cell>
        </row>
        <row r="160">
          <cell r="A160">
            <v>1031139</v>
          </cell>
          <cell r="B160" t="str">
            <v>01031139-Multiserv India Pvt. Ltd.</v>
          </cell>
          <cell r="E160">
            <v>0</v>
          </cell>
          <cell r="F160">
            <v>0</v>
          </cell>
        </row>
        <row r="161">
          <cell r="A161">
            <v>1031140</v>
          </cell>
          <cell r="B161" t="str">
            <v>01031140-ICICI Lombard General Insurance Comp. Ltd.</v>
          </cell>
          <cell r="E161">
            <v>0</v>
          </cell>
          <cell r="F161">
            <v>0</v>
          </cell>
        </row>
        <row r="162">
          <cell r="A162">
            <v>1031141</v>
          </cell>
          <cell r="B162" t="str">
            <v>01031141 - Quick Advertisment</v>
          </cell>
          <cell r="E162">
            <v>0</v>
          </cell>
          <cell r="F162">
            <v>0</v>
          </cell>
        </row>
        <row r="163">
          <cell r="A163">
            <v>1031142</v>
          </cell>
          <cell r="B163" t="str">
            <v>01031142 - Fresh &amp; Honest Cafe Ltd.</v>
          </cell>
          <cell r="E163">
            <v>0</v>
          </cell>
          <cell r="F163">
            <v>0</v>
          </cell>
        </row>
        <row r="164">
          <cell r="A164">
            <v>1031143</v>
          </cell>
          <cell r="B164" t="str">
            <v>01031143 - Mangal Yatra Travel Pvt.Ltd.</v>
          </cell>
          <cell r="E164">
            <v>0</v>
          </cell>
          <cell r="F164">
            <v>0</v>
          </cell>
        </row>
        <row r="165">
          <cell r="A165">
            <v>1031901</v>
          </cell>
          <cell r="B165" t="str">
            <v>01031901 - SmartAnalyst Inc.</v>
          </cell>
          <cell r="C165">
            <v>15886522.18</v>
          </cell>
          <cell r="E165">
            <v>26606767.68</v>
          </cell>
          <cell r="F165">
            <v>0</v>
          </cell>
        </row>
        <row r="166">
          <cell r="A166">
            <v>1032201</v>
          </cell>
          <cell r="B166" t="str">
            <v>01032201 - Salary Payable</v>
          </cell>
          <cell r="D166">
            <v>312375</v>
          </cell>
          <cell r="E166">
            <v>0</v>
          </cell>
          <cell r="F166">
            <v>288007</v>
          </cell>
        </row>
        <row r="167">
          <cell r="A167">
            <v>1032202</v>
          </cell>
          <cell r="B167" t="str">
            <v>01032202 - PF Payable</v>
          </cell>
          <cell r="E167">
            <v>0</v>
          </cell>
          <cell r="F167">
            <v>0</v>
          </cell>
        </row>
        <row r="168">
          <cell r="A168">
            <v>1032203</v>
          </cell>
          <cell r="B168" t="str">
            <v>01032203 - Fuel Reimb. Payable</v>
          </cell>
          <cell r="E168">
            <v>0</v>
          </cell>
          <cell r="F168">
            <v>0</v>
          </cell>
        </row>
        <row r="169">
          <cell r="A169">
            <v>1032204</v>
          </cell>
          <cell r="B169" t="str">
            <v>01032204 - Tel. Reimb. Payable</v>
          </cell>
          <cell r="D169">
            <v>75000</v>
          </cell>
          <cell r="E169">
            <v>0</v>
          </cell>
          <cell r="F169">
            <v>0</v>
          </cell>
        </row>
        <row r="170">
          <cell r="A170">
            <v>1032205</v>
          </cell>
          <cell r="B170" t="str">
            <v>01032205 - Gratuity Payable</v>
          </cell>
          <cell r="D170">
            <v>1657896</v>
          </cell>
          <cell r="E170">
            <v>0</v>
          </cell>
          <cell r="F170">
            <v>2640708</v>
          </cell>
        </row>
        <row r="171">
          <cell r="A171">
            <v>1032206</v>
          </cell>
          <cell r="B171" t="str">
            <v>01032206 - Liability For Rec'ry Agnst Expenses</v>
          </cell>
          <cell r="E171">
            <v>0</v>
          </cell>
          <cell r="F171">
            <v>0</v>
          </cell>
        </row>
        <row r="172">
          <cell r="A172">
            <v>1032207</v>
          </cell>
          <cell r="B172" t="str">
            <v>01032207 - Stale Cheques</v>
          </cell>
          <cell r="D172">
            <v>94272.58</v>
          </cell>
          <cell r="E172">
            <v>0</v>
          </cell>
          <cell r="F172">
            <v>118236.58</v>
          </cell>
        </row>
        <row r="173">
          <cell r="A173">
            <v>1032208</v>
          </cell>
          <cell r="B173" t="str">
            <v>01032208 - Advance From Clients</v>
          </cell>
          <cell r="E173">
            <v>0</v>
          </cell>
          <cell r="F173">
            <v>0</v>
          </cell>
        </row>
        <row r="174">
          <cell r="A174">
            <v>1032301</v>
          </cell>
          <cell r="B174" t="str">
            <v>01032301 - Expenses Payable</v>
          </cell>
          <cell r="D174">
            <v>2844649</v>
          </cell>
          <cell r="E174">
            <v>0</v>
          </cell>
          <cell r="F174">
            <v>5012005.5999999996</v>
          </cell>
        </row>
        <row r="175">
          <cell r="A175">
            <v>1033101</v>
          </cell>
          <cell r="B175" t="str">
            <v>01033101 - Adv. &amp; Sec. Dep.- Smart Analyst Inc</v>
          </cell>
          <cell r="E175">
            <v>0</v>
          </cell>
          <cell r="F175">
            <v>0</v>
          </cell>
        </row>
        <row r="176">
          <cell r="A176">
            <v>1033102</v>
          </cell>
          <cell r="B176" t="str">
            <v>01033102 - Security Deposit (Rent) - IMIL</v>
          </cell>
          <cell r="E176">
            <v>0</v>
          </cell>
          <cell r="F176">
            <v>0</v>
          </cell>
        </row>
        <row r="177">
          <cell r="A177">
            <v>1033103</v>
          </cell>
          <cell r="B177" t="str">
            <v>01033103 - Security Deposit (Maint.) - IMIL</v>
          </cell>
          <cell r="D177">
            <v>119760</v>
          </cell>
          <cell r="E177">
            <v>0</v>
          </cell>
          <cell r="F177">
            <v>0</v>
          </cell>
        </row>
        <row r="178">
          <cell r="A178">
            <v>1033104</v>
          </cell>
          <cell r="B178" t="str">
            <v>01033104 - Sec. Dep.  (Rent) Vian Infrastructre Ltd</v>
          </cell>
          <cell r="D178">
            <v>1560450</v>
          </cell>
          <cell r="E178">
            <v>0</v>
          </cell>
          <cell r="F178">
            <v>0</v>
          </cell>
        </row>
        <row r="179">
          <cell r="A179">
            <v>1033105</v>
          </cell>
          <cell r="B179" t="str">
            <v>01033105-Sec. Dep.(Maint) Vian Infrastructure Ltd.</v>
          </cell>
          <cell r="D179">
            <v>546888</v>
          </cell>
          <cell r="E179">
            <v>0</v>
          </cell>
          <cell r="F179">
            <v>0</v>
          </cell>
        </row>
        <row r="180">
          <cell r="A180">
            <v>1033106</v>
          </cell>
          <cell r="B180" t="str">
            <v>01033106-INSURANCE CLAIMS ( EMPLOYEES)</v>
          </cell>
          <cell r="E180">
            <v>0</v>
          </cell>
          <cell r="F180">
            <v>0</v>
          </cell>
        </row>
        <row r="181">
          <cell r="A181">
            <v>1035011</v>
          </cell>
          <cell r="B181" t="str">
            <v>01035011 - Prov. For Gratuity</v>
          </cell>
          <cell r="E181">
            <v>0</v>
          </cell>
          <cell r="F181">
            <v>0</v>
          </cell>
        </row>
        <row r="182">
          <cell r="A182">
            <v>1035021</v>
          </cell>
          <cell r="B182" t="str">
            <v>01035021 - Provision for LTA</v>
          </cell>
          <cell r="D182">
            <v>492355</v>
          </cell>
          <cell r="E182">
            <v>0</v>
          </cell>
          <cell r="F182">
            <v>421806</v>
          </cell>
        </row>
        <row r="183">
          <cell r="A183">
            <v>1035022</v>
          </cell>
          <cell r="B183" t="str">
            <v>01035022 - Provision for Medical Reimb.</v>
          </cell>
          <cell r="D183">
            <v>1561</v>
          </cell>
          <cell r="E183">
            <v>0</v>
          </cell>
          <cell r="F183">
            <v>1783</v>
          </cell>
        </row>
        <row r="184">
          <cell r="A184">
            <v>1035023</v>
          </cell>
          <cell r="B184" t="str">
            <v>01035023 - Provision for Bonus (Fixed)</v>
          </cell>
          <cell r="D184">
            <v>172302</v>
          </cell>
          <cell r="E184">
            <v>0</v>
          </cell>
          <cell r="F184">
            <v>0</v>
          </cell>
        </row>
        <row r="185">
          <cell r="A185">
            <v>1035024</v>
          </cell>
          <cell r="B185" t="str">
            <v>01035024 - Provision for Bonus (Variable)</v>
          </cell>
          <cell r="D185">
            <v>999453</v>
          </cell>
          <cell r="E185">
            <v>0</v>
          </cell>
          <cell r="F185">
            <v>1523168</v>
          </cell>
        </row>
        <row r="186">
          <cell r="A186">
            <v>1035025</v>
          </cell>
          <cell r="B186" t="str">
            <v>01035025 - Provision for Flexi Kitty</v>
          </cell>
          <cell r="E186">
            <v>0</v>
          </cell>
          <cell r="F186">
            <v>0</v>
          </cell>
        </row>
        <row r="187">
          <cell r="A187">
            <v>1040101</v>
          </cell>
          <cell r="B187" t="str">
            <v>01040101 - IT Hardware</v>
          </cell>
          <cell r="C187">
            <v>111060</v>
          </cell>
          <cell r="E187">
            <v>95800</v>
          </cell>
          <cell r="F187">
            <v>0</v>
          </cell>
        </row>
        <row r="188">
          <cell r="A188">
            <v>1040102</v>
          </cell>
          <cell r="B188" t="str">
            <v>01040102 - Comps - Hardware (PC's)</v>
          </cell>
          <cell r="C188">
            <v>8800</v>
          </cell>
          <cell r="E188">
            <v>8800</v>
          </cell>
          <cell r="F188">
            <v>0</v>
          </cell>
        </row>
        <row r="189">
          <cell r="A189">
            <v>1040103</v>
          </cell>
          <cell r="B189" t="str">
            <v>01040103 - Comps - Hardware (Laptops)</v>
          </cell>
          <cell r="C189">
            <v>1606331</v>
          </cell>
          <cell r="E189">
            <v>1981331</v>
          </cell>
          <cell r="F189">
            <v>0</v>
          </cell>
        </row>
        <row r="190">
          <cell r="A190">
            <v>1040104</v>
          </cell>
          <cell r="B190" t="str">
            <v>01040104 - Comps - Hardware (Others)</v>
          </cell>
          <cell r="E190">
            <v>0</v>
          </cell>
          <cell r="F190">
            <v>0</v>
          </cell>
        </row>
        <row r="191">
          <cell r="A191">
            <v>1040105</v>
          </cell>
          <cell r="B191" t="str">
            <v>01040105 - Comps - Hardware (Servers)</v>
          </cell>
          <cell r="C191">
            <v>2844701.37</v>
          </cell>
          <cell r="E191">
            <v>2974701.37</v>
          </cell>
          <cell r="F191">
            <v>0</v>
          </cell>
        </row>
        <row r="192">
          <cell r="A192">
            <v>1040106</v>
          </cell>
          <cell r="B192" t="str">
            <v>01040106 -  Head Phone MIC</v>
          </cell>
          <cell r="E192">
            <v>0</v>
          </cell>
          <cell r="F192">
            <v>0</v>
          </cell>
        </row>
        <row r="193">
          <cell r="A193">
            <v>1040107</v>
          </cell>
          <cell r="B193" t="str">
            <v>01040107 - PDA</v>
          </cell>
          <cell r="E193">
            <v>0</v>
          </cell>
          <cell r="F193">
            <v>0</v>
          </cell>
        </row>
        <row r="194">
          <cell r="A194">
            <v>1040115</v>
          </cell>
          <cell r="B194" t="str">
            <v>01040115 - DVD Media</v>
          </cell>
          <cell r="E194">
            <v>0</v>
          </cell>
          <cell r="F194">
            <v>0</v>
          </cell>
        </row>
        <row r="195">
          <cell r="A195">
            <v>1040201</v>
          </cell>
          <cell r="B195" t="str">
            <v>01040201 - Softwares</v>
          </cell>
          <cell r="C195">
            <v>4124864.82</v>
          </cell>
          <cell r="E195">
            <v>4124864.82</v>
          </cell>
          <cell r="F195">
            <v>0</v>
          </cell>
        </row>
        <row r="196">
          <cell r="A196">
            <v>1040202</v>
          </cell>
          <cell r="B196" t="str">
            <v>01040202 - IT Equipments</v>
          </cell>
          <cell r="C196">
            <v>2061477.44</v>
          </cell>
          <cell r="E196">
            <v>2065845.44</v>
          </cell>
          <cell r="F196">
            <v>0</v>
          </cell>
        </row>
        <row r="197">
          <cell r="A197">
            <v>1040301</v>
          </cell>
          <cell r="B197" t="str">
            <v>01040301 - Furnt. &amp; Fixt. - IT</v>
          </cell>
          <cell r="C197">
            <v>186368</v>
          </cell>
          <cell r="E197">
            <v>26455</v>
          </cell>
          <cell r="F197">
            <v>0</v>
          </cell>
        </row>
        <row r="198">
          <cell r="A198">
            <v>1040302</v>
          </cell>
          <cell r="B198" t="str">
            <v>01040302 - Furnt. &amp; Fixt - Office</v>
          </cell>
          <cell r="C198">
            <v>9677356.5</v>
          </cell>
          <cell r="E198">
            <v>84675.5</v>
          </cell>
          <cell r="F198">
            <v>0</v>
          </cell>
        </row>
        <row r="199">
          <cell r="A199">
            <v>1040401</v>
          </cell>
          <cell r="B199" t="str">
            <v>01040401 - Furniture &amp; Fixture - IT (Building -9)</v>
          </cell>
          <cell r="E199">
            <v>0</v>
          </cell>
          <cell r="F199">
            <v>0</v>
          </cell>
        </row>
        <row r="200">
          <cell r="A200">
            <v>1040402</v>
          </cell>
          <cell r="B200" t="str">
            <v>01040402 - Furniture &amp; Fixture- Office (Buil-9)</v>
          </cell>
          <cell r="C200">
            <v>25526137</v>
          </cell>
          <cell r="E200">
            <v>25526137</v>
          </cell>
          <cell r="F200">
            <v>0</v>
          </cell>
        </row>
        <row r="201">
          <cell r="A201">
            <v>1040501</v>
          </cell>
          <cell r="B201" t="str">
            <v>01040501 - Others Fixed Assets</v>
          </cell>
          <cell r="C201">
            <v>5327</v>
          </cell>
          <cell r="E201">
            <v>5327</v>
          </cell>
          <cell r="F201">
            <v>0</v>
          </cell>
        </row>
        <row r="202">
          <cell r="A202">
            <v>1040502</v>
          </cell>
          <cell r="B202" t="str">
            <v>01040502 - Access Controller</v>
          </cell>
          <cell r="C202">
            <v>90957</v>
          </cell>
          <cell r="E202">
            <v>115857</v>
          </cell>
          <cell r="F202">
            <v>0</v>
          </cell>
        </row>
        <row r="203">
          <cell r="A203">
            <v>1040503</v>
          </cell>
          <cell r="B203" t="str">
            <v>01040503 - EPABX System</v>
          </cell>
          <cell r="C203">
            <v>220648</v>
          </cell>
          <cell r="E203">
            <v>220648</v>
          </cell>
          <cell r="F203">
            <v>0</v>
          </cell>
        </row>
        <row r="204">
          <cell r="A204">
            <v>1040504</v>
          </cell>
          <cell r="B204" t="str">
            <v>01040504 - Airconditioners</v>
          </cell>
          <cell r="C204">
            <v>116455.5</v>
          </cell>
          <cell r="E204">
            <v>116455.5</v>
          </cell>
          <cell r="F204">
            <v>0</v>
          </cell>
        </row>
        <row r="205">
          <cell r="A205">
            <v>1040505</v>
          </cell>
          <cell r="B205" t="str">
            <v>01040505 - Water Dispenser</v>
          </cell>
          <cell r="E205">
            <v>0</v>
          </cell>
          <cell r="F205">
            <v>0</v>
          </cell>
        </row>
        <row r="206">
          <cell r="A206">
            <v>1040506</v>
          </cell>
          <cell r="B206" t="str">
            <v>01040506 - Other Office Equip.</v>
          </cell>
          <cell r="C206">
            <v>450203.5</v>
          </cell>
          <cell r="E206">
            <v>156368.56</v>
          </cell>
          <cell r="F206">
            <v>0</v>
          </cell>
        </row>
        <row r="207">
          <cell r="A207">
            <v>1040507</v>
          </cell>
          <cell r="B207" t="str">
            <v>01040507 - Cycle</v>
          </cell>
          <cell r="C207">
            <v>1955</v>
          </cell>
          <cell r="E207">
            <v>1955</v>
          </cell>
          <cell r="F207">
            <v>0</v>
          </cell>
        </row>
        <row r="208">
          <cell r="A208">
            <v>1040508</v>
          </cell>
          <cell r="B208" t="str">
            <v>01040508 - Office Equipments-IT</v>
          </cell>
          <cell r="C208">
            <v>719238.6</v>
          </cell>
          <cell r="E208">
            <v>688258.6</v>
          </cell>
          <cell r="F208">
            <v>0</v>
          </cell>
        </row>
        <row r="209">
          <cell r="A209">
            <v>1041101</v>
          </cell>
          <cell r="B209" t="str">
            <v>01041101 - Acc. Depn. - Computers</v>
          </cell>
          <cell r="D209">
            <v>1934680.4</v>
          </cell>
          <cell r="E209">
            <v>0</v>
          </cell>
          <cell r="F209">
            <v>3056698.77</v>
          </cell>
        </row>
        <row r="210">
          <cell r="A210">
            <v>1041102</v>
          </cell>
          <cell r="B210" t="str">
            <v>01041102 - Acc. Depn. - Software</v>
          </cell>
          <cell r="D210">
            <v>1215572.19</v>
          </cell>
          <cell r="E210">
            <v>0</v>
          </cell>
          <cell r="F210">
            <v>1884212.19</v>
          </cell>
        </row>
        <row r="211">
          <cell r="A211">
            <v>1041103</v>
          </cell>
          <cell r="B211" t="str">
            <v>01041103 - Acc. Depn. - Furnt &amp; Fixt</v>
          </cell>
          <cell r="D211">
            <v>4278947.16</v>
          </cell>
          <cell r="E211">
            <v>0</v>
          </cell>
          <cell r="F211">
            <v>4090560.55</v>
          </cell>
        </row>
        <row r="212">
          <cell r="A212">
            <v>1041104</v>
          </cell>
          <cell r="B212" t="str">
            <v>01041104 - Acc. Depn. - Off. Eqpt.</v>
          </cell>
          <cell r="D212">
            <v>337524.32</v>
          </cell>
          <cell r="E212">
            <v>0</v>
          </cell>
          <cell r="F212">
            <v>354784.03</v>
          </cell>
        </row>
        <row r="213">
          <cell r="A213">
            <v>1041105</v>
          </cell>
          <cell r="B213" t="str">
            <v>01041105 - Acc. Depn. - Electr. Eqpt.</v>
          </cell>
          <cell r="E213">
            <v>0</v>
          </cell>
          <cell r="F213">
            <v>0</v>
          </cell>
        </row>
        <row r="214">
          <cell r="A214">
            <v>1041106</v>
          </cell>
          <cell r="B214" t="str">
            <v>01041106 - Acc. Depn. - Cycle</v>
          </cell>
          <cell r="D214">
            <v>1955</v>
          </cell>
          <cell r="E214">
            <v>0</v>
          </cell>
          <cell r="F214">
            <v>1955</v>
          </cell>
        </row>
        <row r="215">
          <cell r="A215">
            <v>1041107</v>
          </cell>
          <cell r="B215" t="str">
            <v>01041107 - Acc. Depn. - Tel.</v>
          </cell>
          <cell r="D215">
            <v>3000</v>
          </cell>
          <cell r="E215">
            <v>0</v>
          </cell>
          <cell r="F215">
            <v>3000</v>
          </cell>
        </row>
        <row r="216">
          <cell r="A216">
            <v>1050101</v>
          </cell>
          <cell r="B216" t="str">
            <v>01050101 - Cash</v>
          </cell>
          <cell r="C216">
            <v>10</v>
          </cell>
          <cell r="E216">
            <v>0</v>
          </cell>
          <cell r="F216">
            <v>0</v>
          </cell>
        </row>
        <row r="217">
          <cell r="A217">
            <v>1050102</v>
          </cell>
          <cell r="B217" t="str">
            <v>01050102 - Imprest A/c</v>
          </cell>
          <cell r="C217">
            <v>9953.5</v>
          </cell>
          <cell r="E217">
            <v>10461</v>
          </cell>
          <cell r="F217">
            <v>0</v>
          </cell>
        </row>
        <row r="218">
          <cell r="A218">
            <v>1050201</v>
          </cell>
          <cell r="B218" t="str">
            <v>01050201 - Bank A/c - HDFC</v>
          </cell>
          <cell r="C218">
            <v>1624965.17</v>
          </cell>
          <cell r="E218">
            <v>184976.49</v>
          </cell>
          <cell r="F218">
            <v>0</v>
          </cell>
        </row>
        <row r="219">
          <cell r="A219">
            <v>1050202</v>
          </cell>
          <cell r="B219" t="str">
            <v>01050202 - Bank A/c - Deutsche</v>
          </cell>
          <cell r="C219">
            <v>2766270.59</v>
          </cell>
          <cell r="E219">
            <v>2722836.42</v>
          </cell>
          <cell r="F219">
            <v>0</v>
          </cell>
        </row>
        <row r="220">
          <cell r="A220">
            <v>1050203</v>
          </cell>
          <cell r="B220" t="str">
            <v>01050203 - Bank A/C - Deutsche Bank (EEFC)</v>
          </cell>
          <cell r="C220">
            <v>21294.01</v>
          </cell>
          <cell r="E220">
            <v>20991.74</v>
          </cell>
          <cell r="F220">
            <v>0</v>
          </cell>
        </row>
        <row r="221">
          <cell r="A221">
            <v>1050204</v>
          </cell>
          <cell r="B221" t="str">
            <v>01050204 - Bank Account- Kotak Mahindra Bank</v>
          </cell>
          <cell r="E221">
            <v>0</v>
          </cell>
          <cell r="F221">
            <v>0</v>
          </cell>
        </row>
        <row r="222">
          <cell r="A222">
            <v>1050215</v>
          </cell>
          <cell r="B222" t="str">
            <v>01050215 - Funds- In- Transit</v>
          </cell>
          <cell r="E222">
            <v>0</v>
          </cell>
          <cell r="F222">
            <v>0</v>
          </cell>
        </row>
        <row r="223">
          <cell r="A223">
            <v>1050216</v>
          </cell>
          <cell r="B223" t="str">
            <v>01050216 - Cheques- in- Hand</v>
          </cell>
          <cell r="E223">
            <v>670074</v>
          </cell>
          <cell r="F223">
            <v>0</v>
          </cell>
        </row>
        <row r="224">
          <cell r="A224">
            <v>1050301</v>
          </cell>
          <cell r="B224" t="str">
            <v>01050301 - FD's - HDFC Bank</v>
          </cell>
          <cell r="C224">
            <v>4625546.5999999996</v>
          </cell>
          <cell r="E224">
            <v>5441266.9900000002</v>
          </cell>
          <cell r="F224">
            <v>0</v>
          </cell>
        </row>
        <row r="225">
          <cell r="A225">
            <v>1050302</v>
          </cell>
          <cell r="B225" t="str">
            <v>01050302 - FD's -  Corpn. Bank</v>
          </cell>
          <cell r="C225">
            <v>17229.02</v>
          </cell>
          <cell r="E225">
            <v>20331.54</v>
          </cell>
          <cell r="F225">
            <v>0</v>
          </cell>
        </row>
        <row r="226">
          <cell r="A226">
            <v>1050303</v>
          </cell>
          <cell r="B226" t="str">
            <v>01050303 - FD's - Deutsche Bank</v>
          </cell>
          <cell r="C226">
            <v>459948.89</v>
          </cell>
          <cell r="E226">
            <v>495044.17</v>
          </cell>
          <cell r="F226">
            <v>0</v>
          </cell>
        </row>
        <row r="227">
          <cell r="A227">
            <v>1050404</v>
          </cell>
          <cell r="B227" t="str">
            <v>01050404 - IN-TEC Systems</v>
          </cell>
          <cell r="E227">
            <v>0</v>
          </cell>
          <cell r="F227">
            <v>0</v>
          </cell>
        </row>
        <row r="228">
          <cell r="A228">
            <v>1050411</v>
          </cell>
          <cell r="B228" t="str">
            <v>01050411 - Sec. Dep. - Rent - Bldg - 8</v>
          </cell>
          <cell r="C228">
            <v>2184630</v>
          </cell>
          <cell r="E228">
            <v>0</v>
          </cell>
          <cell r="F228">
            <v>0</v>
          </cell>
        </row>
        <row r="229">
          <cell r="A229">
            <v>1050412</v>
          </cell>
          <cell r="B229" t="str">
            <v>01050412 - Sec. Dep. - Rent - Bldg - 9</v>
          </cell>
          <cell r="C229">
            <v>6918300</v>
          </cell>
          <cell r="E229">
            <v>6918300</v>
          </cell>
          <cell r="F229">
            <v>0</v>
          </cell>
        </row>
        <row r="230">
          <cell r="A230">
            <v>1050421</v>
          </cell>
          <cell r="B230" t="str">
            <v>01050421- Sec. Dep. - Electr. - Bldg - 8</v>
          </cell>
          <cell r="C230">
            <v>186000</v>
          </cell>
          <cell r="E230">
            <v>0</v>
          </cell>
          <cell r="F230">
            <v>0</v>
          </cell>
        </row>
        <row r="231">
          <cell r="A231">
            <v>1050422</v>
          </cell>
          <cell r="B231" t="str">
            <v>01050422 - Sec. Dep. - Electr. - Bldg - 9</v>
          </cell>
          <cell r="C231">
            <v>414000</v>
          </cell>
          <cell r="E231">
            <v>414000</v>
          </cell>
          <cell r="F231">
            <v>0</v>
          </cell>
        </row>
        <row r="232">
          <cell r="A232">
            <v>1050431</v>
          </cell>
          <cell r="B232" t="str">
            <v>01050431 - Sec. Dep. - Furnt. &amp; Fixt. - Bldg - 8</v>
          </cell>
          <cell r="C232">
            <v>1800000</v>
          </cell>
          <cell r="E232">
            <v>1800000</v>
          </cell>
          <cell r="F232">
            <v>0</v>
          </cell>
        </row>
        <row r="233">
          <cell r="A233">
            <v>1050432</v>
          </cell>
          <cell r="B233" t="str">
            <v>01050432 - Sec. Dep. - Furnt. &amp; Fixt. - Bldg - 9</v>
          </cell>
          <cell r="C233">
            <v>2500000</v>
          </cell>
          <cell r="E233">
            <v>0</v>
          </cell>
          <cell r="F233">
            <v>0</v>
          </cell>
        </row>
        <row r="234">
          <cell r="A234">
            <v>1050441</v>
          </cell>
          <cell r="B234" t="str">
            <v>01050441 - Sec. Dep.- Maint. - Bldg - 8</v>
          </cell>
          <cell r="C234">
            <v>780225</v>
          </cell>
          <cell r="E234">
            <v>0</v>
          </cell>
          <cell r="F234">
            <v>0</v>
          </cell>
        </row>
        <row r="235">
          <cell r="A235">
            <v>1050442</v>
          </cell>
          <cell r="B235" t="str">
            <v>01050442 - Sec. Dep. - Maint. - Bldg - 9</v>
          </cell>
          <cell r="C235">
            <v>1729575</v>
          </cell>
          <cell r="E235">
            <v>1729575</v>
          </cell>
          <cell r="F235">
            <v>0</v>
          </cell>
        </row>
        <row r="236">
          <cell r="A236">
            <v>1050451</v>
          </cell>
          <cell r="B236" t="str">
            <v>01050451 - Sec. Dep. (Comps)</v>
          </cell>
          <cell r="E236">
            <v>0</v>
          </cell>
          <cell r="F236">
            <v>0</v>
          </cell>
        </row>
        <row r="237">
          <cell r="A237">
            <v>1050461</v>
          </cell>
          <cell r="B237" t="str">
            <v>01050461 - Security Deposit- Water Dispenser</v>
          </cell>
          <cell r="C237">
            <v>1500</v>
          </cell>
          <cell r="E237">
            <v>1500</v>
          </cell>
          <cell r="F237">
            <v>0</v>
          </cell>
        </row>
        <row r="238">
          <cell r="B238" t="str">
            <v>01050461 - Security Deposit-Tel</v>
          </cell>
        </row>
        <row r="239">
          <cell r="A239">
            <v>1050462</v>
          </cell>
          <cell r="B239" t="str">
            <v>01050462 - Security Deposit- Others</v>
          </cell>
          <cell r="C239">
            <v>40000</v>
          </cell>
          <cell r="E239">
            <v>0</v>
          </cell>
          <cell r="F239">
            <v>0</v>
          </cell>
        </row>
        <row r="240">
          <cell r="A240">
            <v>1050501</v>
          </cell>
          <cell r="B240" t="str">
            <v>01050501 - Loans &amp; Adv.</v>
          </cell>
          <cell r="E240">
            <v>0</v>
          </cell>
          <cell r="F240">
            <v>0</v>
          </cell>
        </row>
        <row r="241">
          <cell r="A241">
            <v>1050601</v>
          </cell>
          <cell r="B241" t="str">
            <v>01050601 - VMD</v>
          </cell>
          <cell r="E241">
            <v>0</v>
          </cell>
          <cell r="F241">
            <v>0</v>
          </cell>
        </row>
        <row r="242">
          <cell r="A242">
            <v>1050602</v>
          </cell>
          <cell r="B242" t="str">
            <v>01050602 - GSK (Charubala)</v>
          </cell>
          <cell r="E242">
            <v>0</v>
          </cell>
          <cell r="F242">
            <v>0</v>
          </cell>
        </row>
        <row r="243">
          <cell r="A243">
            <v>1050603</v>
          </cell>
          <cell r="B243" t="str">
            <v>01050603 - GSK (Ruchika)</v>
          </cell>
          <cell r="E243">
            <v>0</v>
          </cell>
          <cell r="F243">
            <v>0</v>
          </cell>
        </row>
        <row r="244">
          <cell r="A244">
            <v>1050604</v>
          </cell>
          <cell r="B244" t="str">
            <v>01050604 - GSK</v>
          </cell>
          <cell r="E244">
            <v>289538</v>
          </cell>
          <cell r="F244">
            <v>0</v>
          </cell>
        </row>
        <row r="245">
          <cell r="A245">
            <v>1050605</v>
          </cell>
          <cell r="B245" t="str">
            <v>01050605 - Collage (Latika)</v>
          </cell>
          <cell r="E245">
            <v>0</v>
          </cell>
          <cell r="F245">
            <v>0</v>
          </cell>
        </row>
        <row r="246">
          <cell r="A246">
            <v>1050606</v>
          </cell>
          <cell r="B246" t="str">
            <v>01050606 - Amit Seth</v>
          </cell>
          <cell r="E246">
            <v>0</v>
          </cell>
          <cell r="F246">
            <v>0</v>
          </cell>
        </row>
        <row r="247">
          <cell r="A247">
            <v>1050607</v>
          </cell>
          <cell r="B247" t="str">
            <v>01050607 - S. Bala</v>
          </cell>
          <cell r="E247">
            <v>0</v>
          </cell>
          <cell r="F247">
            <v>0</v>
          </cell>
        </row>
        <row r="248">
          <cell r="A248">
            <v>1050608</v>
          </cell>
          <cell r="B248" t="str">
            <v>01050608 - Expenses Recoverable (Tel.)</v>
          </cell>
          <cell r="E248">
            <v>0</v>
          </cell>
          <cell r="F248">
            <v>0</v>
          </cell>
        </row>
        <row r="249">
          <cell r="A249">
            <v>1050609</v>
          </cell>
          <cell r="B249" t="str">
            <v>01050609 - Expenses Recoverable (Travel)</v>
          </cell>
          <cell r="E249">
            <v>0</v>
          </cell>
          <cell r="F249">
            <v>0</v>
          </cell>
        </row>
        <row r="250">
          <cell r="A250">
            <v>1050610</v>
          </cell>
          <cell r="B250" t="str">
            <v>01050610 - Expenses Recoverable (Clients)</v>
          </cell>
          <cell r="C250">
            <v>5100</v>
          </cell>
          <cell r="E250">
            <v>0</v>
          </cell>
          <cell r="F250">
            <v>0</v>
          </cell>
        </row>
        <row r="251">
          <cell r="A251">
            <v>1050611</v>
          </cell>
          <cell r="B251" t="str">
            <v>01050611 - Expenses Recoverable (Others)</v>
          </cell>
          <cell r="C251">
            <v>21926.799999999999</v>
          </cell>
          <cell r="E251">
            <v>0</v>
          </cell>
          <cell r="F251">
            <v>0</v>
          </cell>
        </row>
        <row r="252">
          <cell r="A252">
            <v>1050612</v>
          </cell>
          <cell r="B252" t="str">
            <v>01050612 - Atherstone Capital (Asia) Ltd.</v>
          </cell>
          <cell r="E252">
            <v>0</v>
          </cell>
          <cell r="F252">
            <v>0</v>
          </cell>
        </row>
        <row r="253">
          <cell r="A253">
            <v>1050613</v>
          </cell>
          <cell r="B253" t="str">
            <v>01050613 - Sandoz Private Limited</v>
          </cell>
          <cell r="E253">
            <v>0</v>
          </cell>
          <cell r="F253">
            <v>0</v>
          </cell>
        </row>
        <row r="254">
          <cell r="A254">
            <v>1050614</v>
          </cell>
          <cell r="B254" t="str">
            <v>01050614 - Friday's Property Lawers Ltd.</v>
          </cell>
          <cell r="D254">
            <v>28516.39</v>
          </cell>
          <cell r="E254">
            <v>0</v>
          </cell>
          <cell r="F254">
            <v>49827.06</v>
          </cell>
        </row>
        <row r="255">
          <cell r="A255">
            <v>1050615</v>
          </cell>
          <cell r="B255" t="str">
            <v>01050615 - Zenith Optimedia</v>
          </cell>
          <cell r="E255">
            <v>0</v>
          </cell>
          <cell r="F255">
            <v>0</v>
          </cell>
        </row>
        <row r="256">
          <cell r="A256">
            <v>1050616</v>
          </cell>
          <cell r="B256" t="str">
            <v>01050616 - Salary Recoverable</v>
          </cell>
          <cell r="C256">
            <v>7500</v>
          </cell>
          <cell r="E256">
            <v>0</v>
          </cell>
          <cell r="F256">
            <v>0</v>
          </cell>
        </row>
        <row r="257">
          <cell r="A257">
            <v>1050617</v>
          </cell>
          <cell r="B257" t="str">
            <v>01050617 - Ezzee China International</v>
          </cell>
          <cell r="E257">
            <v>0</v>
          </cell>
          <cell r="F257">
            <v>0</v>
          </cell>
        </row>
        <row r="258">
          <cell r="A258">
            <v>1050618</v>
          </cell>
          <cell r="B258" t="str">
            <v>01050618 - Merryfair Chair Systems</v>
          </cell>
          <cell r="E258">
            <v>0</v>
          </cell>
          <cell r="F258">
            <v>0</v>
          </cell>
        </row>
        <row r="259">
          <cell r="A259">
            <v>1050619</v>
          </cell>
          <cell r="B259" t="str">
            <v>01050619 - The Economist Intelligence Unit Ltd.</v>
          </cell>
          <cell r="E259">
            <v>0</v>
          </cell>
          <cell r="F259">
            <v>0</v>
          </cell>
        </row>
        <row r="260">
          <cell r="A260">
            <v>1050620</v>
          </cell>
          <cell r="B260" t="str">
            <v>01050620 - Indpndt. Mob. Infr. P. Ltd. (IMIL)</v>
          </cell>
          <cell r="E260">
            <v>0</v>
          </cell>
          <cell r="F260">
            <v>0</v>
          </cell>
        </row>
        <row r="261">
          <cell r="A261">
            <v>1050621</v>
          </cell>
          <cell r="B261" t="str">
            <v>01050621 - Biosurgical Specialities</v>
          </cell>
          <cell r="E261">
            <v>0</v>
          </cell>
          <cell r="F261">
            <v>0</v>
          </cell>
        </row>
        <row r="262">
          <cell r="A262">
            <v>1050622</v>
          </cell>
          <cell r="B262" t="str">
            <v>01050622 - Expenses Recoverable -IMIL</v>
          </cell>
          <cell r="E262">
            <v>0</v>
          </cell>
          <cell r="F262">
            <v>0</v>
          </cell>
        </row>
        <row r="263">
          <cell r="A263">
            <v>1050623</v>
          </cell>
          <cell r="B263" t="str">
            <v>01050623 - Biogen Idec Biotech India Ltd</v>
          </cell>
          <cell r="E263">
            <v>0</v>
          </cell>
          <cell r="F263">
            <v>0</v>
          </cell>
        </row>
        <row r="264">
          <cell r="A264">
            <v>1050624</v>
          </cell>
          <cell r="B264" t="str">
            <v>01050624 - Intertek Testing Services (I) Pvt Ltd</v>
          </cell>
          <cell r="E264">
            <v>0</v>
          </cell>
          <cell r="F264">
            <v>0</v>
          </cell>
        </row>
        <row r="265">
          <cell r="A265">
            <v>1050625</v>
          </cell>
          <cell r="B265" t="str">
            <v>01050625 - Smart Analyst Inc. -Drs</v>
          </cell>
          <cell r="E265">
            <v>0</v>
          </cell>
          <cell r="F265">
            <v>0</v>
          </cell>
        </row>
        <row r="266">
          <cell r="A266">
            <v>1050626</v>
          </cell>
          <cell r="B266" t="str">
            <v>01050626 - Economic Research Analyst Pvt Ltd</v>
          </cell>
          <cell r="E266">
            <v>0</v>
          </cell>
          <cell r="F266">
            <v>0</v>
          </cell>
        </row>
        <row r="267">
          <cell r="A267">
            <v>1050627</v>
          </cell>
          <cell r="B267" t="str">
            <v>01050627 - Novartis International AG</v>
          </cell>
          <cell r="C267">
            <v>200000</v>
          </cell>
          <cell r="E267">
            <v>0</v>
          </cell>
          <cell r="F267">
            <v>0</v>
          </cell>
        </row>
        <row r="268">
          <cell r="A268">
            <v>1050628</v>
          </cell>
          <cell r="B268" t="str">
            <v>01050628 - Avitech Animal  Health Pvt Ltd</v>
          </cell>
          <cell r="E268">
            <v>0</v>
          </cell>
          <cell r="F268">
            <v>0</v>
          </cell>
        </row>
        <row r="269">
          <cell r="A269">
            <v>1050629</v>
          </cell>
          <cell r="B269" t="str">
            <v>01050629 - Genzyme India  PVt. Ltd.</v>
          </cell>
          <cell r="E269">
            <v>0</v>
          </cell>
          <cell r="F269">
            <v>0</v>
          </cell>
        </row>
        <row r="270">
          <cell r="A270">
            <v>1050630</v>
          </cell>
          <cell r="B270" t="str">
            <v>01050630 - Expense Recoverable - VIAN Inf. Ltd</v>
          </cell>
          <cell r="D270">
            <v>12291</v>
          </cell>
          <cell r="E270">
            <v>0</v>
          </cell>
          <cell r="F270">
            <v>0</v>
          </cell>
        </row>
        <row r="271">
          <cell r="A271">
            <v>1050631</v>
          </cell>
          <cell r="B271" t="str">
            <v>01050631 - Vian Infrastructure Ltd.</v>
          </cell>
          <cell r="E271">
            <v>0</v>
          </cell>
          <cell r="F271">
            <v>0</v>
          </cell>
        </row>
        <row r="272">
          <cell r="A272">
            <v>1050632</v>
          </cell>
          <cell r="B272" t="str">
            <v>01050632 - Ell  Lily &amp; Comp. India Pvt Ltd</v>
          </cell>
          <cell r="E272">
            <v>0</v>
          </cell>
          <cell r="F272">
            <v>0</v>
          </cell>
        </row>
        <row r="273">
          <cell r="A273">
            <v>1050633</v>
          </cell>
          <cell r="B273" t="str">
            <v>01050633- Value Edge Resarch Services Pvt. Ltd.</v>
          </cell>
          <cell r="E273">
            <v>0</v>
          </cell>
          <cell r="F273">
            <v>0</v>
          </cell>
        </row>
        <row r="274">
          <cell r="A274">
            <v>1050634</v>
          </cell>
          <cell r="B274" t="str">
            <v>01050634 - Glendining Management Consultants</v>
          </cell>
          <cell r="E274">
            <v>0</v>
          </cell>
          <cell r="F274">
            <v>0</v>
          </cell>
        </row>
        <row r="275">
          <cell r="A275">
            <v>1050635</v>
          </cell>
          <cell r="B275" t="str">
            <v>01050635 - Philips Electronics India Ltd.</v>
          </cell>
          <cell r="E275">
            <v>0</v>
          </cell>
          <cell r="F275">
            <v>0</v>
          </cell>
        </row>
        <row r="276">
          <cell r="A276">
            <v>1050636</v>
          </cell>
          <cell r="B276" t="str">
            <v>01050636 - Abbott India Limited</v>
          </cell>
          <cell r="E276">
            <v>0</v>
          </cell>
          <cell r="F276">
            <v>0</v>
          </cell>
        </row>
        <row r="277">
          <cell r="A277">
            <v>1051101</v>
          </cell>
          <cell r="B277" t="str">
            <v>01051101 - Prepaid Exp. -  Ins.</v>
          </cell>
          <cell r="C277">
            <v>673196</v>
          </cell>
          <cell r="E277">
            <v>597477</v>
          </cell>
          <cell r="F277">
            <v>0</v>
          </cell>
        </row>
        <row r="278">
          <cell r="A278">
            <v>1051102</v>
          </cell>
          <cell r="B278" t="str">
            <v>01051102 - Prepaid  Exp. -- Internet</v>
          </cell>
          <cell r="C278">
            <v>51878</v>
          </cell>
          <cell r="E278">
            <v>0</v>
          </cell>
          <cell r="F278">
            <v>0</v>
          </cell>
        </row>
        <row r="279">
          <cell r="A279">
            <v>1051103</v>
          </cell>
          <cell r="B279" t="str">
            <v>01051103 -  Prepaid Exp. -  Photocopier</v>
          </cell>
          <cell r="C279">
            <v>24960</v>
          </cell>
          <cell r="E279">
            <v>0</v>
          </cell>
          <cell r="F279">
            <v>0</v>
          </cell>
        </row>
        <row r="280">
          <cell r="A280">
            <v>1051104</v>
          </cell>
          <cell r="B280" t="str">
            <v>01051104 - Prepaid Exp. - Rep &amp; Maint.</v>
          </cell>
          <cell r="E280">
            <v>6554</v>
          </cell>
          <cell r="F280">
            <v>0</v>
          </cell>
        </row>
        <row r="281">
          <cell r="A281">
            <v>1051105</v>
          </cell>
          <cell r="B281" t="str">
            <v>01051105 - Prepaid Expenses (Others)</v>
          </cell>
          <cell r="C281">
            <v>17073</v>
          </cell>
          <cell r="E281">
            <v>17691</v>
          </cell>
          <cell r="F281">
            <v>0</v>
          </cell>
        </row>
        <row r="282">
          <cell r="A282">
            <v>1051201</v>
          </cell>
          <cell r="B282" t="str">
            <v>01051201 - Adv. for Comps.</v>
          </cell>
          <cell r="E282">
            <v>0</v>
          </cell>
          <cell r="F282">
            <v>0</v>
          </cell>
        </row>
        <row r="283">
          <cell r="A283">
            <v>1051202</v>
          </cell>
          <cell r="B283" t="str">
            <v>01051202 - Adv. for Software</v>
          </cell>
          <cell r="E283">
            <v>0</v>
          </cell>
          <cell r="F283">
            <v>0</v>
          </cell>
        </row>
        <row r="284">
          <cell r="A284">
            <v>1051203</v>
          </cell>
          <cell r="B284" t="str">
            <v>01051203 - Adv. for Tel. Equipment</v>
          </cell>
          <cell r="E284">
            <v>0</v>
          </cell>
          <cell r="F284">
            <v>0</v>
          </cell>
        </row>
        <row r="285">
          <cell r="A285">
            <v>1051301</v>
          </cell>
          <cell r="B285" t="str">
            <v>01051301 - Supplier Advance</v>
          </cell>
          <cell r="C285">
            <v>44263</v>
          </cell>
          <cell r="E285">
            <v>85163</v>
          </cell>
          <cell r="F285">
            <v>0</v>
          </cell>
        </row>
        <row r="286">
          <cell r="A286">
            <v>1051401</v>
          </cell>
          <cell r="B286" t="str">
            <v>01051401 - Advance Salary</v>
          </cell>
          <cell r="C286">
            <v>83699</v>
          </cell>
          <cell r="E286">
            <v>0</v>
          </cell>
          <cell r="F286">
            <v>0</v>
          </cell>
        </row>
        <row r="287">
          <cell r="A287">
            <v>1051402</v>
          </cell>
          <cell r="B287" t="str">
            <v>01051402 - Advance - LTA</v>
          </cell>
          <cell r="E287">
            <v>0</v>
          </cell>
          <cell r="F287">
            <v>0</v>
          </cell>
        </row>
        <row r="288">
          <cell r="A288">
            <v>1051501</v>
          </cell>
          <cell r="B288" t="str">
            <v>01051501 - Travel Advance</v>
          </cell>
          <cell r="E288">
            <v>0</v>
          </cell>
          <cell r="F288">
            <v>0</v>
          </cell>
        </row>
        <row r="289">
          <cell r="A289">
            <v>1051601</v>
          </cell>
          <cell r="B289" t="str">
            <v>01051601 - Serv. Tax Rcvrble</v>
          </cell>
          <cell r="E289">
            <v>1374971.6</v>
          </cell>
          <cell r="F289">
            <v>0</v>
          </cell>
        </row>
        <row r="290">
          <cell r="A290">
            <v>1051602</v>
          </cell>
          <cell r="B290" t="str">
            <v>01051602 - TDS Rcvrble '05-06</v>
          </cell>
          <cell r="C290">
            <v>20419</v>
          </cell>
          <cell r="E290">
            <v>20419</v>
          </cell>
          <cell r="F290">
            <v>0</v>
          </cell>
        </row>
        <row r="291">
          <cell r="A291">
            <v>1051603</v>
          </cell>
          <cell r="B291" t="str">
            <v>01051603 - TDS Rcvrble '06-07</v>
          </cell>
          <cell r="C291">
            <v>2678.52</v>
          </cell>
          <cell r="E291">
            <v>2678.52</v>
          </cell>
          <cell r="F291">
            <v>0</v>
          </cell>
        </row>
        <row r="292">
          <cell r="A292">
            <v>1051604</v>
          </cell>
          <cell r="B292" t="str">
            <v>01051604 - TDS Rcvrble '07-08</v>
          </cell>
          <cell r="C292">
            <v>378799.54</v>
          </cell>
          <cell r="E292">
            <v>378799.54</v>
          </cell>
          <cell r="F292">
            <v>0</v>
          </cell>
        </row>
        <row r="293">
          <cell r="A293">
            <v>1051605</v>
          </cell>
          <cell r="B293" t="str">
            <v>01051605 - Advance Income Tax 2007-08</v>
          </cell>
          <cell r="E293">
            <v>0</v>
          </cell>
          <cell r="F293">
            <v>0</v>
          </cell>
        </row>
        <row r="294">
          <cell r="A294">
            <v>1051606</v>
          </cell>
          <cell r="B294" t="str">
            <v>01051606 - Advance FBT 2007-08</v>
          </cell>
          <cell r="E294">
            <v>0</v>
          </cell>
          <cell r="F294">
            <v>0</v>
          </cell>
        </row>
        <row r="295">
          <cell r="A295">
            <v>1051607</v>
          </cell>
          <cell r="B295" t="str">
            <v>01051607 - Advance Income Tax 2008-09</v>
          </cell>
          <cell r="C295">
            <v>880000</v>
          </cell>
          <cell r="E295">
            <v>0</v>
          </cell>
          <cell r="F295">
            <v>0</v>
          </cell>
        </row>
        <row r="296">
          <cell r="A296">
            <v>1051608</v>
          </cell>
          <cell r="B296" t="str">
            <v>01051608 - Advance Fringe Benefit 2008-09</v>
          </cell>
          <cell r="E296">
            <v>0</v>
          </cell>
          <cell r="F296">
            <v>0</v>
          </cell>
        </row>
        <row r="297">
          <cell r="A297">
            <v>1051609</v>
          </cell>
          <cell r="B297" t="str">
            <v>01051609 - Adavance FBT- 2009-10</v>
          </cell>
          <cell r="E297">
            <v>0</v>
          </cell>
          <cell r="F297">
            <v>0</v>
          </cell>
        </row>
        <row r="298">
          <cell r="A298">
            <v>1051610</v>
          </cell>
          <cell r="B298" t="str">
            <v>01051610- TDS Recoverable 2009-10</v>
          </cell>
          <cell r="E298">
            <v>1196886.6200000001</v>
          </cell>
          <cell r="F298">
            <v>0</v>
          </cell>
        </row>
        <row r="299">
          <cell r="A299">
            <v>1051611</v>
          </cell>
          <cell r="B299" t="str">
            <v>01051611 - TDS Rcvrble '08-09</v>
          </cell>
          <cell r="C299">
            <v>3480508.94</v>
          </cell>
          <cell r="E299">
            <v>1515878.94</v>
          </cell>
          <cell r="F299">
            <v>0</v>
          </cell>
        </row>
        <row r="300">
          <cell r="A300">
            <v>1051612</v>
          </cell>
          <cell r="B300" t="str">
            <v>01051612 - Service Tax Refund</v>
          </cell>
          <cell r="C300">
            <v>2262360</v>
          </cell>
          <cell r="E300">
            <v>3162175</v>
          </cell>
          <cell r="F300">
            <v>0</v>
          </cell>
        </row>
        <row r="301">
          <cell r="A301">
            <v>1051620</v>
          </cell>
          <cell r="B301" t="str">
            <v>01051620 - VAT Paid Recoverable</v>
          </cell>
          <cell r="E301">
            <v>0</v>
          </cell>
          <cell r="F301">
            <v>0</v>
          </cell>
        </row>
        <row r="302">
          <cell r="A302">
            <v>1051630</v>
          </cell>
          <cell r="B302" t="str">
            <v>01051630 - MAT Credit Entitlement</v>
          </cell>
          <cell r="E302">
            <v>0</v>
          </cell>
          <cell r="F302">
            <v>0</v>
          </cell>
        </row>
        <row r="303">
          <cell r="A303">
            <v>1051631</v>
          </cell>
          <cell r="B303" t="str">
            <v>01051631 - ADVANCE TAX 2009-10</v>
          </cell>
          <cell r="E303">
            <v>1116287</v>
          </cell>
          <cell r="F303">
            <v>0</v>
          </cell>
        </row>
        <row r="304">
          <cell r="A304">
            <v>1051632</v>
          </cell>
          <cell r="B304" t="str">
            <v>01051632 - TDS Recoverable-2010-11</v>
          </cell>
          <cell r="E304">
            <v>0</v>
          </cell>
          <cell r="F304">
            <v>0</v>
          </cell>
        </row>
        <row r="305">
          <cell r="A305">
            <v>1051801</v>
          </cell>
          <cell r="B305" t="str">
            <v>01051801 - Interest Receivable</v>
          </cell>
          <cell r="C305">
            <v>13221.27</v>
          </cell>
          <cell r="E305">
            <v>176148.21</v>
          </cell>
          <cell r="F305">
            <v>0</v>
          </cell>
        </row>
        <row r="306">
          <cell r="A306">
            <v>1051851</v>
          </cell>
          <cell r="B306" t="str">
            <v>01051851 - Interest Accrued</v>
          </cell>
          <cell r="C306">
            <v>9585</v>
          </cell>
          <cell r="E306">
            <v>22467</v>
          </cell>
          <cell r="F306">
            <v>0</v>
          </cell>
        </row>
        <row r="307">
          <cell r="A307">
            <v>1053100</v>
          </cell>
          <cell r="B307" t="str">
            <v>01053100 - WIP (Project Income Accruals)</v>
          </cell>
          <cell r="C307">
            <v>7789331</v>
          </cell>
          <cell r="E307">
            <v>10939021</v>
          </cell>
          <cell r="F307">
            <v>0</v>
          </cell>
        </row>
        <row r="308">
          <cell r="A308">
            <v>1060101</v>
          </cell>
          <cell r="B308" t="str">
            <v>01060101 - Sales (US)</v>
          </cell>
          <cell r="D308">
            <v>162529654</v>
          </cell>
          <cell r="E308">
            <v>0</v>
          </cell>
          <cell r="F308">
            <v>134853536</v>
          </cell>
        </row>
        <row r="309">
          <cell r="A309">
            <v>1060102</v>
          </cell>
          <cell r="B309" t="str">
            <v>01060102 - Sales (Dom.)</v>
          </cell>
          <cell r="D309">
            <v>2111000</v>
          </cell>
          <cell r="E309">
            <v>0</v>
          </cell>
          <cell r="F309">
            <v>3329155</v>
          </cell>
        </row>
        <row r="310">
          <cell r="A310">
            <v>1060103</v>
          </cell>
          <cell r="B310" t="str">
            <v>01060103 - Sales (U.K.)</v>
          </cell>
          <cell r="D310">
            <v>3291722.49</v>
          </cell>
          <cell r="E310">
            <v>0</v>
          </cell>
          <cell r="F310">
            <v>2122130</v>
          </cell>
        </row>
        <row r="311">
          <cell r="A311">
            <v>1060104</v>
          </cell>
          <cell r="B311" t="str">
            <v>01060104 - Sales (Asia)</v>
          </cell>
          <cell r="D311">
            <v>1927920</v>
          </cell>
          <cell r="E311">
            <v>0</v>
          </cell>
          <cell r="F311">
            <v>334110</v>
          </cell>
        </row>
        <row r="312">
          <cell r="A312">
            <v>1060105</v>
          </cell>
          <cell r="B312" t="str">
            <v>01060105 - Sales (Europe)</v>
          </cell>
          <cell r="D312">
            <v>1261552</v>
          </cell>
          <cell r="E312">
            <v>0</v>
          </cell>
          <cell r="F312">
            <v>0</v>
          </cell>
        </row>
        <row r="313">
          <cell r="A313">
            <v>1060201</v>
          </cell>
          <cell r="B313" t="str">
            <v>01060201 - Interest on FD</v>
          </cell>
          <cell r="D313">
            <v>476620.14</v>
          </cell>
          <cell r="E313">
            <v>0</v>
          </cell>
          <cell r="F313">
            <v>305606.02</v>
          </cell>
        </row>
        <row r="314">
          <cell r="A314">
            <v>1060311</v>
          </cell>
          <cell r="B314" t="str">
            <v>01060311 - Rental Income (Subletting) - Bldg. 8</v>
          </cell>
          <cell r="D314">
            <v>11594311</v>
          </cell>
          <cell r="E314">
            <v>0</v>
          </cell>
          <cell r="F314">
            <v>3641050</v>
          </cell>
        </row>
        <row r="315">
          <cell r="A315">
            <v>1060401</v>
          </cell>
          <cell r="B315" t="str">
            <v>01060401 - WIP (Project Income)</v>
          </cell>
          <cell r="C315">
            <v>1294177</v>
          </cell>
          <cell r="E315">
            <v>0</v>
          </cell>
          <cell r="F315">
            <v>3149690</v>
          </cell>
        </row>
        <row r="316">
          <cell r="A316">
            <v>1063000</v>
          </cell>
          <cell r="B316" t="str">
            <v>01063000 -  Misc. Income</v>
          </cell>
          <cell r="D316">
            <v>1400</v>
          </cell>
          <cell r="E316">
            <v>0</v>
          </cell>
          <cell r="F316">
            <v>60693</v>
          </cell>
        </row>
        <row r="317">
          <cell r="A317">
            <v>1063001</v>
          </cell>
          <cell r="B317" t="str">
            <v>01063001- Recovery Agnst Expenses</v>
          </cell>
          <cell r="E317">
            <v>0</v>
          </cell>
          <cell r="F317">
            <v>0</v>
          </cell>
        </row>
        <row r="318">
          <cell r="A318">
            <v>1064000</v>
          </cell>
          <cell r="B318" t="str">
            <v>01064000 -  Foreign Exch. Gain /Loss</v>
          </cell>
          <cell r="C318">
            <v>2129754.9</v>
          </cell>
          <cell r="E318">
            <v>0</v>
          </cell>
          <cell r="F318">
            <v>60046.7</v>
          </cell>
        </row>
        <row r="319">
          <cell r="A319">
            <v>1070102</v>
          </cell>
          <cell r="B319" t="str">
            <v>01070102 - Basic Salary</v>
          </cell>
          <cell r="C319">
            <v>42305169</v>
          </cell>
          <cell r="E319">
            <v>37900028</v>
          </cell>
          <cell r="F319">
            <v>0</v>
          </cell>
        </row>
        <row r="320">
          <cell r="A320">
            <v>1070103</v>
          </cell>
          <cell r="B320" t="str">
            <v>01070103 - HRA</v>
          </cell>
          <cell r="C320">
            <v>21152580</v>
          </cell>
          <cell r="E320">
            <v>18948990</v>
          </cell>
          <cell r="F320">
            <v>0</v>
          </cell>
        </row>
        <row r="321">
          <cell r="A321">
            <v>1070104</v>
          </cell>
          <cell r="B321" t="str">
            <v>01070104 - Conveyance All.</v>
          </cell>
          <cell r="C321">
            <v>1667625</v>
          </cell>
          <cell r="E321">
            <v>914668</v>
          </cell>
          <cell r="F321">
            <v>0</v>
          </cell>
        </row>
        <row r="322">
          <cell r="A322">
            <v>1070106</v>
          </cell>
          <cell r="B322" t="str">
            <v>01070106 - LTA</v>
          </cell>
          <cell r="C322">
            <v>2657709</v>
          </cell>
          <cell r="E322">
            <v>2688308</v>
          </cell>
          <cell r="F322">
            <v>0</v>
          </cell>
        </row>
        <row r="323">
          <cell r="A323">
            <v>1070107</v>
          </cell>
          <cell r="B323" t="str">
            <v>01070107 - Medical</v>
          </cell>
          <cell r="C323">
            <v>1998740</v>
          </cell>
          <cell r="E323">
            <v>1586383</v>
          </cell>
          <cell r="F323">
            <v>0</v>
          </cell>
        </row>
        <row r="324">
          <cell r="A324">
            <v>1070108</v>
          </cell>
          <cell r="B324" t="str">
            <v>01070108 - Incentive</v>
          </cell>
          <cell r="E324">
            <v>0</v>
          </cell>
          <cell r="F324">
            <v>0</v>
          </cell>
        </row>
        <row r="325">
          <cell r="A325">
            <v>1070109</v>
          </cell>
          <cell r="B325" t="str">
            <v>01070109 - Special All.</v>
          </cell>
          <cell r="C325">
            <v>13257469</v>
          </cell>
          <cell r="E325">
            <v>11891877</v>
          </cell>
          <cell r="F325">
            <v>0</v>
          </cell>
        </row>
        <row r="326">
          <cell r="A326">
            <v>1070110</v>
          </cell>
          <cell r="B326" t="str">
            <v>01070110 - Compensatory Pymnt</v>
          </cell>
          <cell r="C326">
            <v>3539</v>
          </cell>
          <cell r="E326">
            <v>0</v>
          </cell>
          <cell r="F326">
            <v>0</v>
          </cell>
        </row>
        <row r="327">
          <cell r="A327">
            <v>1070111</v>
          </cell>
          <cell r="B327" t="str">
            <v>01070111 - Employer Contr. to PF</v>
          </cell>
          <cell r="C327">
            <v>4734009</v>
          </cell>
          <cell r="E327">
            <v>3995498</v>
          </cell>
          <cell r="F327">
            <v>0</v>
          </cell>
        </row>
        <row r="328">
          <cell r="A328">
            <v>1070112</v>
          </cell>
          <cell r="B328" t="str">
            <v>01070112 - PF Admin. Charges</v>
          </cell>
          <cell r="C328">
            <v>635135</v>
          </cell>
          <cell r="E328">
            <v>515593</v>
          </cell>
          <cell r="F328">
            <v>0</v>
          </cell>
        </row>
        <row r="329">
          <cell r="A329">
            <v>1070113</v>
          </cell>
          <cell r="B329" t="str">
            <v>01070113 - Sodexho Meal Vouchers</v>
          </cell>
          <cell r="C329">
            <v>2051250</v>
          </cell>
          <cell r="E329">
            <v>1855505</v>
          </cell>
          <cell r="F329">
            <v>0</v>
          </cell>
        </row>
        <row r="330">
          <cell r="A330">
            <v>1070114</v>
          </cell>
          <cell r="B330" t="str">
            <v>01070114 - Notice Period Rcvry/Pymnt</v>
          </cell>
          <cell r="D330">
            <v>2771740</v>
          </cell>
          <cell r="E330">
            <v>0</v>
          </cell>
          <cell r="F330">
            <v>1167594</v>
          </cell>
        </row>
        <row r="331">
          <cell r="A331">
            <v>1070115</v>
          </cell>
          <cell r="B331" t="str">
            <v>01070115 - Fuel Bills Reimb.</v>
          </cell>
          <cell r="C331">
            <v>1617182</v>
          </cell>
          <cell r="E331">
            <v>1370277</v>
          </cell>
          <cell r="F331">
            <v>0</v>
          </cell>
        </row>
        <row r="332">
          <cell r="A332">
            <v>1070116</v>
          </cell>
          <cell r="B332" t="str">
            <v>01070116 - Telephone Bills Reimb.</v>
          </cell>
          <cell r="C332">
            <v>79000</v>
          </cell>
          <cell r="E332">
            <v>0</v>
          </cell>
          <cell r="F332">
            <v>13070</v>
          </cell>
        </row>
        <row r="333">
          <cell r="A333">
            <v>1070117</v>
          </cell>
          <cell r="B333" t="str">
            <v>01070117 - Haryana Labour Welfare Fund-Emplee's</v>
          </cell>
          <cell r="C333">
            <v>755</v>
          </cell>
          <cell r="E333">
            <v>0</v>
          </cell>
          <cell r="F333">
            <v>0</v>
          </cell>
        </row>
        <row r="334">
          <cell r="A334">
            <v>1070118</v>
          </cell>
          <cell r="B334" t="str">
            <v>01070118 - Haryana Labour Wel.F-Empl's</v>
          </cell>
          <cell r="C334">
            <v>17930</v>
          </cell>
          <cell r="E334">
            <v>13620</v>
          </cell>
          <cell r="F334">
            <v>0</v>
          </cell>
        </row>
        <row r="335">
          <cell r="A335">
            <v>1070119</v>
          </cell>
          <cell r="B335" t="str">
            <v>01070119 - Flexi Kitty</v>
          </cell>
          <cell r="E335">
            <v>382309</v>
          </cell>
          <cell r="F335">
            <v>0</v>
          </cell>
        </row>
        <row r="336">
          <cell r="B336" t="str">
            <v>01070119 - Salary Recov. Writt.Off</v>
          </cell>
        </row>
        <row r="337">
          <cell r="A337">
            <v>1070121</v>
          </cell>
          <cell r="B337" t="str">
            <v>01070121 - Bonus (Fixed)</v>
          </cell>
          <cell r="C337">
            <v>949120</v>
          </cell>
          <cell r="E337">
            <v>615022</v>
          </cell>
          <cell r="F337">
            <v>0</v>
          </cell>
        </row>
        <row r="338">
          <cell r="A338">
            <v>1070122</v>
          </cell>
          <cell r="B338" t="str">
            <v>01070122 - Bonus (Variable / Perf.)</v>
          </cell>
          <cell r="C338">
            <v>4121671</v>
          </cell>
          <cell r="E338">
            <v>1495723</v>
          </cell>
          <cell r="F338">
            <v>0</v>
          </cell>
        </row>
        <row r="339">
          <cell r="A339">
            <v>1070131</v>
          </cell>
          <cell r="B339" t="str">
            <v>01070131 - Stipend (Interns)</v>
          </cell>
          <cell r="C339">
            <v>958030</v>
          </cell>
          <cell r="E339">
            <v>68890</v>
          </cell>
          <cell r="F339">
            <v>0</v>
          </cell>
        </row>
        <row r="340">
          <cell r="A340">
            <v>1070132</v>
          </cell>
          <cell r="B340" t="str">
            <v>01070132 - Stipend (Trainees)</v>
          </cell>
          <cell r="C340">
            <v>140764</v>
          </cell>
          <cell r="E340">
            <v>0</v>
          </cell>
          <cell r="F340">
            <v>0</v>
          </cell>
        </row>
        <row r="341">
          <cell r="A341">
            <v>1070191</v>
          </cell>
          <cell r="B341" t="str">
            <v>01070191 - Gratuity</v>
          </cell>
          <cell r="C341">
            <v>156915</v>
          </cell>
          <cell r="E341">
            <v>982812</v>
          </cell>
          <cell r="F341">
            <v>0</v>
          </cell>
        </row>
        <row r="342">
          <cell r="A342">
            <v>1070601</v>
          </cell>
          <cell r="B342" t="str">
            <v>01070601 - Common Serv. Exp. - Fixed</v>
          </cell>
          <cell r="E342">
            <v>0</v>
          </cell>
          <cell r="F342">
            <v>0</v>
          </cell>
        </row>
        <row r="343">
          <cell r="A343">
            <v>1070602</v>
          </cell>
          <cell r="B343" t="str">
            <v>01070602 - Common Services Exp - Variable</v>
          </cell>
          <cell r="E343">
            <v>0</v>
          </cell>
          <cell r="F343">
            <v>0</v>
          </cell>
        </row>
        <row r="344">
          <cell r="A344">
            <v>1070603</v>
          </cell>
          <cell r="B344" t="str">
            <v>01070603 - Common Services Recvd. - Fixed</v>
          </cell>
          <cell r="E344">
            <v>0</v>
          </cell>
          <cell r="F344">
            <v>0</v>
          </cell>
        </row>
        <row r="345">
          <cell r="A345">
            <v>1070604</v>
          </cell>
          <cell r="B345" t="str">
            <v>01070604 - Common Services Recvd. - Variable</v>
          </cell>
          <cell r="E345">
            <v>0</v>
          </cell>
          <cell r="F345">
            <v>0</v>
          </cell>
        </row>
        <row r="346">
          <cell r="A346">
            <v>1070605</v>
          </cell>
          <cell r="B346" t="str">
            <v>01070605 - Common Services- Electricity</v>
          </cell>
          <cell r="E346">
            <v>0</v>
          </cell>
          <cell r="F346">
            <v>0</v>
          </cell>
        </row>
        <row r="347">
          <cell r="A347">
            <v>1070606</v>
          </cell>
          <cell r="B347" t="str">
            <v>01070606 - Common Services- Rent</v>
          </cell>
          <cell r="E347">
            <v>0</v>
          </cell>
          <cell r="F347">
            <v>0</v>
          </cell>
        </row>
        <row r="348">
          <cell r="A348">
            <v>1070711</v>
          </cell>
          <cell r="B348" t="str">
            <v>01070711 - Hiring Chrgs. - Comps. (Brand) - Bldg. 8</v>
          </cell>
          <cell r="E348">
            <v>0</v>
          </cell>
          <cell r="F348">
            <v>0</v>
          </cell>
        </row>
        <row r="349">
          <cell r="A349">
            <v>1070712</v>
          </cell>
          <cell r="B349" t="str">
            <v>01070712 - Hiring Chrgs. - Comps. (Local) - Bldg. 8</v>
          </cell>
          <cell r="E349">
            <v>0</v>
          </cell>
          <cell r="F349">
            <v>0</v>
          </cell>
        </row>
        <row r="350">
          <cell r="A350">
            <v>1070713</v>
          </cell>
          <cell r="B350" t="str">
            <v>01070713 - Softwr. Maint.  Chrgs. (Comps.) - Bldg.8</v>
          </cell>
          <cell r="E350">
            <v>0</v>
          </cell>
          <cell r="F350">
            <v>0</v>
          </cell>
        </row>
        <row r="351">
          <cell r="A351">
            <v>1070714</v>
          </cell>
          <cell r="B351" t="str">
            <v>01070714 - Lease Chrgs. of Software - Bldg. 8</v>
          </cell>
          <cell r="E351">
            <v>0</v>
          </cell>
          <cell r="F351">
            <v>0</v>
          </cell>
        </row>
        <row r="352">
          <cell r="A352">
            <v>1070715</v>
          </cell>
          <cell r="B352" t="str">
            <v>01070715 - IT Maint. Chrgs. - Bldg. 8</v>
          </cell>
          <cell r="E352">
            <v>0</v>
          </cell>
          <cell r="F352">
            <v>0</v>
          </cell>
        </row>
        <row r="353">
          <cell r="A353">
            <v>1070716</v>
          </cell>
          <cell r="B353" t="str">
            <v>01070716 - Hiring Chrgs. - Comps. (Others) - Bldg.8</v>
          </cell>
          <cell r="E353">
            <v>0</v>
          </cell>
          <cell r="F353">
            <v>0</v>
          </cell>
        </row>
        <row r="354">
          <cell r="A354">
            <v>1070731</v>
          </cell>
          <cell r="B354" t="str">
            <v>01070731 - Hiring Chrgs - Comps. (Brand) - Bldg. 9</v>
          </cell>
          <cell r="C354">
            <v>4669850</v>
          </cell>
          <cell r="E354">
            <v>2776392</v>
          </cell>
          <cell r="F354">
            <v>0</v>
          </cell>
        </row>
        <row r="355">
          <cell r="A355">
            <v>1070732</v>
          </cell>
          <cell r="B355" t="str">
            <v>01070732 - Hiring Chrgs. - Comps. (Local) - Bldg. 9</v>
          </cell>
          <cell r="E355">
            <v>0</v>
          </cell>
          <cell r="F355">
            <v>0</v>
          </cell>
        </row>
        <row r="356">
          <cell r="A356">
            <v>1070736</v>
          </cell>
          <cell r="B356" t="str">
            <v>01070736 - Hiring Chrgs. - Comps. (Others) - Bldg.9</v>
          </cell>
          <cell r="C356">
            <v>364588</v>
          </cell>
          <cell r="E356">
            <v>212954</v>
          </cell>
          <cell r="F356">
            <v>0</v>
          </cell>
        </row>
        <row r="357">
          <cell r="A357">
            <v>1070802</v>
          </cell>
          <cell r="B357" t="str">
            <v>01070802 - Internet Expenses (Bldg. 8)</v>
          </cell>
          <cell r="E357">
            <v>0</v>
          </cell>
          <cell r="F357">
            <v>0</v>
          </cell>
        </row>
        <row r="358">
          <cell r="A358">
            <v>1070803</v>
          </cell>
          <cell r="B358" t="str">
            <v>01070803 - Internet Expenses (Bldg. 9)</v>
          </cell>
          <cell r="C358">
            <v>941142.5</v>
          </cell>
          <cell r="E358">
            <v>434232</v>
          </cell>
          <cell r="F358">
            <v>0</v>
          </cell>
        </row>
        <row r="359">
          <cell r="A359">
            <v>1070901</v>
          </cell>
          <cell r="B359" t="str">
            <v>01070901 - Hiring Chrgs - (Projector - Trng.)</v>
          </cell>
          <cell r="E359">
            <v>0</v>
          </cell>
          <cell r="F359">
            <v>0</v>
          </cell>
        </row>
        <row r="360">
          <cell r="A360">
            <v>1070902</v>
          </cell>
          <cell r="B360" t="str">
            <v>01070902 - Hiring Chrgs - (Projector - Meeting)</v>
          </cell>
          <cell r="E360">
            <v>0</v>
          </cell>
          <cell r="F360">
            <v>0</v>
          </cell>
        </row>
        <row r="361">
          <cell r="A361">
            <v>1071101</v>
          </cell>
          <cell r="B361" t="str">
            <v>01071101 - Prof. Chrgs. - Payroll</v>
          </cell>
          <cell r="C361">
            <v>271200</v>
          </cell>
          <cell r="E361">
            <v>260400</v>
          </cell>
          <cell r="F361">
            <v>0</v>
          </cell>
        </row>
        <row r="362">
          <cell r="A362">
            <v>1071102</v>
          </cell>
          <cell r="B362" t="str">
            <v>01071102 - Prof. Chrgs. - Training</v>
          </cell>
          <cell r="E362">
            <v>40000</v>
          </cell>
          <cell r="F362">
            <v>0</v>
          </cell>
        </row>
        <row r="363">
          <cell r="A363">
            <v>1071103</v>
          </cell>
          <cell r="B363" t="str">
            <v>01071103 - Prof. Chrgs. - Consultancy</v>
          </cell>
          <cell r="C363">
            <v>274746</v>
          </cell>
          <cell r="E363">
            <v>356953</v>
          </cell>
          <cell r="F363">
            <v>0</v>
          </cell>
        </row>
        <row r="364">
          <cell r="A364">
            <v>1071104</v>
          </cell>
          <cell r="B364" t="str">
            <v>01071104 - Prof. Chrgs - Conslt (Translation)</v>
          </cell>
          <cell r="C364">
            <v>275248</v>
          </cell>
          <cell r="E364">
            <v>264078</v>
          </cell>
          <cell r="F364">
            <v>0</v>
          </cell>
        </row>
        <row r="365">
          <cell r="A365">
            <v>1071105</v>
          </cell>
          <cell r="B365" t="str">
            <v>01071105 - Prof. Chrgs Conslt (Analyst)</v>
          </cell>
          <cell r="C365">
            <v>3047536</v>
          </cell>
          <cell r="E365">
            <v>4768932</v>
          </cell>
          <cell r="F365">
            <v>0</v>
          </cell>
        </row>
        <row r="366">
          <cell r="A366">
            <v>1071106</v>
          </cell>
          <cell r="B366" t="str">
            <v>01071106 - Prof. Chrgs Conslt (HR)</v>
          </cell>
          <cell r="C366">
            <v>215000</v>
          </cell>
          <cell r="E366">
            <v>25000</v>
          </cell>
          <cell r="F366">
            <v>0</v>
          </cell>
        </row>
        <row r="367">
          <cell r="A367">
            <v>1071107</v>
          </cell>
          <cell r="B367" t="str">
            <v>01071107 - Prof. &amp; Serv. Chgs (IT &amp; Comps.)</v>
          </cell>
          <cell r="E367">
            <v>25000</v>
          </cell>
          <cell r="F367">
            <v>0</v>
          </cell>
        </row>
        <row r="368">
          <cell r="A368">
            <v>1071108</v>
          </cell>
          <cell r="B368" t="str">
            <v>01071108 - Professional Charges (Misc. / Others)</v>
          </cell>
          <cell r="C368">
            <v>944883</v>
          </cell>
          <cell r="E368">
            <v>2458030</v>
          </cell>
          <cell r="F368">
            <v>0</v>
          </cell>
        </row>
        <row r="369">
          <cell r="A369">
            <v>1071150</v>
          </cell>
          <cell r="B369" t="str">
            <v>01071150 - Prof. Chrgs. - Recruitment</v>
          </cell>
          <cell r="C369">
            <v>3548753</v>
          </cell>
          <cell r="E369">
            <v>883970</v>
          </cell>
          <cell r="F369">
            <v>0</v>
          </cell>
        </row>
        <row r="370">
          <cell r="A370">
            <v>1071202</v>
          </cell>
          <cell r="B370" t="str">
            <v>01071202 - STPI Fees &amp; Charges</v>
          </cell>
          <cell r="C370">
            <v>300000</v>
          </cell>
          <cell r="E370">
            <v>200000</v>
          </cell>
          <cell r="F370">
            <v>0</v>
          </cell>
        </row>
        <row r="371">
          <cell r="A371">
            <v>1071203</v>
          </cell>
          <cell r="B371" t="str">
            <v>01071203 - AAI</v>
          </cell>
          <cell r="E371">
            <v>0</v>
          </cell>
          <cell r="F371">
            <v>0</v>
          </cell>
        </row>
        <row r="372">
          <cell r="A372">
            <v>1071204</v>
          </cell>
          <cell r="B372" t="str">
            <v>01071204 - Service Tax</v>
          </cell>
          <cell r="E372">
            <v>0</v>
          </cell>
          <cell r="F372">
            <v>0</v>
          </cell>
        </row>
        <row r="373">
          <cell r="A373">
            <v>1071205</v>
          </cell>
          <cell r="B373" t="str">
            <v>01071205 - ROC</v>
          </cell>
          <cell r="E373">
            <v>0</v>
          </cell>
          <cell r="F373">
            <v>0</v>
          </cell>
        </row>
        <row r="374">
          <cell r="A374">
            <v>1071206</v>
          </cell>
          <cell r="B374" t="str">
            <v>01071206 - Rates, Fees, Taxes &amp; Commn.</v>
          </cell>
          <cell r="C374">
            <v>9296</v>
          </cell>
          <cell r="E374">
            <v>136436.03</v>
          </cell>
          <cell r="F374">
            <v>0</v>
          </cell>
        </row>
        <row r="375">
          <cell r="A375">
            <v>1071207</v>
          </cell>
          <cell r="B375" t="str">
            <v>01071207 - Fee &amp; Annual Chrgs</v>
          </cell>
          <cell r="E375">
            <v>0</v>
          </cell>
          <cell r="F375">
            <v>0</v>
          </cell>
        </row>
        <row r="376">
          <cell r="A376">
            <v>1071208</v>
          </cell>
          <cell r="B376" t="str">
            <v>01071208 - Stamp Duty &amp; Legal Expn.</v>
          </cell>
          <cell r="E376">
            <v>0</v>
          </cell>
          <cell r="F376">
            <v>0</v>
          </cell>
        </row>
        <row r="377">
          <cell r="A377">
            <v>1071209</v>
          </cell>
          <cell r="B377" t="str">
            <v>01071209 - Statutory &amp; Legal Fees</v>
          </cell>
          <cell r="E377">
            <v>0</v>
          </cell>
          <cell r="F377">
            <v>0</v>
          </cell>
        </row>
        <row r="378">
          <cell r="A378">
            <v>1071311</v>
          </cell>
          <cell r="B378" t="str">
            <v>01071311 - Office Rent - 204 GBP</v>
          </cell>
          <cell r="E378">
            <v>0</v>
          </cell>
          <cell r="F378">
            <v>0</v>
          </cell>
        </row>
        <row r="379">
          <cell r="A379">
            <v>1071313</v>
          </cell>
          <cell r="B379" t="str">
            <v>01071313 - Office Rent - Bldg. 8</v>
          </cell>
          <cell r="C379">
            <v>5759289</v>
          </cell>
          <cell r="E379">
            <v>5024651</v>
          </cell>
          <cell r="F379">
            <v>0</v>
          </cell>
        </row>
        <row r="380">
          <cell r="A380">
            <v>1071314</v>
          </cell>
          <cell r="B380" t="str">
            <v>01071314 - Office Rent - Bldg. 9</v>
          </cell>
          <cell r="C380">
            <v>13836600</v>
          </cell>
          <cell r="E380">
            <v>13836600</v>
          </cell>
          <cell r="F380">
            <v>0</v>
          </cell>
        </row>
        <row r="381">
          <cell r="A381">
            <v>1071321</v>
          </cell>
          <cell r="B381" t="str">
            <v>01071321 - Office Maint. - 204 GBP</v>
          </cell>
          <cell r="E381">
            <v>0</v>
          </cell>
          <cell r="F381">
            <v>0</v>
          </cell>
        </row>
        <row r="382">
          <cell r="A382">
            <v>1071322</v>
          </cell>
          <cell r="B382" t="str">
            <v>01071322 - Office Maint.- 304/305/306 GBP</v>
          </cell>
          <cell r="E382">
            <v>0</v>
          </cell>
          <cell r="F382">
            <v>0</v>
          </cell>
        </row>
        <row r="383">
          <cell r="A383">
            <v>1071323</v>
          </cell>
          <cell r="B383" t="str">
            <v>01071323 - Office Maint. - Bldg. 8</v>
          </cell>
          <cell r="C383">
            <v>431885</v>
          </cell>
          <cell r="E383">
            <v>546635</v>
          </cell>
          <cell r="F383">
            <v>0</v>
          </cell>
        </row>
        <row r="384">
          <cell r="A384">
            <v>1071324</v>
          </cell>
          <cell r="B384" t="str">
            <v>01071324 - Office Maint. - Bldg. 9</v>
          </cell>
          <cell r="C384">
            <v>4366486</v>
          </cell>
          <cell r="E384">
            <v>5273449.5</v>
          </cell>
          <cell r="F384">
            <v>0</v>
          </cell>
        </row>
        <row r="385">
          <cell r="A385">
            <v>1071331</v>
          </cell>
          <cell r="B385" t="str">
            <v>01071331 - Electr. &amp; Power Expn. - 204 GBP</v>
          </cell>
          <cell r="E385">
            <v>0</v>
          </cell>
          <cell r="F385">
            <v>0</v>
          </cell>
        </row>
        <row r="386">
          <cell r="A386">
            <v>1071333</v>
          </cell>
          <cell r="B386" t="str">
            <v>01071333 - Electr. &amp; Power Expn. - Bldg. 8</v>
          </cell>
          <cell r="C386">
            <v>7157.38</v>
          </cell>
          <cell r="E386">
            <v>3270</v>
          </cell>
          <cell r="F386">
            <v>0</v>
          </cell>
        </row>
        <row r="387">
          <cell r="A387">
            <v>1071334</v>
          </cell>
          <cell r="B387" t="str">
            <v>01071334 - Electr. &amp; Power Expn. - Bldg. 9</v>
          </cell>
          <cell r="C387">
            <v>1076745</v>
          </cell>
          <cell r="E387">
            <v>1009486.4</v>
          </cell>
          <cell r="F387">
            <v>0</v>
          </cell>
        </row>
        <row r="388">
          <cell r="A388">
            <v>1071411</v>
          </cell>
          <cell r="B388" t="str">
            <v>01071411 - Tel. Expenses - VOIP</v>
          </cell>
          <cell r="C388">
            <v>83622.490000000005</v>
          </cell>
          <cell r="E388">
            <v>12318</v>
          </cell>
          <cell r="F388">
            <v>0</v>
          </cell>
        </row>
        <row r="389">
          <cell r="A389">
            <v>1071412</v>
          </cell>
          <cell r="B389" t="str">
            <v>01071412 - Tel. Expenses - Local (Others)</v>
          </cell>
          <cell r="C389">
            <v>727056</v>
          </cell>
          <cell r="E389">
            <v>715518.62</v>
          </cell>
          <cell r="F389">
            <v>0</v>
          </cell>
        </row>
        <row r="390">
          <cell r="A390">
            <v>1071413</v>
          </cell>
          <cell r="B390" t="str">
            <v>01071413 - Tel. Expenses - Leased Lines</v>
          </cell>
          <cell r="C390">
            <v>13130</v>
          </cell>
          <cell r="E390">
            <v>5205</v>
          </cell>
          <cell r="F390">
            <v>0</v>
          </cell>
        </row>
        <row r="391">
          <cell r="A391">
            <v>1071414</v>
          </cell>
          <cell r="B391" t="str">
            <v>01071414 - Tel. Expenses - Mgr's, TL's, AD's</v>
          </cell>
          <cell r="C391">
            <v>225262</v>
          </cell>
          <cell r="E391">
            <v>323495.5</v>
          </cell>
          <cell r="F391">
            <v>0</v>
          </cell>
        </row>
        <row r="392">
          <cell r="A392">
            <v>1071501</v>
          </cell>
          <cell r="B392" t="str">
            <v>01071501 - Staff Welfare</v>
          </cell>
          <cell r="C392">
            <v>728896.5</v>
          </cell>
          <cell r="E392">
            <v>424118</v>
          </cell>
          <cell r="F392">
            <v>0</v>
          </cell>
        </row>
        <row r="393">
          <cell r="A393">
            <v>1071502</v>
          </cell>
          <cell r="B393" t="str">
            <v>01071502 - Staff Welfare - Off. Supplies</v>
          </cell>
          <cell r="C393">
            <v>333772</v>
          </cell>
          <cell r="E393">
            <v>249243</v>
          </cell>
          <cell r="F393">
            <v>0</v>
          </cell>
        </row>
        <row r="394">
          <cell r="A394">
            <v>1071504</v>
          </cell>
          <cell r="B394" t="str">
            <v>01071504 - Staff Welfare - Toileteries</v>
          </cell>
          <cell r="C394">
            <v>417914</v>
          </cell>
          <cell r="E394">
            <v>378409</v>
          </cell>
          <cell r="F394">
            <v>0</v>
          </cell>
        </row>
        <row r="395">
          <cell r="A395">
            <v>1071601</v>
          </cell>
          <cell r="B395" t="str">
            <v>01071601 - Travelling Expenses</v>
          </cell>
          <cell r="C395">
            <v>555215</v>
          </cell>
          <cell r="E395">
            <v>85269</v>
          </cell>
          <cell r="F395">
            <v>0</v>
          </cell>
        </row>
        <row r="396">
          <cell r="A396">
            <v>1071602</v>
          </cell>
          <cell r="B396" t="str">
            <v>01071602 - Boarding &amp; Lodging Expn.</v>
          </cell>
          <cell r="C396">
            <v>33217</v>
          </cell>
          <cell r="E396">
            <v>0</v>
          </cell>
          <cell r="F396">
            <v>0</v>
          </cell>
        </row>
        <row r="397">
          <cell r="A397">
            <v>1071711</v>
          </cell>
          <cell r="B397" t="str">
            <v>01071711 - Ins. Expn. - Premises - Bldg. 8</v>
          </cell>
          <cell r="C397">
            <v>11817</v>
          </cell>
          <cell r="E397">
            <v>0</v>
          </cell>
          <cell r="F397">
            <v>0</v>
          </cell>
        </row>
        <row r="398">
          <cell r="A398">
            <v>1071712</v>
          </cell>
          <cell r="B398" t="str">
            <v>01071712 - Ins. Expn. - Fixtures</v>
          </cell>
          <cell r="E398">
            <v>0</v>
          </cell>
          <cell r="F398">
            <v>0</v>
          </cell>
        </row>
        <row r="399">
          <cell r="A399">
            <v>1071713</v>
          </cell>
          <cell r="B399" t="str">
            <v>01071713 - Ins. Expn. - Equipments</v>
          </cell>
          <cell r="E399">
            <v>2547</v>
          </cell>
          <cell r="F399">
            <v>0</v>
          </cell>
        </row>
        <row r="400">
          <cell r="A400">
            <v>1071715</v>
          </cell>
          <cell r="B400" t="str">
            <v>01071715 - Ins. Expn. Premises - Bldg.  9</v>
          </cell>
          <cell r="C400">
            <v>66790</v>
          </cell>
          <cell r="E400">
            <v>79118</v>
          </cell>
          <cell r="F400">
            <v>0</v>
          </cell>
        </row>
        <row r="401">
          <cell r="A401">
            <v>1071731</v>
          </cell>
          <cell r="B401" t="str">
            <v>01071731 - Ins. Expn. - Prsnl. Accident</v>
          </cell>
          <cell r="C401">
            <v>54173</v>
          </cell>
          <cell r="E401">
            <v>52136</v>
          </cell>
          <cell r="F401">
            <v>0</v>
          </cell>
        </row>
        <row r="402">
          <cell r="A402">
            <v>1071732</v>
          </cell>
          <cell r="B402" t="str">
            <v>01071732 - Ins. Expn. - Mediclaim</v>
          </cell>
          <cell r="C402">
            <v>237239</v>
          </cell>
          <cell r="E402">
            <v>591944</v>
          </cell>
          <cell r="F402">
            <v>0</v>
          </cell>
        </row>
        <row r="403">
          <cell r="A403">
            <v>1071901</v>
          </cell>
          <cell r="B403" t="str">
            <v>01071901 - Convy. Expn. - Staff</v>
          </cell>
          <cell r="C403">
            <v>1378973</v>
          </cell>
          <cell r="E403">
            <v>1315049</v>
          </cell>
          <cell r="F403">
            <v>0</v>
          </cell>
        </row>
        <row r="404">
          <cell r="A404">
            <v>1071902</v>
          </cell>
          <cell r="B404" t="str">
            <v>01071902 - Convy. Expn. - Buss. &amp; Client</v>
          </cell>
          <cell r="C404">
            <v>11646</v>
          </cell>
          <cell r="E404">
            <v>14087</v>
          </cell>
          <cell r="F404">
            <v>0</v>
          </cell>
        </row>
        <row r="405">
          <cell r="A405">
            <v>1071903</v>
          </cell>
          <cell r="B405" t="str">
            <v>01071903 - Convy. Expn. - Training</v>
          </cell>
          <cell r="E405">
            <v>0</v>
          </cell>
          <cell r="F405">
            <v>0</v>
          </cell>
        </row>
        <row r="406">
          <cell r="A406">
            <v>1071904</v>
          </cell>
          <cell r="B406" t="str">
            <v>01071904 - Convy. Expn. (Outstation Travel)</v>
          </cell>
          <cell r="E406">
            <v>0</v>
          </cell>
          <cell r="F406">
            <v>0</v>
          </cell>
        </row>
        <row r="407">
          <cell r="A407">
            <v>1072010</v>
          </cell>
          <cell r="B407" t="str">
            <v>01072010 - Upkeep Charges</v>
          </cell>
          <cell r="E407">
            <v>0</v>
          </cell>
          <cell r="F407">
            <v>0</v>
          </cell>
        </row>
        <row r="408">
          <cell r="A408">
            <v>1072020</v>
          </cell>
          <cell r="B408" t="str">
            <v>01072020 -  House Keeping Services</v>
          </cell>
          <cell r="C408">
            <v>294746</v>
          </cell>
          <cell r="E408">
            <v>301297</v>
          </cell>
          <cell r="F408">
            <v>0</v>
          </cell>
        </row>
        <row r="409">
          <cell r="A409">
            <v>1072030</v>
          </cell>
          <cell r="B409" t="str">
            <v>01072030 - Newspapers &amp; Magazines</v>
          </cell>
          <cell r="C409">
            <v>12909</v>
          </cell>
          <cell r="E409">
            <v>12220</v>
          </cell>
          <cell r="F409">
            <v>0</v>
          </cell>
        </row>
        <row r="410">
          <cell r="A410">
            <v>1072041</v>
          </cell>
          <cell r="B410" t="str">
            <v>01072041 - Books &amp; Periodicals</v>
          </cell>
          <cell r="C410">
            <v>58514.18</v>
          </cell>
          <cell r="E410">
            <v>36328</v>
          </cell>
          <cell r="F410">
            <v>0</v>
          </cell>
        </row>
        <row r="411">
          <cell r="A411">
            <v>1072042</v>
          </cell>
          <cell r="B411" t="str">
            <v>01072042 - Subscriptions</v>
          </cell>
          <cell r="E411">
            <v>0</v>
          </cell>
          <cell r="F411">
            <v>0</v>
          </cell>
        </row>
        <row r="412">
          <cell r="A412">
            <v>1072050</v>
          </cell>
          <cell r="B412" t="str">
            <v>01072050 - Courier &amp; Postage</v>
          </cell>
          <cell r="C412">
            <v>11155.26</v>
          </cell>
          <cell r="E412">
            <v>0</v>
          </cell>
          <cell r="F412">
            <v>0</v>
          </cell>
        </row>
        <row r="413">
          <cell r="A413">
            <v>1072051</v>
          </cell>
          <cell r="B413" t="str">
            <v>01072051 - Postage &amp; Courier</v>
          </cell>
          <cell r="C413">
            <v>7220</v>
          </cell>
          <cell r="E413">
            <v>15405</v>
          </cell>
          <cell r="F413">
            <v>0</v>
          </cell>
        </row>
        <row r="414">
          <cell r="A414">
            <v>1072060</v>
          </cell>
          <cell r="B414" t="str">
            <v>01072060 - Printing &amp; Stationery</v>
          </cell>
          <cell r="C414">
            <v>229267</v>
          </cell>
          <cell r="E414">
            <v>195555</v>
          </cell>
          <cell r="F414">
            <v>0</v>
          </cell>
        </row>
        <row r="415">
          <cell r="A415">
            <v>1072070</v>
          </cell>
          <cell r="B415" t="str">
            <v>01072070 - Security Service Chrgs -  Bldg-8</v>
          </cell>
          <cell r="E415">
            <v>0</v>
          </cell>
          <cell r="F415">
            <v>0</v>
          </cell>
        </row>
        <row r="416">
          <cell r="A416">
            <v>1072071</v>
          </cell>
          <cell r="B416" t="str">
            <v>01072071 - Security Service Chgs - Bldg-9</v>
          </cell>
          <cell r="C416">
            <v>305058</v>
          </cell>
          <cell r="E416">
            <v>246522</v>
          </cell>
          <cell r="F416">
            <v>0</v>
          </cell>
        </row>
        <row r="417">
          <cell r="A417">
            <v>1072080</v>
          </cell>
          <cell r="B417" t="str">
            <v>01072080 - Repair &amp; Maint. (Others)</v>
          </cell>
          <cell r="C417">
            <v>368599</v>
          </cell>
          <cell r="E417">
            <v>180868</v>
          </cell>
          <cell r="F417">
            <v>0</v>
          </cell>
        </row>
        <row r="418">
          <cell r="A418">
            <v>1072090</v>
          </cell>
          <cell r="B418" t="str">
            <v>01072090 - Computer Consumables</v>
          </cell>
          <cell r="C418">
            <v>32559</v>
          </cell>
          <cell r="E418">
            <v>103075</v>
          </cell>
          <cell r="F418">
            <v>0</v>
          </cell>
        </row>
        <row r="419">
          <cell r="A419">
            <v>1072095</v>
          </cell>
          <cell r="B419" t="str">
            <v>01072095 - Serv. &amp; Delvry. Chrgs.</v>
          </cell>
          <cell r="C419">
            <v>15136</v>
          </cell>
          <cell r="E419">
            <v>0</v>
          </cell>
          <cell r="F419">
            <v>0</v>
          </cell>
        </row>
        <row r="420">
          <cell r="A420">
            <v>1073110</v>
          </cell>
          <cell r="B420" t="str">
            <v>01073110 - Relocation Expenses</v>
          </cell>
          <cell r="C420">
            <v>584276</v>
          </cell>
          <cell r="E420">
            <v>139779</v>
          </cell>
          <cell r="F420">
            <v>0</v>
          </cell>
        </row>
        <row r="421">
          <cell r="A421">
            <v>1073120</v>
          </cell>
          <cell r="B421" t="str">
            <v>01073120 - Transfer Expenses</v>
          </cell>
          <cell r="E421">
            <v>0</v>
          </cell>
          <cell r="F421">
            <v>0</v>
          </cell>
        </row>
        <row r="422">
          <cell r="A422">
            <v>1073210</v>
          </cell>
          <cell r="B422" t="str">
            <v>01073210 - Entertaiment Expn.</v>
          </cell>
          <cell r="E422">
            <v>0</v>
          </cell>
          <cell r="F422">
            <v>0</v>
          </cell>
        </row>
        <row r="423">
          <cell r="A423">
            <v>1073220</v>
          </cell>
          <cell r="B423" t="str">
            <v>01073220 - Business Development</v>
          </cell>
          <cell r="E423">
            <v>0</v>
          </cell>
          <cell r="F423">
            <v>0</v>
          </cell>
        </row>
        <row r="424">
          <cell r="A424">
            <v>1073310</v>
          </cell>
          <cell r="B424" t="str">
            <v>01073310 - Bank Charges</v>
          </cell>
          <cell r="C424">
            <v>45445.09</v>
          </cell>
          <cell r="E424">
            <v>33693.910000000003</v>
          </cell>
          <cell r="F424">
            <v>0</v>
          </cell>
        </row>
        <row r="425">
          <cell r="A425">
            <v>1073411</v>
          </cell>
          <cell r="B425" t="str">
            <v>01073411 - Hiring Chrgs -  Photocopier</v>
          </cell>
          <cell r="C425">
            <v>118911</v>
          </cell>
          <cell r="E425">
            <v>52131</v>
          </cell>
          <cell r="F425">
            <v>0</v>
          </cell>
        </row>
        <row r="426">
          <cell r="A426">
            <v>1073431</v>
          </cell>
          <cell r="B426" t="str">
            <v>01073431 - Hiring Chrgs. (Furnt. - Bldg. 8)</v>
          </cell>
          <cell r="E426">
            <v>0</v>
          </cell>
          <cell r="F426">
            <v>0</v>
          </cell>
        </row>
        <row r="427">
          <cell r="A427">
            <v>1073432</v>
          </cell>
          <cell r="B427" t="str">
            <v>01073432 - Hiring Chrgs. (Furnt. - Bldg. 9)</v>
          </cell>
          <cell r="E427">
            <v>0</v>
          </cell>
          <cell r="F427">
            <v>0</v>
          </cell>
        </row>
        <row r="428">
          <cell r="A428">
            <v>1073441</v>
          </cell>
          <cell r="B428" t="str">
            <v>01073441 - Interest on HP Assets (Furnt. - Bldg. 8)</v>
          </cell>
          <cell r="C428">
            <v>835936</v>
          </cell>
          <cell r="E428">
            <v>645612</v>
          </cell>
          <cell r="F428">
            <v>0</v>
          </cell>
        </row>
        <row r="429">
          <cell r="A429">
            <v>1073442</v>
          </cell>
          <cell r="B429" t="str">
            <v>01073442 - Interest on HP Assets (Furnt. - Bldg. 9)</v>
          </cell>
          <cell r="E429">
            <v>0</v>
          </cell>
          <cell r="F429">
            <v>0</v>
          </cell>
        </row>
        <row r="430">
          <cell r="A430">
            <v>1073511</v>
          </cell>
          <cell r="B430" t="str">
            <v>01073511 - Advert. Expn. - Recruitment</v>
          </cell>
          <cell r="C430">
            <v>3000</v>
          </cell>
          <cell r="E430">
            <v>0</v>
          </cell>
          <cell r="F430">
            <v>0</v>
          </cell>
        </row>
        <row r="431">
          <cell r="A431">
            <v>1073521</v>
          </cell>
          <cell r="B431" t="str">
            <v>01073521 - Media / PR  &amp; Press Rel. Expns.</v>
          </cell>
          <cell r="C431">
            <v>91374</v>
          </cell>
          <cell r="E431">
            <v>0</v>
          </cell>
          <cell r="F431">
            <v>0</v>
          </cell>
        </row>
        <row r="432">
          <cell r="A432">
            <v>1073606</v>
          </cell>
          <cell r="B432" t="str">
            <v>01073606 - Honorarium Charges</v>
          </cell>
          <cell r="C432">
            <v>102100</v>
          </cell>
          <cell r="E432">
            <v>144472</v>
          </cell>
          <cell r="F432">
            <v>0</v>
          </cell>
        </row>
        <row r="433">
          <cell r="A433">
            <v>1073610</v>
          </cell>
          <cell r="B433" t="str">
            <v>01073610 - Directors Fee</v>
          </cell>
          <cell r="C433">
            <v>15000</v>
          </cell>
          <cell r="E433">
            <v>4000</v>
          </cell>
          <cell r="F433">
            <v>0</v>
          </cell>
        </row>
        <row r="434">
          <cell r="A434">
            <v>1074010</v>
          </cell>
          <cell r="B434" t="str">
            <v>01074010 - Rent-Software</v>
          </cell>
          <cell r="E434">
            <v>0</v>
          </cell>
          <cell r="F434">
            <v>0</v>
          </cell>
        </row>
        <row r="435">
          <cell r="A435">
            <v>1074021</v>
          </cell>
          <cell r="B435" t="str">
            <v>01074021 - Trng. Expn. &amp; Chrgs.</v>
          </cell>
          <cell r="C435">
            <v>69361</v>
          </cell>
          <cell r="E435">
            <v>3180</v>
          </cell>
          <cell r="F435">
            <v>0</v>
          </cell>
        </row>
        <row r="436">
          <cell r="A436">
            <v>1074022</v>
          </cell>
          <cell r="B436" t="str">
            <v>01074022 - Seminar / Trng. Participation Fees</v>
          </cell>
          <cell r="E436">
            <v>0</v>
          </cell>
          <cell r="F436">
            <v>0</v>
          </cell>
        </row>
        <row r="437">
          <cell r="A437">
            <v>1074023</v>
          </cell>
          <cell r="B437" t="str">
            <v>01074023 - Conference Participation Fees</v>
          </cell>
          <cell r="C437">
            <v>15650</v>
          </cell>
          <cell r="E437">
            <v>0</v>
          </cell>
          <cell r="F437">
            <v>0</v>
          </cell>
        </row>
        <row r="438">
          <cell r="A438">
            <v>1074030</v>
          </cell>
          <cell r="B438" t="str">
            <v>01074030 - Video Conferencing Chrgs</v>
          </cell>
          <cell r="E438">
            <v>0</v>
          </cell>
          <cell r="F438">
            <v>0</v>
          </cell>
        </row>
        <row r="439">
          <cell r="A439">
            <v>1074401</v>
          </cell>
          <cell r="B439" t="str">
            <v>01074401 - Audit Fees</v>
          </cell>
          <cell r="C439">
            <v>150000</v>
          </cell>
          <cell r="E439">
            <v>150000</v>
          </cell>
          <cell r="F439">
            <v>0</v>
          </cell>
        </row>
        <row r="440">
          <cell r="A440">
            <v>1075110</v>
          </cell>
          <cell r="B440" t="str">
            <v>01075110 - Service Tax  Charges</v>
          </cell>
          <cell r="C440">
            <v>1460403.77</v>
          </cell>
          <cell r="E440">
            <v>41804</v>
          </cell>
          <cell r="F440">
            <v>0</v>
          </cell>
        </row>
        <row r="441">
          <cell r="A441">
            <v>1075111</v>
          </cell>
          <cell r="B441" t="str">
            <v>01075111 - Commision &amp; Brokerage</v>
          </cell>
          <cell r="C441">
            <v>1040300</v>
          </cell>
          <cell r="E441">
            <v>0</v>
          </cell>
          <cell r="F441">
            <v>0</v>
          </cell>
        </row>
        <row r="442">
          <cell r="A442">
            <v>1075120</v>
          </cell>
          <cell r="B442" t="str">
            <v>01075120 - Fringe Benefit Tax Expense</v>
          </cell>
          <cell r="C442">
            <v>553200</v>
          </cell>
          <cell r="E442">
            <v>0</v>
          </cell>
          <cell r="F442">
            <v>0</v>
          </cell>
        </row>
        <row r="443">
          <cell r="A443">
            <v>1075130</v>
          </cell>
          <cell r="B443" t="str">
            <v>01075130 - Interest on TDS</v>
          </cell>
          <cell r="C443">
            <v>45</v>
          </cell>
          <cell r="E443">
            <v>0</v>
          </cell>
          <cell r="F443">
            <v>0</v>
          </cell>
        </row>
        <row r="444">
          <cell r="A444">
            <v>1075140</v>
          </cell>
          <cell r="B444" t="str">
            <v>01075140 - Int to Supreme - O/s Pymnts</v>
          </cell>
          <cell r="C444">
            <v>652611</v>
          </cell>
          <cell r="E444">
            <v>93743</v>
          </cell>
          <cell r="F444">
            <v>0</v>
          </cell>
        </row>
        <row r="445">
          <cell r="A445">
            <v>1075150</v>
          </cell>
          <cell r="B445" t="str">
            <v>01075150 - Prov No Longer Req/Misc/exss Amt Wri.Off</v>
          </cell>
          <cell r="C445">
            <v>2423672.84</v>
          </cell>
          <cell r="E445">
            <v>0</v>
          </cell>
          <cell r="F445">
            <v>145423.57</v>
          </cell>
        </row>
        <row r="446">
          <cell r="A446">
            <v>1075151</v>
          </cell>
          <cell r="B446" t="str">
            <v>01075151 - Interest Late Deposit - Tax</v>
          </cell>
          <cell r="C446">
            <v>5987</v>
          </cell>
          <cell r="E446">
            <v>0</v>
          </cell>
          <cell r="F446">
            <v>0</v>
          </cell>
        </row>
        <row r="447">
          <cell r="A447">
            <v>1075152</v>
          </cell>
          <cell r="B447" t="str">
            <v>01075152 - Prov.for Service Tax Refund</v>
          </cell>
          <cell r="E447">
            <v>2288943.6</v>
          </cell>
          <cell r="F447">
            <v>0</v>
          </cell>
        </row>
        <row r="448">
          <cell r="A448">
            <v>1075401</v>
          </cell>
          <cell r="B448" t="str">
            <v>01075401 - Shortage &amp; Excess</v>
          </cell>
          <cell r="D448">
            <v>2.23</v>
          </cell>
          <cell r="E448">
            <v>2.27</v>
          </cell>
          <cell r="F448">
            <v>0</v>
          </cell>
        </row>
        <row r="449">
          <cell r="A449">
            <v>1075501</v>
          </cell>
          <cell r="B449" t="str">
            <v>01075501 - Depreciation</v>
          </cell>
          <cell r="C449">
            <v>4047442</v>
          </cell>
          <cell r="E449">
            <v>3976802</v>
          </cell>
          <cell r="F449">
            <v>0</v>
          </cell>
        </row>
        <row r="450">
          <cell r="A450">
            <v>1075601</v>
          </cell>
          <cell r="B450" t="str">
            <v>01075601 - Debit Bal. of P&amp;L A/c (BS)</v>
          </cell>
          <cell r="E450">
            <v>0</v>
          </cell>
          <cell r="F450">
            <v>0</v>
          </cell>
        </row>
        <row r="451">
          <cell r="A451">
            <v>1078110</v>
          </cell>
          <cell r="B451" t="str">
            <v>01078110 -Deferred Rev. Expnd. - W/o</v>
          </cell>
          <cell r="E451">
            <v>0</v>
          </cell>
          <cell r="F451">
            <v>0</v>
          </cell>
        </row>
        <row r="452">
          <cell r="A452">
            <v>1078120</v>
          </cell>
          <cell r="B452" t="str">
            <v>01078120 - Prel. Expn. - W/o</v>
          </cell>
          <cell r="E452">
            <v>0</v>
          </cell>
          <cell r="F452">
            <v>0</v>
          </cell>
        </row>
        <row r="453">
          <cell r="A453">
            <v>1078130</v>
          </cell>
          <cell r="B453" t="str">
            <v>01078130 - Pre-Oprtv Expn. - W/o</v>
          </cell>
          <cell r="E453">
            <v>0</v>
          </cell>
          <cell r="F453">
            <v>0</v>
          </cell>
        </row>
        <row r="454">
          <cell r="A454">
            <v>1079101</v>
          </cell>
          <cell r="B454" t="str">
            <v>01079101 - Prov. for Income Tax</v>
          </cell>
          <cell r="C454">
            <v>2844630</v>
          </cell>
          <cell r="E454">
            <v>1759053</v>
          </cell>
          <cell r="F454">
            <v>0</v>
          </cell>
        </row>
        <row r="455">
          <cell r="A455">
            <v>1079102</v>
          </cell>
          <cell r="B455" t="str">
            <v>01079102 - MAT Credit Provision</v>
          </cell>
          <cell r="C455">
            <v>1395808</v>
          </cell>
          <cell r="E455">
            <v>0</v>
          </cell>
          <cell r="F455">
            <v>0</v>
          </cell>
        </row>
        <row r="456">
          <cell r="A456">
            <v>1079201</v>
          </cell>
          <cell r="B456" t="str">
            <v>01079201 - Loss on Sale of Assets</v>
          </cell>
          <cell r="C456">
            <v>161357</v>
          </cell>
          <cell r="E456">
            <v>7829372.4100000001</v>
          </cell>
          <cell r="F456">
            <v>0</v>
          </cell>
        </row>
        <row r="457">
          <cell r="A457">
            <v>1080101</v>
          </cell>
          <cell r="B457" t="str">
            <v>01080101 - Deferred Rev. Expnd.</v>
          </cell>
          <cell r="E457">
            <v>0</v>
          </cell>
          <cell r="F457">
            <v>0</v>
          </cell>
        </row>
        <row r="458">
          <cell r="A458">
            <v>1080102</v>
          </cell>
          <cell r="B458" t="str">
            <v>01080102 - Preliminary Exp.</v>
          </cell>
          <cell r="E458">
            <v>0</v>
          </cell>
          <cell r="F458">
            <v>0</v>
          </cell>
        </row>
        <row r="459">
          <cell r="A459">
            <v>1080103</v>
          </cell>
          <cell r="B459" t="str">
            <v>01080103 - Pre-Operative Exp.</v>
          </cell>
          <cell r="E459">
            <v>0</v>
          </cell>
          <cell r="F459">
            <v>0</v>
          </cell>
        </row>
        <row r="460">
          <cell r="A460">
            <v>1090001</v>
          </cell>
          <cell r="B460" t="str">
            <v>01090001 - Profit &amp; Loss A/c</v>
          </cell>
          <cell r="D460">
            <v>35279348.920000002</v>
          </cell>
          <cell r="E460">
            <v>0</v>
          </cell>
          <cell r="F460">
            <v>56145945.869999997</v>
          </cell>
        </row>
      </sheetData>
      <sheetData sheetId="15">
        <row r="5">
          <cell r="A5">
            <v>1010101</v>
          </cell>
          <cell r="B5" t="str">
            <v>01010101 - Capital</v>
          </cell>
          <cell r="D5">
            <v>1700000</v>
          </cell>
        </row>
        <row r="6">
          <cell r="A6">
            <v>1010102</v>
          </cell>
          <cell r="B6" t="str">
            <v>01010102 - Ranjit Shastri</v>
          </cell>
        </row>
        <row r="7">
          <cell r="A7">
            <v>1010103</v>
          </cell>
          <cell r="B7" t="str">
            <v>01010103 - Share Appl. Money</v>
          </cell>
        </row>
        <row r="8">
          <cell r="A8">
            <v>1010104</v>
          </cell>
          <cell r="B8" t="str">
            <v>01010104 - Share Premium</v>
          </cell>
          <cell r="D8">
            <v>8700000</v>
          </cell>
        </row>
        <row r="9">
          <cell r="A9">
            <v>1020201</v>
          </cell>
          <cell r="B9" t="str">
            <v>01020201 - SmartAnalyst Inc. - Adv.&amp; Sec. Dep.</v>
          </cell>
          <cell r="D9">
            <v>10260890.35</v>
          </cell>
        </row>
        <row r="10">
          <cell r="A10">
            <v>1030102</v>
          </cell>
          <cell r="B10" t="str">
            <v>01030102 - TDS Payable (Contr)</v>
          </cell>
          <cell r="D10">
            <v>19665</v>
          </cell>
        </row>
        <row r="11">
          <cell r="A11">
            <v>1030103</v>
          </cell>
          <cell r="B11" t="str">
            <v>01030103 - TDS Payable (Prof)</v>
          </cell>
          <cell r="D11">
            <v>127551</v>
          </cell>
        </row>
        <row r="12">
          <cell r="A12">
            <v>1030104</v>
          </cell>
          <cell r="B12" t="str">
            <v>01030104 - TDS Payable (Rent)</v>
          </cell>
          <cell r="D12">
            <v>159550</v>
          </cell>
        </row>
        <row r="13">
          <cell r="A13">
            <v>1030105</v>
          </cell>
          <cell r="B13" t="str">
            <v>01030105 - TDS Payable (Salary)</v>
          </cell>
          <cell r="D13">
            <v>1074260</v>
          </cell>
        </row>
        <row r="14">
          <cell r="A14">
            <v>1030106</v>
          </cell>
          <cell r="B14" t="str">
            <v>01030106 - FBT Payable</v>
          </cell>
        </row>
        <row r="15">
          <cell r="A15">
            <v>1030107</v>
          </cell>
          <cell r="B15" t="str">
            <v>01030107 - TDS Payable (Common Serv)</v>
          </cell>
        </row>
        <row r="16">
          <cell r="A16">
            <v>1030108</v>
          </cell>
          <cell r="B16" t="str">
            <v>01030108 - TDS Payable (Int)</v>
          </cell>
          <cell r="D16">
            <v>4586</v>
          </cell>
        </row>
        <row r="17">
          <cell r="A17">
            <v>1030109</v>
          </cell>
          <cell r="B17" t="str">
            <v>01030109 - Service Tax Payable (Services)</v>
          </cell>
        </row>
        <row r="18">
          <cell r="A18">
            <v>1030110</v>
          </cell>
          <cell r="B18" t="str">
            <v>01030110 - TDS Payable - Brokerage</v>
          </cell>
        </row>
        <row r="19">
          <cell r="A19">
            <v>1030111</v>
          </cell>
          <cell r="B19" t="str">
            <v>01030111 - Service Tax Payable (Rent)</v>
          </cell>
        </row>
        <row r="20">
          <cell r="A20">
            <v>1030112</v>
          </cell>
          <cell r="B20" t="str">
            <v>01030112 - TDS Payable (Foreign Services)</v>
          </cell>
        </row>
        <row r="21">
          <cell r="A21">
            <v>1030113</v>
          </cell>
          <cell r="B21" t="str">
            <v>01030113 - HLWF -Payable</v>
          </cell>
          <cell r="D21">
            <v>4815</v>
          </cell>
        </row>
        <row r="22">
          <cell r="A22">
            <v>1030114</v>
          </cell>
          <cell r="B22" t="str">
            <v>01030114 -  Service Tax Liability</v>
          </cell>
          <cell r="D22">
            <v>96564</v>
          </cell>
        </row>
        <row r="23">
          <cell r="A23">
            <v>1030130</v>
          </cell>
          <cell r="B23" t="str">
            <v>01030130 - Income Tax Payable</v>
          </cell>
          <cell r="D23">
            <v>1759053</v>
          </cell>
        </row>
        <row r="24">
          <cell r="A24">
            <v>1031001</v>
          </cell>
          <cell r="B24" t="str">
            <v>01031001 - Active Comm.</v>
          </cell>
        </row>
        <row r="25">
          <cell r="A25">
            <v>1031002</v>
          </cell>
          <cell r="B25" t="str">
            <v>01031002 - N. Sriram</v>
          </cell>
        </row>
        <row r="26">
          <cell r="A26">
            <v>1031003</v>
          </cell>
          <cell r="B26" t="str">
            <v>01031003 - Namrata</v>
          </cell>
        </row>
        <row r="27">
          <cell r="A27">
            <v>1031004</v>
          </cell>
          <cell r="B27" t="str">
            <v>01031004 - J. Chhachhi</v>
          </cell>
        </row>
        <row r="28">
          <cell r="A28">
            <v>1031005</v>
          </cell>
          <cell r="B28" t="str">
            <v>01031005 - E. Chitra</v>
          </cell>
        </row>
        <row r="29">
          <cell r="A29">
            <v>1031006</v>
          </cell>
          <cell r="B29" t="str">
            <v>01031006 - Avninder Srivastava</v>
          </cell>
        </row>
        <row r="30">
          <cell r="A30">
            <v>1031007</v>
          </cell>
          <cell r="B30" t="str">
            <v>01031007 - Anuradha Bhasin</v>
          </cell>
        </row>
        <row r="31">
          <cell r="A31">
            <v>1031008</v>
          </cell>
          <cell r="B31" t="str">
            <v>01031008 - Info Transtech</v>
          </cell>
        </row>
        <row r="32">
          <cell r="A32">
            <v>1031009</v>
          </cell>
          <cell r="B32" t="str">
            <v>01031009 - Inox Global</v>
          </cell>
        </row>
        <row r="33">
          <cell r="A33">
            <v>1031010</v>
          </cell>
          <cell r="B33" t="str">
            <v>01031010 - SpadeWorkz</v>
          </cell>
        </row>
        <row r="34">
          <cell r="A34">
            <v>1031011</v>
          </cell>
          <cell r="B34" t="str">
            <v>01031011 - MKS</v>
          </cell>
        </row>
        <row r="35">
          <cell r="A35">
            <v>1031012</v>
          </cell>
          <cell r="B35" t="str">
            <v>01031012 - Unitell</v>
          </cell>
        </row>
        <row r="36">
          <cell r="A36">
            <v>1031013</v>
          </cell>
          <cell r="B36" t="str">
            <v>01031013 - Jobs &amp; Bonds</v>
          </cell>
        </row>
        <row r="37">
          <cell r="A37">
            <v>1031014</v>
          </cell>
          <cell r="B37" t="str">
            <v>01031014 - KM Associates</v>
          </cell>
        </row>
        <row r="38">
          <cell r="A38">
            <v>1031015</v>
          </cell>
          <cell r="B38" t="str">
            <v>01031015 - Perspective Conslt</v>
          </cell>
        </row>
        <row r="39">
          <cell r="A39">
            <v>1031016</v>
          </cell>
          <cell r="B39" t="str">
            <v>01031016 - Quadrangle Consltng</v>
          </cell>
        </row>
        <row r="40">
          <cell r="A40">
            <v>1031017</v>
          </cell>
          <cell r="B40" t="str">
            <v>01031017 - Ravi Garg</v>
          </cell>
        </row>
        <row r="41">
          <cell r="A41">
            <v>1031018</v>
          </cell>
          <cell r="B41" t="str">
            <v>01031018 - Sandeep Gupta</v>
          </cell>
        </row>
        <row r="42">
          <cell r="A42">
            <v>1031019</v>
          </cell>
          <cell r="B42" t="str">
            <v>01031019 - Komal Agarwal (HR Conslt)</v>
          </cell>
        </row>
        <row r="43">
          <cell r="A43">
            <v>1031020</v>
          </cell>
          <cell r="B43" t="str">
            <v>01031020 - Delta</v>
          </cell>
        </row>
        <row r="44">
          <cell r="A44">
            <v>1031021</v>
          </cell>
          <cell r="B44" t="str">
            <v>01031021 - Del DSL Internet</v>
          </cell>
        </row>
        <row r="45">
          <cell r="A45">
            <v>1031022</v>
          </cell>
          <cell r="B45" t="str">
            <v>01031022 - Supreme Furniture</v>
          </cell>
        </row>
        <row r="46">
          <cell r="A46">
            <v>1031023</v>
          </cell>
          <cell r="B46" t="str">
            <v>01031023 - IECS</v>
          </cell>
        </row>
        <row r="47">
          <cell r="A47">
            <v>1031024</v>
          </cell>
          <cell r="B47" t="str">
            <v>01031024 - Iris Unified Learning Ltd.</v>
          </cell>
        </row>
        <row r="48">
          <cell r="A48">
            <v>1031025</v>
          </cell>
          <cell r="B48" t="str">
            <v>01031025 - Netlab Solution Inc.</v>
          </cell>
        </row>
        <row r="49">
          <cell r="A49">
            <v>1031026</v>
          </cell>
          <cell r="B49" t="str">
            <v>01031026 - Ideal Mktg. (Water)</v>
          </cell>
        </row>
        <row r="50">
          <cell r="A50">
            <v>1031027</v>
          </cell>
          <cell r="B50" t="str">
            <v>01031027 - Aggarwal Stores</v>
          </cell>
        </row>
        <row r="51">
          <cell r="A51">
            <v>1031028</v>
          </cell>
          <cell r="B51" t="str">
            <v>01031028 - Pooja Taxi</v>
          </cell>
        </row>
        <row r="52">
          <cell r="A52">
            <v>1031029</v>
          </cell>
          <cell r="B52" t="str">
            <v>01031029 - Sunrise Systems</v>
          </cell>
        </row>
        <row r="53">
          <cell r="A53">
            <v>1031030</v>
          </cell>
          <cell r="B53" t="str">
            <v>01031030 - Twinkle Stationers</v>
          </cell>
        </row>
        <row r="54">
          <cell r="A54">
            <v>1031031</v>
          </cell>
          <cell r="B54" t="str">
            <v>01031031 - Viraj Enterprises</v>
          </cell>
        </row>
        <row r="55">
          <cell r="A55">
            <v>1031032</v>
          </cell>
          <cell r="B55" t="str">
            <v>01031032 - Syntax Soft - Tech</v>
          </cell>
        </row>
        <row r="56">
          <cell r="A56">
            <v>1031033</v>
          </cell>
          <cell r="B56" t="str">
            <v>01031033 - Tack Innovation</v>
          </cell>
        </row>
        <row r="57">
          <cell r="A57">
            <v>1031034</v>
          </cell>
          <cell r="B57" t="str">
            <v>01031034 - Ish Arora</v>
          </cell>
        </row>
        <row r="58">
          <cell r="A58">
            <v>1031035</v>
          </cell>
          <cell r="B58" t="str">
            <v>01031035 - Manish Arora</v>
          </cell>
        </row>
        <row r="59">
          <cell r="A59">
            <v>1031036</v>
          </cell>
          <cell r="B59" t="str">
            <v>01031036 - S. B. Developers Ltd.</v>
          </cell>
        </row>
        <row r="60">
          <cell r="A60">
            <v>1031037</v>
          </cell>
          <cell r="B60" t="str">
            <v>01031037 - Black Fox Security</v>
          </cell>
        </row>
        <row r="61">
          <cell r="A61">
            <v>1031038</v>
          </cell>
          <cell r="B61" t="str">
            <v>01031038 - ERA Pvt. Ltd.</v>
          </cell>
        </row>
        <row r="62">
          <cell r="A62">
            <v>1031040</v>
          </cell>
          <cell r="B62" t="str">
            <v>01031040 - Vulcan Mould &amp; Dies</v>
          </cell>
        </row>
        <row r="63">
          <cell r="A63">
            <v>1031041</v>
          </cell>
          <cell r="B63" t="str">
            <v>01031041 - DLF CyberCity</v>
          </cell>
        </row>
        <row r="64">
          <cell r="A64">
            <v>1031042</v>
          </cell>
          <cell r="B64" t="str">
            <v>01031042 - Avanindra Kumar</v>
          </cell>
        </row>
        <row r="65">
          <cell r="A65">
            <v>1031043</v>
          </cell>
          <cell r="B65" t="str">
            <v>01031043 - Sujata Chatterji</v>
          </cell>
        </row>
        <row r="66">
          <cell r="A66">
            <v>1031044</v>
          </cell>
          <cell r="B66" t="str">
            <v>01031044 - Allied Videos</v>
          </cell>
        </row>
        <row r="67">
          <cell r="A67">
            <v>1031045</v>
          </cell>
          <cell r="B67" t="str">
            <v>01031045 - Jayna Book Depot</v>
          </cell>
        </row>
        <row r="68">
          <cell r="A68">
            <v>1031046</v>
          </cell>
          <cell r="B68" t="str">
            <v>01031046 - Pragya Taneja</v>
          </cell>
        </row>
        <row r="69">
          <cell r="A69">
            <v>1031047</v>
          </cell>
          <cell r="B69" t="str">
            <v>01031047 - Virk Consultancy Services</v>
          </cell>
        </row>
        <row r="70">
          <cell r="A70">
            <v>1031048</v>
          </cell>
          <cell r="B70" t="str">
            <v>01031048 - DBM Enterprises</v>
          </cell>
        </row>
        <row r="71">
          <cell r="A71">
            <v>1031049</v>
          </cell>
          <cell r="B71" t="str">
            <v>01031049 - Quick Advertisment Co</v>
          </cell>
        </row>
        <row r="72">
          <cell r="A72">
            <v>1031050</v>
          </cell>
          <cell r="B72" t="str">
            <v>01031050 - Corporate Telesystems</v>
          </cell>
        </row>
        <row r="73">
          <cell r="A73">
            <v>1031051</v>
          </cell>
          <cell r="B73" t="str">
            <v>01031051 - Jai Kr. Tejwani</v>
          </cell>
        </row>
        <row r="74">
          <cell r="A74">
            <v>1031052</v>
          </cell>
          <cell r="B74" t="str">
            <v>01031052 - Bhavna Joshi</v>
          </cell>
        </row>
        <row r="75">
          <cell r="A75">
            <v>1031053</v>
          </cell>
          <cell r="B75" t="str">
            <v>01031053 - LG Electronic India</v>
          </cell>
        </row>
        <row r="76">
          <cell r="A76">
            <v>1031054</v>
          </cell>
          <cell r="B76" t="str">
            <v>01031054 - Perfect Airconditioning Trad. Co.</v>
          </cell>
        </row>
        <row r="77">
          <cell r="A77">
            <v>1031055</v>
          </cell>
          <cell r="B77" t="str">
            <v>01031055 - Concept Safety Systems</v>
          </cell>
        </row>
        <row r="78">
          <cell r="A78">
            <v>1031056</v>
          </cell>
          <cell r="B78" t="str">
            <v>01031056 - TelecraftE Solutions</v>
          </cell>
          <cell r="D78">
            <v>60</v>
          </cell>
        </row>
        <row r="79">
          <cell r="A79">
            <v>1031057</v>
          </cell>
          <cell r="B79" t="str">
            <v>01031057 - STPI</v>
          </cell>
        </row>
        <row r="80">
          <cell r="A80">
            <v>1031058</v>
          </cell>
          <cell r="B80" t="str">
            <v>01031058 - Dr. Karan</v>
          </cell>
        </row>
        <row r="81">
          <cell r="A81">
            <v>1031059</v>
          </cell>
          <cell r="B81" t="str">
            <v>01031059 - DLF Cyber City</v>
          </cell>
          <cell r="C81">
            <v>1174417</v>
          </cell>
        </row>
        <row r="82">
          <cell r="A82">
            <v>1031060</v>
          </cell>
          <cell r="B82" t="str">
            <v>01031060 - AXIOM</v>
          </cell>
        </row>
        <row r="83">
          <cell r="A83">
            <v>1031061</v>
          </cell>
          <cell r="B83" t="str">
            <v>01031061 - DLF Services</v>
          </cell>
          <cell r="D83">
            <v>155544.20000000001</v>
          </cell>
        </row>
        <row r="84">
          <cell r="A84">
            <v>1031062</v>
          </cell>
          <cell r="B84" t="str">
            <v>01031062 - Destination Travel</v>
          </cell>
        </row>
        <row r="85">
          <cell r="A85">
            <v>1031063</v>
          </cell>
          <cell r="B85" t="str">
            <v>01031063 - Delta IT Network - EMI</v>
          </cell>
        </row>
        <row r="86">
          <cell r="A86">
            <v>1031064</v>
          </cell>
          <cell r="B86" t="str">
            <v>01031064 - Bharti Airtel</v>
          </cell>
        </row>
        <row r="87">
          <cell r="A87">
            <v>1031065</v>
          </cell>
          <cell r="B87" t="str">
            <v>01031065 - Eurekay</v>
          </cell>
        </row>
        <row r="88">
          <cell r="A88">
            <v>1031066</v>
          </cell>
          <cell r="B88" t="str">
            <v>01031066 - Elixir</v>
          </cell>
        </row>
        <row r="89">
          <cell r="A89">
            <v>1031067</v>
          </cell>
          <cell r="B89" t="str">
            <v>01031067 - Shiv Craft</v>
          </cell>
        </row>
        <row r="90">
          <cell r="A90">
            <v>1031068</v>
          </cell>
          <cell r="B90" t="str">
            <v>01031068 - Mgmt. Dev. Inst.</v>
          </cell>
        </row>
        <row r="91">
          <cell r="A91">
            <v>1031069</v>
          </cell>
          <cell r="B91" t="str">
            <v>01031069 - IT Works @Siyaram</v>
          </cell>
        </row>
        <row r="92">
          <cell r="A92">
            <v>1031070</v>
          </cell>
          <cell r="B92" t="str">
            <v>01031070 - SLV Security</v>
          </cell>
        </row>
        <row r="93">
          <cell r="A93">
            <v>1031071</v>
          </cell>
          <cell r="B93" t="str">
            <v>01031071 - Vodaphone</v>
          </cell>
        </row>
        <row r="94">
          <cell r="A94">
            <v>1031072</v>
          </cell>
          <cell r="B94" t="str">
            <v>01031072 - Shubham (Newspaper)</v>
          </cell>
        </row>
        <row r="95">
          <cell r="A95">
            <v>1031073</v>
          </cell>
          <cell r="B95" t="str">
            <v>01031073 - Aplha Computer</v>
          </cell>
        </row>
        <row r="96">
          <cell r="A96">
            <v>1031074</v>
          </cell>
          <cell r="B96" t="str">
            <v>01031074 - The Palms Club</v>
          </cell>
        </row>
        <row r="97">
          <cell r="A97">
            <v>1031075</v>
          </cell>
          <cell r="B97" t="str">
            <v>01031075 - Aptech Ltd.</v>
          </cell>
        </row>
        <row r="98">
          <cell r="A98">
            <v>1031076</v>
          </cell>
          <cell r="B98" t="str">
            <v>01031076 - Shakuntlam</v>
          </cell>
        </row>
        <row r="99">
          <cell r="A99">
            <v>1031077</v>
          </cell>
          <cell r="B99" t="str">
            <v>01031077 - All Business Solutions</v>
          </cell>
        </row>
        <row r="100">
          <cell r="A100">
            <v>1031078</v>
          </cell>
          <cell r="B100" t="str">
            <v>01031078 - Landmark Technologies</v>
          </cell>
        </row>
        <row r="101">
          <cell r="A101">
            <v>1031079</v>
          </cell>
          <cell r="B101" t="str">
            <v>01031079 - Translation India</v>
          </cell>
        </row>
        <row r="102">
          <cell r="A102">
            <v>1031080</v>
          </cell>
          <cell r="B102" t="str">
            <v>01031080 - Presto Control Combine</v>
          </cell>
        </row>
        <row r="103">
          <cell r="A103">
            <v>1031081</v>
          </cell>
          <cell r="B103" t="str">
            <v>01031081 - Wipro Ltd.</v>
          </cell>
        </row>
        <row r="104">
          <cell r="A104">
            <v>1031082</v>
          </cell>
          <cell r="B104" t="str">
            <v>01031082 - Suresh Chand Aggarwal</v>
          </cell>
        </row>
        <row r="105">
          <cell r="A105">
            <v>1031083</v>
          </cell>
          <cell r="B105" t="str">
            <v>01031083 - Vishvas Marketing</v>
          </cell>
        </row>
        <row r="106">
          <cell r="A106">
            <v>1031084</v>
          </cell>
          <cell r="B106" t="str">
            <v>01031084 - Epitome Recruitments</v>
          </cell>
        </row>
        <row r="107">
          <cell r="A107">
            <v>1031085</v>
          </cell>
          <cell r="B107" t="str">
            <v>01031085 - Evening Stare Cargo Services</v>
          </cell>
        </row>
        <row r="108">
          <cell r="A108">
            <v>1031086</v>
          </cell>
          <cell r="B108" t="str">
            <v>01031086 - The New India Assurance Co. Ltd.</v>
          </cell>
        </row>
        <row r="109">
          <cell r="A109">
            <v>1031087</v>
          </cell>
          <cell r="B109" t="str">
            <v>01031087 - New Horizons</v>
          </cell>
        </row>
        <row r="110">
          <cell r="A110">
            <v>1031088</v>
          </cell>
          <cell r="B110" t="str">
            <v>01031088 - Reliance Webstore Ltd.</v>
          </cell>
        </row>
        <row r="111">
          <cell r="A111">
            <v>1031089</v>
          </cell>
          <cell r="B111" t="str">
            <v>01031089 - SAMS FACILITIES</v>
          </cell>
        </row>
        <row r="112">
          <cell r="A112">
            <v>1031090</v>
          </cell>
          <cell r="B112" t="str">
            <v>01031090 - Monster .Com</v>
          </cell>
        </row>
        <row r="113">
          <cell r="A113">
            <v>1031091</v>
          </cell>
          <cell r="B113" t="str">
            <v>01031091 - STAR BEVERAGE</v>
          </cell>
        </row>
        <row r="114">
          <cell r="A114">
            <v>1031092</v>
          </cell>
          <cell r="B114" t="str">
            <v>01031092 - AIESEC DI</v>
          </cell>
        </row>
        <row r="115">
          <cell r="A115">
            <v>1031093</v>
          </cell>
          <cell r="B115" t="str">
            <v>01031093 - TRUTEK PRODUCTS</v>
          </cell>
        </row>
        <row r="116">
          <cell r="A116">
            <v>1031094</v>
          </cell>
          <cell r="B116" t="str">
            <v>01031094 - SUPREME FURNITURE (HPASSETS)</v>
          </cell>
          <cell r="D116">
            <v>3771683</v>
          </cell>
        </row>
        <row r="117">
          <cell r="A117">
            <v>1031095</v>
          </cell>
          <cell r="B117" t="str">
            <v>01031095 - SUPREME FURNITURE - VAT</v>
          </cell>
        </row>
        <row r="118">
          <cell r="A118">
            <v>1031096</v>
          </cell>
          <cell r="B118" t="str">
            <v>01031096 - DVR MANAGEMENT</v>
          </cell>
        </row>
        <row r="119">
          <cell r="A119">
            <v>1031098</v>
          </cell>
          <cell r="B119" t="str">
            <v>01031098 - ARORA &amp; JAGGI ASSC.</v>
          </cell>
        </row>
        <row r="120">
          <cell r="A120">
            <v>1031099</v>
          </cell>
          <cell r="B120" t="str">
            <v>01031099 - Kumar Typing &amp; Xerox</v>
          </cell>
        </row>
        <row r="121">
          <cell r="A121">
            <v>1031100</v>
          </cell>
          <cell r="B121" t="str">
            <v>01031100 - Kaizzen Comm.</v>
          </cell>
        </row>
        <row r="122">
          <cell r="A122">
            <v>1031101</v>
          </cell>
          <cell r="B122" t="str">
            <v>01031101 - AV SPRINT TRANSPORTATION</v>
          </cell>
        </row>
        <row r="123">
          <cell r="A123">
            <v>1031102</v>
          </cell>
          <cell r="B123" t="str">
            <v>01031102 - New Pooja Tour &amp; Travel</v>
          </cell>
        </row>
        <row r="124">
          <cell r="A124">
            <v>1031103</v>
          </cell>
          <cell r="B124" t="str">
            <v>01031103 - Unison</v>
          </cell>
        </row>
        <row r="125">
          <cell r="A125">
            <v>1031104</v>
          </cell>
          <cell r="B125" t="str">
            <v>01031104 - Lokesh Goel</v>
          </cell>
        </row>
        <row r="126">
          <cell r="A126">
            <v>1031105</v>
          </cell>
          <cell r="B126" t="str">
            <v>01031105 - Sheema Mookherjee</v>
          </cell>
        </row>
        <row r="127">
          <cell r="A127">
            <v>1031106</v>
          </cell>
          <cell r="B127" t="str">
            <v>01031106 - Rita Luther</v>
          </cell>
        </row>
        <row r="128">
          <cell r="A128">
            <v>1031107</v>
          </cell>
          <cell r="B128" t="str">
            <v>01031107 - Sodexho</v>
          </cell>
        </row>
        <row r="129">
          <cell r="A129">
            <v>1031108</v>
          </cell>
          <cell r="B129" t="str">
            <v>01031108 - Tapas Consultants</v>
          </cell>
        </row>
        <row r="130">
          <cell r="A130">
            <v>1031109</v>
          </cell>
          <cell r="B130" t="str">
            <v>01031109 - AAA Services</v>
          </cell>
        </row>
        <row r="131">
          <cell r="A131">
            <v>1031110</v>
          </cell>
          <cell r="B131" t="str">
            <v>01031110 - Priya Chandrasekar</v>
          </cell>
        </row>
        <row r="132">
          <cell r="A132">
            <v>1031111</v>
          </cell>
          <cell r="B132" t="str">
            <v>01031111 - Jobline Consultants</v>
          </cell>
        </row>
        <row r="133">
          <cell r="A133">
            <v>1031112</v>
          </cell>
          <cell r="B133" t="str">
            <v>01031112 - YWCA</v>
          </cell>
        </row>
        <row r="134">
          <cell r="A134">
            <v>1031113</v>
          </cell>
          <cell r="B134" t="str">
            <v>01031113 - Assure Corporate Solutions</v>
          </cell>
        </row>
        <row r="135">
          <cell r="A135">
            <v>1031114</v>
          </cell>
          <cell r="B135" t="str">
            <v>01031114 - Shraddhananda Moharana</v>
          </cell>
        </row>
        <row r="136">
          <cell r="A136">
            <v>1031115</v>
          </cell>
          <cell r="B136" t="str">
            <v>01031115 - Gayathri Sampat</v>
          </cell>
        </row>
        <row r="137">
          <cell r="A137">
            <v>1031116</v>
          </cell>
          <cell r="B137" t="str">
            <v>01031116 - Dr. Ravinder Makkar</v>
          </cell>
        </row>
        <row r="138">
          <cell r="A138">
            <v>1031117</v>
          </cell>
          <cell r="B138" t="str">
            <v>01031117 - Footprints</v>
          </cell>
        </row>
        <row r="139">
          <cell r="A139">
            <v>1031118</v>
          </cell>
          <cell r="B139" t="str">
            <v>01031118 - Saiom India</v>
          </cell>
          <cell r="D139">
            <v>136441</v>
          </cell>
        </row>
        <row r="140">
          <cell r="A140">
            <v>1031119</v>
          </cell>
          <cell r="B140" t="str">
            <v>01031119 - Language Aide</v>
          </cell>
        </row>
        <row r="141">
          <cell r="A141">
            <v>1031120</v>
          </cell>
          <cell r="B141" t="str">
            <v>01031120 - Vaishnavi International</v>
          </cell>
        </row>
        <row r="142">
          <cell r="A142">
            <v>1031121</v>
          </cell>
          <cell r="B142" t="str">
            <v>01031121 - DBM Marketing</v>
          </cell>
        </row>
        <row r="143">
          <cell r="A143">
            <v>1031122</v>
          </cell>
          <cell r="B143" t="str">
            <v>01031122 - Dr. Anil Kumar Mishra</v>
          </cell>
        </row>
        <row r="144">
          <cell r="A144">
            <v>1031123</v>
          </cell>
          <cell r="B144" t="str">
            <v>01031123 - Suvidha Travels</v>
          </cell>
        </row>
        <row r="145">
          <cell r="A145">
            <v>1031124</v>
          </cell>
          <cell r="B145" t="str">
            <v>01031124 - S. D. Pathak &amp; Co.</v>
          </cell>
        </row>
        <row r="146">
          <cell r="A146">
            <v>1031125</v>
          </cell>
          <cell r="B146" t="str">
            <v>01031125 - Jupiter Hospitality Services (P) Ltd.</v>
          </cell>
        </row>
        <row r="147">
          <cell r="A147">
            <v>1031126</v>
          </cell>
          <cell r="B147" t="str">
            <v>01031126 - Shivam Tour &amp; Travels</v>
          </cell>
        </row>
        <row r="148">
          <cell r="A148">
            <v>1031127</v>
          </cell>
          <cell r="B148" t="str">
            <v>01031127 - Rajni Sadana</v>
          </cell>
        </row>
        <row r="149">
          <cell r="A149">
            <v>1031128</v>
          </cell>
          <cell r="B149" t="str">
            <v>01031128 - Velocis</v>
          </cell>
        </row>
        <row r="150">
          <cell r="A150">
            <v>1031129</v>
          </cell>
          <cell r="B150" t="str">
            <v>01031129 - Advance Billings - Sales</v>
          </cell>
          <cell r="D150">
            <v>825000</v>
          </cell>
        </row>
        <row r="151">
          <cell r="A151">
            <v>1031130</v>
          </cell>
          <cell r="B151" t="str">
            <v>01031130 - Shreya Kitchen &amp; Caters Pvt. Ltd</v>
          </cell>
        </row>
        <row r="152">
          <cell r="A152">
            <v>1031131</v>
          </cell>
          <cell r="B152" t="str">
            <v>01031131- Raja Travels</v>
          </cell>
        </row>
        <row r="153">
          <cell r="A153">
            <v>1031132</v>
          </cell>
          <cell r="B153" t="str">
            <v>01031132 - Dr. Raj Lalwani</v>
          </cell>
        </row>
        <row r="154">
          <cell r="A154">
            <v>1031133</v>
          </cell>
          <cell r="B154" t="str">
            <v>01031133 - DSA Partners Advocate &amp; Solicitors</v>
          </cell>
        </row>
        <row r="155">
          <cell r="A155">
            <v>1031134</v>
          </cell>
          <cell r="B155" t="str">
            <v>01031134-Orix Auto Infrastructure Services Ltd</v>
          </cell>
        </row>
        <row r="156">
          <cell r="A156">
            <v>1031135</v>
          </cell>
          <cell r="B156" t="str">
            <v>01031135 -  Sudatta Gupta</v>
          </cell>
        </row>
        <row r="157">
          <cell r="A157">
            <v>1031136</v>
          </cell>
          <cell r="B157" t="str">
            <v>01031136 - Sridhar Appasamy</v>
          </cell>
        </row>
        <row r="158">
          <cell r="A158">
            <v>1031137</v>
          </cell>
          <cell r="B158" t="str">
            <v>01031137 - GODREJ &amp; BAYCE CO. LTD.</v>
          </cell>
        </row>
        <row r="159">
          <cell r="A159">
            <v>1031138</v>
          </cell>
          <cell r="B159" t="str">
            <v>01031138- LIBRA Corporate Solution</v>
          </cell>
        </row>
        <row r="160">
          <cell r="A160">
            <v>1031139</v>
          </cell>
          <cell r="B160" t="str">
            <v>01031139-Multiserv India Pvt. Ltd.</v>
          </cell>
        </row>
        <row r="161">
          <cell r="A161">
            <v>1031140</v>
          </cell>
          <cell r="B161" t="str">
            <v>01031140-ICICI Lombard General Insurance Comp. Ltd.</v>
          </cell>
        </row>
        <row r="162">
          <cell r="A162">
            <v>1031141</v>
          </cell>
          <cell r="B162" t="str">
            <v>01031141 - Quick Advertisment</v>
          </cell>
        </row>
        <row r="163">
          <cell r="A163">
            <v>1031142</v>
          </cell>
          <cell r="B163" t="str">
            <v>01031142 - Fresh &amp; Honest Cafe Ltd.</v>
          </cell>
        </row>
        <row r="164">
          <cell r="A164">
            <v>1031143</v>
          </cell>
          <cell r="B164" t="str">
            <v>01031143 - Mangal Yatra Travel Pvt.Ltd.</v>
          </cell>
        </row>
        <row r="165">
          <cell r="A165">
            <v>1031901</v>
          </cell>
          <cell r="B165" t="str">
            <v>01031901 - SmartAnalyst Inc.</v>
          </cell>
          <cell r="C165">
            <v>26606767.68</v>
          </cell>
        </row>
        <row r="166">
          <cell r="A166">
            <v>1032201</v>
          </cell>
          <cell r="B166" t="str">
            <v>01032201 - Salary Payable</v>
          </cell>
          <cell r="D166">
            <v>288007</v>
          </cell>
        </row>
        <row r="167">
          <cell r="A167">
            <v>1032202</v>
          </cell>
          <cell r="B167" t="str">
            <v>01032202 - PF Payable</v>
          </cell>
        </row>
        <row r="168">
          <cell r="A168">
            <v>1032203</v>
          </cell>
          <cell r="B168" t="str">
            <v>01032203 - Fuel Reimb. Payable</v>
          </cell>
        </row>
        <row r="169">
          <cell r="A169">
            <v>1032204</v>
          </cell>
          <cell r="B169" t="str">
            <v>01032204 - Tel. Reimb. Payable</v>
          </cell>
        </row>
        <row r="170">
          <cell r="A170">
            <v>1032205</v>
          </cell>
          <cell r="B170" t="str">
            <v>01032205 - Gratuity Payable</v>
          </cell>
          <cell r="D170">
            <v>2640708</v>
          </cell>
        </row>
        <row r="171">
          <cell r="A171">
            <v>1032206</v>
          </cell>
          <cell r="B171" t="str">
            <v>01032206 - Liability For Rec'ry Agnst Expenses</v>
          </cell>
        </row>
        <row r="172">
          <cell r="A172">
            <v>1032207</v>
          </cell>
          <cell r="B172" t="str">
            <v>01032207 - Stale Cheques</v>
          </cell>
          <cell r="D172">
            <v>118236.58</v>
          </cell>
        </row>
        <row r="173">
          <cell r="A173">
            <v>1032208</v>
          </cell>
          <cell r="B173" t="str">
            <v>01032208 - Advance From Clients</v>
          </cell>
        </row>
        <row r="174">
          <cell r="A174">
            <v>1032301</v>
          </cell>
          <cell r="B174" t="str">
            <v>01032301 - Expenses Payable</v>
          </cell>
          <cell r="D174">
            <v>5012005.5999999996</v>
          </cell>
        </row>
        <row r="175">
          <cell r="A175">
            <v>1033101</v>
          </cell>
          <cell r="B175" t="str">
            <v>01033101 - Adv. &amp; Sec. Dep.- Smart Analyst Inc</v>
          </cell>
        </row>
        <row r="176">
          <cell r="A176">
            <v>1033102</v>
          </cell>
          <cell r="B176" t="str">
            <v>01033102 - Security Deposit (Rent) - IMIL</v>
          </cell>
        </row>
        <row r="177">
          <cell r="A177">
            <v>1033103</v>
          </cell>
          <cell r="B177" t="str">
            <v>01033103 - Security Deposit (Maint.) - IMIL</v>
          </cell>
        </row>
        <row r="178">
          <cell r="A178">
            <v>1033104</v>
          </cell>
          <cell r="B178" t="str">
            <v>01033104 - Sec. Dep.  (Rent) Vian Infrastructre Ltd</v>
          </cell>
          <cell r="D178">
            <v>0</v>
          </cell>
        </row>
        <row r="179">
          <cell r="A179">
            <v>1033105</v>
          </cell>
          <cell r="B179" t="str">
            <v>01033105-Sec. Dep.(Maint) Vian Infrastructure Ltd.</v>
          </cell>
          <cell r="D179">
            <v>0</v>
          </cell>
        </row>
        <row r="180">
          <cell r="A180">
            <v>1033106</v>
          </cell>
          <cell r="B180" t="str">
            <v>01033106-INSURANCE CLAIMS ( EMPLOYEES)</v>
          </cell>
        </row>
        <row r="181">
          <cell r="A181">
            <v>1035011</v>
          </cell>
          <cell r="B181" t="str">
            <v>01035011 - Prov. For Gratuity</v>
          </cell>
        </row>
        <row r="182">
          <cell r="A182">
            <v>1035021</v>
          </cell>
          <cell r="B182" t="str">
            <v>01035021 - Provision for LTA</v>
          </cell>
          <cell r="D182">
            <v>421806</v>
          </cell>
        </row>
        <row r="183">
          <cell r="A183">
            <v>1035022</v>
          </cell>
          <cell r="B183" t="str">
            <v>01035022 - Provision for Medical Reimb.</v>
          </cell>
          <cell r="D183">
            <v>1783</v>
          </cell>
        </row>
        <row r="184">
          <cell r="A184">
            <v>1035023</v>
          </cell>
          <cell r="B184" t="str">
            <v>01035023 - Provision for Bonus (Fixed)</v>
          </cell>
        </row>
        <row r="185">
          <cell r="A185">
            <v>1035024</v>
          </cell>
          <cell r="B185" t="str">
            <v>01035024 - Provision for Bonus (Variable)</v>
          </cell>
          <cell r="D185">
            <v>1523168</v>
          </cell>
        </row>
        <row r="186">
          <cell r="A186">
            <v>1035025</v>
          </cell>
          <cell r="B186" t="str">
            <v>01035025 - Provision for Flexi Kitty</v>
          </cell>
        </row>
        <row r="187">
          <cell r="A187">
            <v>1040101</v>
          </cell>
          <cell r="B187" t="str">
            <v>01040101 - IT Hardware</v>
          </cell>
          <cell r="C187">
            <v>95800</v>
          </cell>
        </row>
        <row r="188">
          <cell r="A188">
            <v>1040102</v>
          </cell>
          <cell r="B188" t="str">
            <v>01040102 - Comps - Hardware (PC's)</v>
          </cell>
          <cell r="C188">
            <v>8800</v>
          </cell>
        </row>
        <row r="189">
          <cell r="A189">
            <v>1040103</v>
          </cell>
          <cell r="B189" t="str">
            <v>01040103 - Comps - Hardware (Laptops)</v>
          </cell>
          <cell r="C189">
            <v>1981331</v>
          </cell>
        </row>
        <row r="190">
          <cell r="A190">
            <v>1040104</v>
          </cell>
          <cell r="B190" t="str">
            <v>01040104 - Comps - Hardware (Others)</v>
          </cell>
        </row>
        <row r="191">
          <cell r="A191">
            <v>1040105</v>
          </cell>
          <cell r="B191" t="str">
            <v>01040105 - Comps - Hardware (Servers)</v>
          </cell>
          <cell r="C191">
            <v>2974701.37</v>
          </cell>
        </row>
        <row r="192">
          <cell r="A192">
            <v>1040106</v>
          </cell>
          <cell r="B192" t="str">
            <v>01040106 -  Head Phone MIC</v>
          </cell>
        </row>
        <row r="193">
          <cell r="A193">
            <v>1040107</v>
          </cell>
          <cell r="B193" t="str">
            <v>01040107 - PDA</v>
          </cell>
        </row>
        <row r="194">
          <cell r="A194">
            <v>1040115</v>
          </cell>
          <cell r="B194" t="str">
            <v>01040115 - DVD Media</v>
          </cell>
        </row>
        <row r="195">
          <cell r="A195">
            <v>1040201</v>
          </cell>
          <cell r="B195" t="str">
            <v>01040201 - Softwares</v>
          </cell>
          <cell r="C195">
            <v>4124864.82</v>
          </cell>
        </row>
        <row r="196">
          <cell r="A196">
            <v>1040202</v>
          </cell>
          <cell r="B196" t="str">
            <v>01040202 - IT Equipments</v>
          </cell>
          <cell r="C196">
            <v>2065845.44</v>
          </cell>
        </row>
        <row r="197">
          <cell r="A197">
            <v>1040301</v>
          </cell>
          <cell r="B197" t="str">
            <v>01040301 - Furnt. &amp; Fixt. - IT</v>
          </cell>
          <cell r="C197">
            <v>26455</v>
          </cell>
        </row>
        <row r="198">
          <cell r="A198">
            <v>1040302</v>
          </cell>
          <cell r="B198" t="str">
            <v>01040302 - Furnt. &amp; Fixt - Office</v>
          </cell>
          <cell r="C198">
            <v>84675.5</v>
          </cell>
        </row>
        <row r="199">
          <cell r="A199">
            <v>1040401</v>
          </cell>
          <cell r="B199" t="str">
            <v>01040401 - Furniture &amp; Fixture - IT (Building -9)</v>
          </cell>
        </row>
        <row r="200">
          <cell r="A200">
            <v>1040402</v>
          </cell>
          <cell r="B200" t="str">
            <v>01040402 - Furniture &amp; Fixture- Office (Buil-9)</v>
          </cell>
          <cell r="C200">
            <v>25526137</v>
          </cell>
        </row>
        <row r="201">
          <cell r="A201">
            <v>1040501</v>
          </cell>
          <cell r="B201" t="str">
            <v>01040501 - Others Fixed Assets</v>
          </cell>
          <cell r="C201">
            <v>5327</v>
          </cell>
        </row>
        <row r="202">
          <cell r="A202">
            <v>1040502</v>
          </cell>
          <cell r="B202" t="str">
            <v>01040502 - Access Controller</v>
          </cell>
          <cell r="C202">
            <v>115857</v>
          </cell>
        </row>
        <row r="203">
          <cell r="A203">
            <v>1040503</v>
          </cell>
          <cell r="B203" t="str">
            <v>01040503 - EPABX System</v>
          </cell>
          <cell r="C203">
            <v>220648</v>
          </cell>
        </row>
        <row r="204">
          <cell r="A204">
            <v>1040504</v>
          </cell>
          <cell r="B204" t="str">
            <v>01040504 - Airconditioners</v>
          </cell>
          <cell r="C204">
            <v>116455.5</v>
          </cell>
        </row>
        <row r="205">
          <cell r="A205">
            <v>1040505</v>
          </cell>
          <cell r="B205" t="str">
            <v>01040505 - Water Dispenser</v>
          </cell>
        </row>
        <row r="206">
          <cell r="A206">
            <v>1040506</v>
          </cell>
          <cell r="B206" t="str">
            <v>01040506 - Other Office Equip.</v>
          </cell>
          <cell r="C206">
            <v>156368.56</v>
          </cell>
        </row>
        <row r="207">
          <cell r="A207">
            <v>1040507</v>
          </cell>
          <cell r="B207" t="str">
            <v>01040507 - Cycle</v>
          </cell>
          <cell r="C207">
            <v>1955</v>
          </cell>
        </row>
        <row r="208">
          <cell r="A208">
            <v>1040508</v>
          </cell>
          <cell r="B208" t="str">
            <v>01040508 - Office Equipments-IT</v>
          </cell>
          <cell r="C208">
            <v>688258.6</v>
          </cell>
        </row>
        <row r="209">
          <cell r="A209">
            <v>1041101</v>
          </cell>
          <cell r="B209" t="str">
            <v>01041101 - Acc. Depn. - Computers</v>
          </cell>
          <cell r="D209">
            <v>3056698.77</v>
          </cell>
        </row>
        <row r="210">
          <cell r="A210">
            <v>1041102</v>
          </cell>
          <cell r="B210" t="str">
            <v>01041102 - Acc. Depn. - Software</v>
          </cell>
          <cell r="D210">
            <v>1884212.19</v>
          </cell>
        </row>
        <row r="211">
          <cell r="A211">
            <v>1041103</v>
          </cell>
          <cell r="B211" t="str">
            <v>01041103 - Acc. Depn. - Furnt &amp; Fixt</v>
          </cell>
          <cell r="D211">
            <v>4090560.55</v>
          </cell>
        </row>
        <row r="212">
          <cell r="A212">
            <v>1041104</v>
          </cell>
          <cell r="B212" t="str">
            <v>01041104 - Acc. Depn. - Off. Eqpt.</v>
          </cell>
          <cell r="D212">
            <v>354784.03</v>
          </cell>
        </row>
        <row r="213">
          <cell r="A213">
            <v>1041105</v>
          </cell>
          <cell r="B213" t="str">
            <v>01041105 - Acc. Depn. - Electr. Eqpt.</v>
          </cell>
        </row>
        <row r="214">
          <cell r="A214">
            <v>1041106</v>
          </cell>
          <cell r="B214" t="str">
            <v>01041106 - Acc. Depn. - Cycle</v>
          </cell>
          <cell r="D214">
            <v>1955</v>
          </cell>
        </row>
        <row r="215">
          <cell r="A215">
            <v>1041107</v>
          </cell>
          <cell r="B215" t="str">
            <v>01041107 - Acc. Depn. - Tel.</v>
          </cell>
          <cell r="D215">
            <v>3000</v>
          </cell>
        </row>
        <row r="216">
          <cell r="A216">
            <v>1050101</v>
          </cell>
          <cell r="B216" t="str">
            <v>01050101 - Cash</v>
          </cell>
        </row>
        <row r="217">
          <cell r="A217">
            <v>1050102</v>
          </cell>
          <cell r="B217" t="str">
            <v>01050102 - Imprest A/c</v>
          </cell>
          <cell r="C217">
            <v>10461</v>
          </cell>
        </row>
        <row r="218">
          <cell r="A218">
            <v>1050201</v>
          </cell>
          <cell r="B218" t="str">
            <v>01050201 - Bank A/c - HDFC</v>
          </cell>
          <cell r="C218">
            <v>184976.49</v>
          </cell>
        </row>
        <row r="219">
          <cell r="A219">
            <v>1050202</v>
          </cell>
          <cell r="B219" t="str">
            <v>01050202 - Bank A/c - Deutsche</v>
          </cell>
          <cell r="C219">
            <v>2722836.42</v>
          </cell>
        </row>
        <row r="220">
          <cell r="A220">
            <v>1050203</v>
          </cell>
          <cell r="B220" t="str">
            <v>01050203 - Bank A/C - Deutsche Bank (EEFC)</v>
          </cell>
          <cell r="C220">
            <v>20991.74</v>
          </cell>
        </row>
        <row r="221">
          <cell r="A221">
            <v>1050204</v>
          </cell>
          <cell r="B221" t="str">
            <v>01050204 - Bank Account- Kotak Mahindra Bank</v>
          </cell>
        </row>
        <row r="222">
          <cell r="A222">
            <v>1050215</v>
          </cell>
          <cell r="B222" t="str">
            <v>01050215 - Funds- In- Transit</v>
          </cell>
        </row>
        <row r="223">
          <cell r="A223">
            <v>1050216</v>
          </cell>
          <cell r="B223" t="str">
            <v>01050216 - Cheques- in- Hand</v>
          </cell>
          <cell r="C223">
            <v>670074</v>
          </cell>
        </row>
        <row r="224">
          <cell r="A224">
            <v>1050301</v>
          </cell>
          <cell r="B224" t="str">
            <v>01050301 - FD's - HDFC Bank</v>
          </cell>
          <cell r="C224">
            <v>5441266.9900000002</v>
          </cell>
        </row>
        <row r="225">
          <cell r="A225">
            <v>1050302</v>
          </cell>
          <cell r="B225" t="str">
            <v>01050302 - FD's -  Corpn. Bank</v>
          </cell>
          <cell r="C225">
            <v>20331.54</v>
          </cell>
        </row>
        <row r="226">
          <cell r="A226">
            <v>1050303</v>
          </cell>
          <cell r="B226" t="str">
            <v>01050303 - FD's - Deutsche Bank</v>
          </cell>
          <cell r="C226">
            <v>495044.17</v>
          </cell>
        </row>
        <row r="227">
          <cell r="A227">
            <v>1050404</v>
          </cell>
          <cell r="B227" t="str">
            <v>01050404 - IN-TEC Systems</v>
          </cell>
        </row>
        <row r="228">
          <cell r="A228">
            <v>1050411</v>
          </cell>
          <cell r="B228" t="str">
            <v>01050411 - Sec. Dep. - Rent - Bldg - 8</v>
          </cell>
          <cell r="C228">
            <v>0</v>
          </cell>
        </row>
        <row r="229">
          <cell r="A229">
            <v>1050412</v>
          </cell>
          <cell r="B229" t="str">
            <v>01050412 - Sec. Dep. - Rent - Bldg - 9</v>
          </cell>
          <cell r="C229">
            <v>6918300</v>
          </cell>
        </row>
        <row r="230">
          <cell r="A230">
            <v>1050421</v>
          </cell>
          <cell r="B230" t="str">
            <v>01050421- Sec. Dep. - Electr. - Bldg - 8</v>
          </cell>
        </row>
        <row r="231">
          <cell r="A231">
            <v>1050422</v>
          </cell>
          <cell r="B231" t="str">
            <v>01050422 - Sec. Dep. - Electr. - Bldg - 9</v>
          </cell>
          <cell r="C231">
            <v>414000</v>
          </cell>
        </row>
        <row r="232">
          <cell r="A232">
            <v>1050431</v>
          </cell>
          <cell r="B232" t="str">
            <v>01050431 - Sec. Dep. - Furnt. &amp; Fixt. - Bldg - 8</v>
          </cell>
          <cell r="C232">
            <v>1800000</v>
          </cell>
        </row>
        <row r="233">
          <cell r="A233">
            <v>1050432</v>
          </cell>
          <cell r="B233" t="str">
            <v>01050432 - Sec. Dep. - Furnt. &amp; Fixt. - Bldg - 9</v>
          </cell>
        </row>
        <row r="234">
          <cell r="A234">
            <v>1050441</v>
          </cell>
          <cell r="B234" t="str">
            <v>01050441 - Sec. Dep.- Maint. - Bldg - 8</v>
          </cell>
        </row>
        <row r="235">
          <cell r="A235">
            <v>1050442</v>
          </cell>
          <cell r="B235" t="str">
            <v>01050442 - Sec. Dep. - Maint. - Bldg - 9</v>
          </cell>
          <cell r="C235">
            <v>1729575</v>
          </cell>
        </row>
        <row r="236">
          <cell r="A236">
            <v>1050451</v>
          </cell>
          <cell r="B236" t="str">
            <v>01050451 - Sec. Dep. (Comps)</v>
          </cell>
        </row>
        <row r="237">
          <cell r="B237" t="str">
            <v>01050461 - Sec. Dep. - Tel.</v>
          </cell>
        </row>
        <row r="238">
          <cell r="A238">
            <v>1050461</v>
          </cell>
          <cell r="B238" t="str">
            <v>01050461 - Security Deposit- Water Dispenser</v>
          </cell>
          <cell r="C238">
            <v>1500</v>
          </cell>
        </row>
        <row r="239">
          <cell r="A239">
            <v>1050462</v>
          </cell>
          <cell r="B239" t="str">
            <v>01050462 - Security Deposit- Others</v>
          </cell>
        </row>
        <row r="240">
          <cell r="A240">
            <v>1050501</v>
          </cell>
          <cell r="B240" t="str">
            <v>01050501 - Loans &amp; Adv.</v>
          </cell>
        </row>
        <row r="241">
          <cell r="A241">
            <v>1050601</v>
          </cell>
          <cell r="B241" t="str">
            <v>01050601 - VMD</v>
          </cell>
        </row>
        <row r="242">
          <cell r="A242">
            <v>1050602</v>
          </cell>
          <cell r="B242" t="str">
            <v>01050602 - GSK (Charubala)</v>
          </cell>
        </row>
        <row r="243">
          <cell r="A243">
            <v>1050603</v>
          </cell>
          <cell r="B243" t="str">
            <v>01050603 - GSK (Ruchika)</v>
          </cell>
        </row>
        <row r="244">
          <cell r="A244">
            <v>1050604</v>
          </cell>
          <cell r="B244" t="str">
            <v>01050604 - GSK</v>
          </cell>
          <cell r="C244">
            <v>289538</v>
          </cell>
        </row>
        <row r="245">
          <cell r="A245">
            <v>1050605</v>
          </cell>
          <cell r="B245" t="str">
            <v>01050605 - Collage (Latika)</v>
          </cell>
        </row>
        <row r="246">
          <cell r="A246">
            <v>1050606</v>
          </cell>
          <cell r="B246" t="str">
            <v>01050606 - Amit Seth</v>
          </cell>
        </row>
        <row r="247">
          <cell r="A247">
            <v>1050607</v>
          </cell>
          <cell r="B247" t="str">
            <v>01050607 - S. Bala</v>
          </cell>
        </row>
        <row r="248">
          <cell r="A248">
            <v>1050608</v>
          </cell>
          <cell r="B248" t="str">
            <v>01050608 - Expenses Recoverable (Tel.)</v>
          </cell>
        </row>
        <row r="249">
          <cell r="A249">
            <v>1050609</v>
          </cell>
          <cell r="B249" t="str">
            <v>01050609 - Expenses Recoverable (Travel)</v>
          </cell>
        </row>
        <row r="250">
          <cell r="A250">
            <v>1050610</v>
          </cell>
          <cell r="B250" t="str">
            <v>01050610 - Expenses Recoverable (Clients)</v>
          </cell>
        </row>
        <row r="251">
          <cell r="A251">
            <v>1050611</v>
          </cell>
          <cell r="B251" t="str">
            <v>01050611 - Expenses Recoverable (Others)</v>
          </cell>
        </row>
        <row r="252">
          <cell r="A252">
            <v>1050612</v>
          </cell>
          <cell r="B252" t="str">
            <v>01050612 - Atherstone Capital (Asia) Ltd.</v>
          </cell>
        </row>
        <row r="253">
          <cell r="A253">
            <v>1050613</v>
          </cell>
          <cell r="B253" t="str">
            <v>01050613 - Sandoz Private Limited</v>
          </cell>
        </row>
        <row r="254">
          <cell r="A254">
            <v>1050614</v>
          </cell>
          <cell r="B254" t="str">
            <v>01050614 - Friday's Property Lawers Ltd.</v>
          </cell>
          <cell r="D254">
            <v>49827.06</v>
          </cell>
        </row>
        <row r="255">
          <cell r="A255">
            <v>1050615</v>
          </cell>
          <cell r="B255" t="str">
            <v>01050615 - Zenith Optimedia</v>
          </cell>
        </row>
        <row r="256">
          <cell r="A256">
            <v>1050616</v>
          </cell>
          <cell r="B256" t="str">
            <v>01050616 - Salary Recoverable</v>
          </cell>
        </row>
        <row r="257">
          <cell r="A257">
            <v>1050617</v>
          </cell>
          <cell r="B257" t="str">
            <v>01050617 - Ezzee China International</v>
          </cell>
        </row>
        <row r="258">
          <cell r="A258">
            <v>1050618</v>
          </cell>
          <cell r="B258" t="str">
            <v>01050618 - Merryfair Chair Systems</v>
          </cell>
        </row>
        <row r="259">
          <cell r="A259">
            <v>1050619</v>
          </cell>
          <cell r="B259" t="str">
            <v>01050619 - The Economist Intelligence Unit Ltd.</v>
          </cell>
        </row>
        <row r="260">
          <cell r="A260">
            <v>1050620</v>
          </cell>
          <cell r="B260" t="str">
            <v>01050620 - Indpndt. Mob. Infr. P. Ltd. (IMIL)</v>
          </cell>
        </row>
        <row r="261">
          <cell r="A261">
            <v>1050621</v>
          </cell>
          <cell r="B261" t="str">
            <v>01050621 - Biosurgical Specialities</v>
          </cell>
        </row>
        <row r="262">
          <cell r="A262">
            <v>1050622</v>
          </cell>
          <cell r="B262" t="str">
            <v>01050622 - Expenses Recoverable -IMIL</v>
          </cell>
        </row>
        <row r="263">
          <cell r="A263">
            <v>1050623</v>
          </cell>
          <cell r="B263" t="str">
            <v>01050623 - Biogen Idec Biotech India Ltd</v>
          </cell>
        </row>
        <row r="264">
          <cell r="A264">
            <v>1050624</v>
          </cell>
          <cell r="B264" t="str">
            <v>01050624 - Intertek Testing Services (I) Pvt Ltd</v>
          </cell>
        </row>
        <row r="265">
          <cell r="A265">
            <v>1050625</v>
          </cell>
          <cell r="B265" t="str">
            <v>01050625 - Smart Analyst Inc. -Drs</v>
          </cell>
        </row>
        <row r="266">
          <cell r="A266">
            <v>1050626</v>
          </cell>
          <cell r="B266" t="str">
            <v>01050626 - Economic Research Analyst Pvt Ltd</v>
          </cell>
        </row>
        <row r="267">
          <cell r="A267">
            <v>1050627</v>
          </cell>
          <cell r="B267" t="str">
            <v>01050627 - Novartis International AG</v>
          </cell>
        </row>
        <row r="268">
          <cell r="A268">
            <v>1050628</v>
          </cell>
          <cell r="B268" t="str">
            <v>01050628 - Avitech Animal  Health Pvt Ltd</v>
          </cell>
        </row>
        <row r="269">
          <cell r="A269">
            <v>1050629</v>
          </cell>
          <cell r="B269" t="str">
            <v>01050629 - Genzyme India  PVt. Ltd.</v>
          </cell>
        </row>
        <row r="270">
          <cell r="A270">
            <v>1050630</v>
          </cell>
          <cell r="B270" t="str">
            <v>01050630 - Expense Recoverable - VIAN Inf. Ltd</v>
          </cell>
        </row>
        <row r="271">
          <cell r="A271">
            <v>1050631</v>
          </cell>
          <cell r="B271" t="str">
            <v>01050631 - Vian Infrastructure Ltd.</v>
          </cell>
        </row>
        <row r="272">
          <cell r="A272">
            <v>1050632</v>
          </cell>
          <cell r="B272" t="str">
            <v>01050632 - Ell  Lily &amp; Comp. India Pvt Ltd</v>
          </cell>
        </row>
        <row r="273">
          <cell r="A273">
            <v>1050633</v>
          </cell>
          <cell r="B273" t="str">
            <v>01050633- Value Edge Resarch Services Pvt. Ltd.</v>
          </cell>
        </row>
        <row r="274">
          <cell r="A274">
            <v>1050634</v>
          </cell>
          <cell r="B274" t="str">
            <v>01050634 - Glendining Management Consultants</v>
          </cell>
        </row>
        <row r="275">
          <cell r="A275">
            <v>1050635</v>
          </cell>
          <cell r="B275" t="str">
            <v>01050635 - Philips Electronics India Ltd.</v>
          </cell>
        </row>
        <row r="276">
          <cell r="A276">
            <v>1050636</v>
          </cell>
          <cell r="B276" t="str">
            <v>01050636 - Abbott India Limited</v>
          </cell>
        </row>
        <row r="277">
          <cell r="A277">
            <v>1050637</v>
          </cell>
          <cell r="B277" t="str">
            <v>01050637 - Aventis Pharma Limited</v>
          </cell>
        </row>
        <row r="278">
          <cell r="A278">
            <v>1051101</v>
          </cell>
          <cell r="B278" t="str">
            <v>01051101 - Prepaid Exp. -  Ins.</v>
          </cell>
          <cell r="C278">
            <v>597477</v>
          </cell>
        </row>
        <row r="279">
          <cell r="A279">
            <v>1051102</v>
          </cell>
          <cell r="B279" t="str">
            <v>01051102 - Prepaid  Exp. -- Internet</v>
          </cell>
        </row>
        <row r="280">
          <cell r="A280">
            <v>1051103</v>
          </cell>
          <cell r="B280" t="str">
            <v>01051103 -  Prepaid Exp. -  Photocopier</v>
          </cell>
        </row>
        <row r="281">
          <cell r="A281">
            <v>1051104</v>
          </cell>
          <cell r="B281" t="str">
            <v>01051104 - Prepaid Exp. - Rep &amp; Maint.</v>
          </cell>
          <cell r="C281">
            <v>6554</v>
          </cell>
        </row>
        <row r="282">
          <cell r="A282">
            <v>1051105</v>
          </cell>
          <cell r="B282" t="str">
            <v>01051105 - Prepaid Expenses (Others)</v>
          </cell>
          <cell r="C282">
            <v>17691</v>
          </cell>
        </row>
        <row r="283">
          <cell r="A283">
            <v>1051201</v>
          </cell>
          <cell r="B283" t="str">
            <v>01051201 - Adv. for Comps.</v>
          </cell>
        </row>
        <row r="284">
          <cell r="A284">
            <v>1051202</v>
          </cell>
          <cell r="B284" t="str">
            <v>01051202 - Adv. for Software</v>
          </cell>
        </row>
        <row r="285">
          <cell r="A285">
            <v>1051203</v>
          </cell>
          <cell r="B285" t="str">
            <v>01051203 - Adv. for Tel. Equipment</v>
          </cell>
        </row>
        <row r="286">
          <cell r="A286">
            <v>1051301</v>
          </cell>
          <cell r="B286" t="str">
            <v>01051301 - Supplier Advance</v>
          </cell>
          <cell r="C286">
            <v>85163</v>
          </cell>
        </row>
        <row r="287">
          <cell r="A287">
            <v>1051401</v>
          </cell>
          <cell r="B287" t="str">
            <v>01051401 - Advance Salary</v>
          </cell>
        </row>
        <row r="288">
          <cell r="A288">
            <v>1051402</v>
          </cell>
          <cell r="B288" t="str">
            <v>01051402 - Advance - LTA</v>
          </cell>
        </row>
        <row r="289">
          <cell r="A289">
            <v>1051501</v>
          </cell>
          <cell r="B289" t="str">
            <v>01051501 - Travel Advance</v>
          </cell>
        </row>
        <row r="290">
          <cell r="A290">
            <v>1051601</v>
          </cell>
          <cell r="B290" t="str">
            <v>01051601 - Serv. Tax Rcvrble</v>
          </cell>
          <cell r="C290">
            <v>1374971.6</v>
          </cell>
        </row>
        <row r="291">
          <cell r="A291">
            <v>1051602</v>
          </cell>
          <cell r="B291" t="str">
            <v>01051602 - TDS Rcvrble '05-06</v>
          </cell>
          <cell r="C291">
            <v>20419</v>
          </cell>
        </row>
        <row r="292">
          <cell r="A292">
            <v>1051603</v>
          </cell>
          <cell r="B292" t="str">
            <v>01051603 - TDS Rcvrble '06-07</v>
          </cell>
          <cell r="C292">
            <v>2678.52</v>
          </cell>
        </row>
        <row r="293">
          <cell r="A293">
            <v>1051604</v>
          </cell>
          <cell r="B293" t="str">
            <v>01051604 - TDS Rcvrble '07-08</v>
          </cell>
          <cell r="C293">
            <v>378799.54</v>
          </cell>
        </row>
        <row r="294">
          <cell r="A294">
            <v>1051605</v>
          </cell>
          <cell r="B294" t="str">
            <v>01051605 - Advance Income Tax 2007-08</v>
          </cell>
        </row>
        <row r="295">
          <cell r="A295">
            <v>1051606</v>
          </cell>
          <cell r="B295" t="str">
            <v>01051606 - Advance FBT 2007-08</v>
          </cell>
        </row>
        <row r="296">
          <cell r="A296">
            <v>1051607</v>
          </cell>
          <cell r="B296" t="str">
            <v>01051607 - Advance Income Tax 2008-09</v>
          </cell>
        </row>
        <row r="297">
          <cell r="A297">
            <v>1051608</v>
          </cell>
          <cell r="B297" t="str">
            <v>01051608 - Advance Fringe Benefit 2008-09</v>
          </cell>
        </row>
        <row r="298">
          <cell r="A298">
            <v>1051609</v>
          </cell>
          <cell r="B298" t="str">
            <v>01051609 - Adavance FBT- 2009-10</v>
          </cell>
        </row>
        <row r="299">
          <cell r="A299">
            <v>1051610</v>
          </cell>
          <cell r="B299" t="str">
            <v>01051610- TDS Recoverable 2009-10</v>
          </cell>
          <cell r="C299">
            <v>1196886.6200000001</v>
          </cell>
        </row>
        <row r="300">
          <cell r="A300">
            <v>1051611</v>
          </cell>
          <cell r="B300" t="str">
            <v>01051611 - TDS Rcvrble '08-09</v>
          </cell>
          <cell r="C300">
            <v>1515878.94</v>
          </cell>
        </row>
        <row r="301">
          <cell r="A301">
            <v>1051612</v>
          </cell>
          <cell r="B301" t="str">
            <v>01051612 - Service Tax Refund</v>
          </cell>
          <cell r="C301">
            <v>3162175</v>
          </cell>
        </row>
        <row r="302">
          <cell r="A302">
            <v>1051620</v>
          </cell>
          <cell r="B302" t="str">
            <v>01051620 - VAT Paid Recoverable</v>
          </cell>
        </row>
        <row r="303">
          <cell r="A303">
            <v>1051630</v>
          </cell>
          <cell r="B303" t="str">
            <v>01051630 - MAT Credit Entitlement</v>
          </cell>
        </row>
        <row r="304">
          <cell r="A304">
            <v>1051631</v>
          </cell>
          <cell r="B304" t="str">
            <v>01051631 - ADVANCE TAX 2009-10</v>
          </cell>
          <cell r="C304">
            <v>1116287</v>
          </cell>
        </row>
        <row r="305">
          <cell r="A305">
            <v>1051632</v>
          </cell>
          <cell r="B305" t="str">
            <v>01051632 - TDS Recoverable-2010-11</v>
          </cell>
        </row>
        <row r="306">
          <cell r="A306">
            <v>1051633</v>
          </cell>
          <cell r="B306" t="str">
            <v>01051633 - Advance Income Tax-2010-11</v>
          </cell>
        </row>
        <row r="307">
          <cell r="A307">
            <v>1051801</v>
          </cell>
          <cell r="B307" t="str">
            <v>01051801 - Interest Receivable</v>
          </cell>
          <cell r="C307">
            <v>176148.21</v>
          </cell>
        </row>
        <row r="308">
          <cell r="A308">
            <v>1051851</v>
          </cell>
          <cell r="B308" t="str">
            <v>01051851 - Interest Accrued</v>
          </cell>
          <cell r="C308">
            <v>22467</v>
          </cell>
        </row>
        <row r="309">
          <cell r="A309">
            <v>1053100</v>
          </cell>
          <cell r="B309" t="str">
            <v>01053100 - WIP (Project Income Accruals)</v>
          </cell>
          <cell r="C309">
            <v>10939021</v>
          </cell>
        </row>
        <row r="310">
          <cell r="A310">
            <v>1060101</v>
          </cell>
          <cell r="B310" t="str">
            <v>01060101 - Sales (US)</v>
          </cell>
          <cell r="D310">
            <v>134853536</v>
          </cell>
        </row>
        <row r="311">
          <cell r="A311">
            <v>1060102</v>
          </cell>
          <cell r="B311" t="str">
            <v>01060102 - Sales (Dom.)</v>
          </cell>
          <cell r="D311">
            <v>3329155</v>
          </cell>
        </row>
        <row r="312">
          <cell r="A312">
            <v>1060103</v>
          </cell>
          <cell r="B312" t="str">
            <v>01060103 - Sales (U.K.)</v>
          </cell>
          <cell r="D312">
            <v>2122130</v>
          </cell>
        </row>
        <row r="313">
          <cell r="A313">
            <v>1060104</v>
          </cell>
          <cell r="B313" t="str">
            <v>01060104 - Sales (Asia)</v>
          </cell>
          <cell r="D313">
            <v>334110</v>
          </cell>
        </row>
        <row r="314">
          <cell r="A314">
            <v>1060105</v>
          </cell>
          <cell r="B314" t="str">
            <v>01060105 - Sales (Europe)</v>
          </cell>
        </row>
        <row r="315">
          <cell r="A315">
            <v>1060201</v>
          </cell>
          <cell r="B315" t="str">
            <v>01060201 - Interest on FD</v>
          </cell>
          <cell r="D315">
            <v>305606.02</v>
          </cell>
        </row>
        <row r="316">
          <cell r="A316">
            <v>1060311</v>
          </cell>
          <cell r="B316" t="str">
            <v>01060311 - Rental Income (Subletting) - Bldg. 8</v>
          </cell>
          <cell r="D316">
            <v>3641050</v>
          </cell>
        </row>
        <row r="317">
          <cell r="A317">
            <v>1060401</v>
          </cell>
          <cell r="B317" t="str">
            <v>01060401 - WIP (Project Income)</v>
          </cell>
          <cell r="D317">
            <v>3149690</v>
          </cell>
        </row>
        <row r="318">
          <cell r="A318">
            <v>1063000</v>
          </cell>
          <cell r="B318" t="str">
            <v>01063000 -  Misc. Income</v>
          </cell>
          <cell r="D318">
            <v>60693</v>
          </cell>
        </row>
        <row r="319">
          <cell r="A319">
            <v>1063001</v>
          </cell>
          <cell r="B319" t="str">
            <v>01063001- Recovery Agnst Expenses</v>
          </cell>
        </row>
        <row r="320">
          <cell r="A320">
            <v>1064000</v>
          </cell>
          <cell r="B320" t="str">
            <v>01064000 -  Foreign Exch. Gain /Loss</v>
          </cell>
          <cell r="D320">
            <v>60046.7</v>
          </cell>
        </row>
        <row r="321">
          <cell r="A321">
            <v>1070102</v>
          </cell>
          <cell r="B321" t="str">
            <v>01070102 - Basic Salary</v>
          </cell>
          <cell r="C321">
            <v>37900028</v>
          </cell>
        </row>
        <row r="322">
          <cell r="A322">
            <v>1070103</v>
          </cell>
          <cell r="B322" t="str">
            <v>01070103 - HRA</v>
          </cell>
          <cell r="C322">
            <v>18948990</v>
          </cell>
        </row>
        <row r="323">
          <cell r="A323">
            <v>1070104</v>
          </cell>
          <cell r="B323" t="str">
            <v>01070104 - Conveyance All.</v>
          </cell>
          <cell r="C323">
            <v>914668</v>
          </cell>
        </row>
        <row r="324">
          <cell r="A324">
            <v>1070106</v>
          </cell>
          <cell r="B324" t="str">
            <v>01070106 - LTA</v>
          </cell>
          <cell r="C324">
            <v>2688308</v>
          </cell>
        </row>
        <row r="325">
          <cell r="A325">
            <v>1070107</v>
          </cell>
          <cell r="B325" t="str">
            <v>01070107 - Medical</v>
          </cell>
          <cell r="C325">
            <v>1586383</v>
          </cell>
        </row>
        <row r="326">
          <cell r="A326">
            <v>1070108</v>
          </cell>
          <cell r="B326" t="str">
            <v>01070108 - Incentive</v>
          </cell>
        </row>
        <row r="327">
          <cell r="A327">
            <v>1070109</v>
          </cell>
          <cell r="B327" t="str">
            <v>01070109 - Special All.</v>
          </cell>
          <cell r="C327">
            <v>11891877</v>
          </cell>
        </row>
        <row r="328">
          <cell r="A328">
            <v>1070110</v>
          </cell>
          <cell r="B328" t="str">
            <v>01070110 - Compensatory Pymnt</v>
          </cell>
        </row>
        <row r="329">
          <cell r="A329">
            <v>1070111</v>
          </cell>
          <cell r="B329" t="str">
            <v>01070111 - Employer Contr. to PF</v>
          </cell>
          <cell r="C329">
            <v>3995498</v>
          </cell>
        </row>
        <row r="330">
          <cell r="A330">
            <v>1070112</v>
          </cell>
          <cell r="B330" t="str">
            <v>01070112 - PF Admin. Charges</v>
          </cell>
          <cell r="C330">
            <v>515593</v>
          </cell>
        </row>
        <row r="331">
          <cell r="A331">
            <v>1070113</v>
          </cell>
          <cell r="B331" t="str">
            <v>01070113 - Sodexho Meal Vouchers</v>
          </cell>
          <cell r="C331">
            <v>1855505</v>
          </cell>
        </row>
        <row r="332">
          <cell r="A332">
            <v>1070114</v>
          </cell>
          <cell r="B332" t="str">
            <v>01070114 - Notice Period Rcvry/Pymnt</v>
          </cell>
          <cell r="D332">
            <v>1167594</v>
          </cell>
        </row>
        <row r="333">
          <cell r="A333">
            <v>1070115</v>
          </cell>
          <cell r="B333" t="str">
            <v>01070115 - Fuel Bills Reimb.</v>
          </cell>
          <cell r="C333">
            <v>1370277</v>
          </cell>
        </row>
        <row r="334">
          <cell r="A334">
            <v>1070116</v>
          </cell>
          <cell r="B334" t="str">
            <v>01070116 - Telephone Bills Reimb.</v>
          </cell>
          <cell r="D334">
            <v>13070</v>
          </cell>
        </row>
        <row r="335">
          <cell r="A335">
            <v>1070117</v>
          </cell>
          <cell r="B335" t="str">
            <v>01070117 - Haryana Labour Welfare Fund-Emplee's</v>
          </cell>
        </row>
        <row r="336">
          <cell r="A336">
            <v>1070118</v>
          </cell>
          <cell r="B336" t="str">
            <v>01070118 - Haryana Labour Wel.F-Empl's</v>
          </cell>
          <cell r="C336">
            <v>13620</v>
          </cell>
        </row>
        <row r="337">
          <cell r="A337">
            <v>1070119</v>
          </cell>
          <cell r="B337" t="str">
            <v>01070119 - Flexi Kitty</v>
          </cell>
          <cell r="C337">
            <v>382309</v>
          </cell>
        </row>
        <row r="338">
          <cell r="A338">
            <v>1070119</v>
          </cell>
          <cell r="B338" t="str">
            <v>01070119 - Salary Recov. Writt.Off</v>
          </cell>
        </row>
        <row r="339">
          <cell r="A339">
            <v>1070121</v>
          </cell>
          <cell r="B339" t="str">
            <v>01070121 - Bonus (Fixed)</v>
          </cell>
          <cell r="C339">
            <v>615022</v>
          </cell>
        </row>
        <row r="340">
          <cell r="A340">
            <v>1070122</v>
          </cell>
          <cell r="B340" t="str">
            <v>01070122 - Bonus (Variable / Perf.)</v>
          </cell>
          <cell r="C340">
            <v>1495723</v>
          </cell>
        </row>
        <row r="341">
          <cell r="A341">
            <v>1070131</v>
          </cell>
          <cell r="B341" t="str">
            <v>01070131 - Stipend (Interns)</v>
          </cell>
          <cell r="C341">
            <v>68890</v>
          </cell>
        </row>
        <row r="342">
          <cell r="A342">
            <v>1070132</v>
          </cell>
          <cell r="B342" t="str">
            <v>01070132 - Stipend (Trainees)</v>
          </cell>
        </row>
        <row r="343">
          <cell r="A343">
            <v>1070191</v>
          </cell>
          <cell r="B343" t="str">
            <v>01070191 - Gratuity</v>
          </cell>
          <cell r="C343">
            <v>982812</v>
          </cell>
        </row>
        <row r="344">
          <cell r="A344">
            <v>1070601</v>
          </cell>
          <cell r="B344" t="str">
            <v>01070601 - Common Serv. Exp. - Fixed</v>
          </cell>
        </row>
        <row r="345">
          <cell r="A345">
            <v>1070602</v>
          </cell>
          <cell r="B345" t="str">
            <v>01070602 - Common Services Exp - Variable</v>
          </cell>
        </row>
        <row r="346">
          <cell r="A346">
            <v>1070603</v>
          </cell>
          <cell r="B346" t="str">
            <v>01070603 - Common Services Recvd. - Fixed</v>
          </cell>
        </row>
        <row r="347">
          <cell r="A347">
            <v>1070604</v>
          </cell>
          <cell r="B347" t="str">
            <v>01070604 - Common Services Recvd. - Variable</v>
          </cell>
        </row>
        <row r="348">
          <cell r="A348">
            <v>1070605</v>
          </cell>
          <cell r="B348" t="str">
            <v>01070605 - Common Services- Electricity</v>
          </cell>
        </row>
        <row r="349">
          <cell r="A349">
            <v>1070606</v>
          </cell>
          <cell r="B349" t="str">
            <v>01070606 - Common Services- Rent</v>
          </cell>
        </row>
        <row r="350">
          <cell r="A350">
            <v>1070711</v>
          </cell>
          <cell r="B350" t="str">
            <v>01070711 - Hiring Chrgs. - Comps. (Brand) - Bldg. 8</v>
          </cell>
        </row>
        <row r="351">
          <cell r="A351">
            <v>1070712</v>
          </cell>
          <cell r="B351" t="str">
            <v>01070712 - Hiring Chrgs. - Comps. (Local) - Bldg. 8</v>
          </cell>
        </row>
        <row r="352">
          <cell r="A352">
            <v>1070713</v>
          </cell>
          <cell r="B352" t="str">
            <v>01070713 - Softwr. Maint.  Chrgs. (Comps.) - Bldg.8</v>
          </cell>
        </row>
        <row r="353">
          <cell r="A353">
            <v>1070714</v>
          </cell>
          <cell r="B353" t="str">
            <v>01070714 - Lease Chrgs. of Software - Bldg. 8</v>
          </cell>
        </row>
        <row r="354">
          <cell r="A354">
            <v>1070715</v>
          </cell>
          <cell r="B354" t="str">
            <v>01070715 - IT Maint. Chrgs. - Bldg. 8</v>
          </cell>
        </row>
        <row r="355">
          <cell r="A355">
            <v>1070716</v>
          </cell>
          <cell r="B355" t="str">
            <v>01070716 - Hiring Chrgs. - Comps. (Others) - Bldg.8</v>
          </cell>
        </row>
        <row r="356">
          <cell r="A356">
            <v>1070731</v>
          </cell>
          <cell r="B356" t="str">
            <v>01070731 - Hiring Chrgs - Comps. (Brand) - Bldg. 9</v>
          </cell>
          <cell r="C356">
            <v>2776392</v>
          </cell>
        </row>
        <row r="357">
          <cell r="A357">
            <v>1070732</v>
          </cell>
          <cell r="B357" t="str">
            <v>01070732 - Hiring Chrgs. - Comps. (Local) - Bldg. 9</v>
          </cell>
        </row>
        <row r="358">
          <cell r="A358">
            <v>1070736</v>
          </cell>
          <cell r="B358" t="str">
            <v>01070736 - Hiring Chrgs. - Comps. (Others) - Bldg.9</v>
          </cell>
          <cell r="C358">
            <v>212954</v>
          </cell>
        </row>
        <row r="359">
          <cell r="A359">
            <v>1070802</v>
          </cell>
          <cell r="B359" t="str">
            <v>01070802 - Internet Expenses (Bldg. 8)</v>
          </cell>
        </row>
        <row r="360">
          <cell r="A360">
            <v>1070803</v>
          </cell>
          <cell r="B360" t="str">
            <v>01070803 - Internet Expenses (Bldg. 9)</v>
          </cell>
          <cell r="C360">
            <v>434232</v>
          </cell>
        </row>
        <row r="361">
          <cell r="A361">
            <v>1070901</v>
          </cell>
          <cell r="B361" t="str">
            <v>01070901 - Hiring Chrgs - (Projector - Trng.)</v>
          </cell>
        </row>
        <row r="362">
          <cell r="A362">
            <v>1070902</v>
          </cell>
          <cell r="B362" t="str">
            <v>01070902 - Hiring Chrgs - (Projector - Meeting)</v>
          </cell>
        </row>
        <row r="363">
          <cell r="A363">
            <v>1071101</v>
          </cell>
          <cell r="B363" t="str">
            <v>01071101 - Prof. Chrgs. - Payroll</v>
          </cell>
          <cell r="C363">
            <v>260400</v>
          </cell>
        </row>
        <row r="364">
          <cell r="A364">
            <v>1071102</v>
          </cell>
          <cell r="B364" t="str">
            <v>01071102 - Prof. Chrgs. - Training</v>
          </cell>
          <cell r="C364">
            <v>40000</v>
          </cell>
        </row>
        <row r="365">
          <cell r="A365">
            <v>1071103</v>
          </cell>
          <cell r="B365" t="str">
            <v>01071103 - Prof. Chrgs. - Consultancy</v>
          </cell>
          <cell r="C365">
            <v>356953</v>
          </cell>
        </row>
        <row r="366">
          <cell r="A366">
            <v>1071104</v>
          </cell>
          <cell r="B366" t="str">
            <v>01071104 - Prof. Chrgs - Conslt (Translation)</v>
          </cell>
          <cell r="C366">
            <v>264078</v>
          </cell>
        </row>
        <row r="367">
          <cell r="A367">
            <v>1071105</v>
          </cell>
          <cell r="B367" t="str">
            <v>01071105 - Prof. Chrgs Conslt (Analyst)</v>
          </cell>
          <cell r="C367">
            <v>4768932</v>
          </cell>
        </row>
        <row r="368">
          <cell r="A368">
            <v>1071106</v>
          </cell>
          <cell r="B368" t="str">
            <v>01071106 - Prof. Chrgs Conslt (HR)</v>
          </cell>
          <cell r="C368">
            <v>25000</v>
          </cell>
        </row>
        <row r="369">
          <cell r="A369">
            <v>1071107</v>
          </cell>
          <cell r="B369" t="str">
            <v>01071107 - Prof. &amp; Serv. Chgs (IT &amp; Comps.)</v>
          </cell>
          <cell r="C369">
            <v>25000</v>
          </cell>
        </row>
        <row r="370">
          <cell r="A370">
            <v>1071108</v>
          </cell>
          <cell r="B370" t="str">
            <v>01071108 - Professional Charges (Misc. / Others)</v>
          </cell>
          <cell r="C370">
            <v>2458030</v>
          </cell>
        </row>
        <row r="371">
          <cell r="A371">
            <v>1071150</v>
          </cell>
          <cell r="B371" t="str">
            <v>01071150 - Prof. Chrgs. - Recruitment</v>
          </cell>
          <cell r="C371">
            <v>883970</v>
          </cell>
        </row>
        <row r="372">
          <cell r="A372">
            <v>1071202</v>
          </cell>
          <cell r="B372" t="str">
            <v>01071202 - STPI Fees &amp; Charges</v>
          </cell>
          <cell r="C372">
            <v>200000</v>
          </cell>
        </row>
        <row r="373">
          <cell r="A373">
            <v>1071203</v>
          </cell>
          <cell r="B373" t="str">
            <v>01071203 - AAI</v>
          </cell>
        </row>
        <row r="374">
          <cell r="A374">
            <v>1071204</v>
          </cell>
          <cell r="B374" t="str">
            <v>01071204 - Service Tax</v>
          </cell>
        </row>
        <row r="375">
          <cell r="A375">
            <v>1071205</v>
          </cell>
          <cell r="B375" t="str">
            <v>01071205 - ROC</v>
          </cell>
        </row>
        <row r="376">
          <cell r="A376">
            <v>1071206</v>
          </cell>
          <cell r="B376" t="str">
            <v>01071206 - Rates, Fees, Taxes &amp; Commn.</v>
          </cell>
          <cell r="C376">
            <v>136436.03</v>
          </cell>
        </row>
        <row r="377">
          <cell r="A377">
            <v>1071207</v>
          </cell>
          <cell r="B377" t="str">
            <v>01071207 - Fee &amp; Annual Chrgs</v>
          </cell>
        </row>
        <row r="378">
          <cell r="A378">
            <v>1071208</v>
          </cell>
          <cell r="B378" t="str">
            <v>01071208 - Stamp Duty &amp; Legal Expn.</v>
          </cell>
        </row>
        <row r="379">
          <cell r="A379">
            <v>1071209</v>
          </cell>
          <cell r="B379" t="str">
            <v>01071209 - Statutory &amp; Legal Fees</v>
          </cell>
        </row>
        <row r="380">
          <cell r="A380">
            <v>1071311</v>
          </cell>
          <cell r="B380" t="str">
            <v>01071311 - Office Rent - 204 GBP</v>
          </cell>
        </row>
        <row r="381">
          <cell r="A381">
            <v>1071313</v>
          </cell>
          <cell r="B381" t="str">
            <v>01071313 - Office Rent - Bldg. 8</v>
          </cell>
          <cell r="C381">
            <v>5024651</v>
          </cell>
        </row>
        <row r="382">
          <cell r="A382">
            <v>1071314</v>
          </cell>
          <cell r="B382" t="str">
            <v>01071314 - Office Rent - Bldg. 9</v>
          </cell>
          <cell r="C382">
            <v>13836600</v>
          </cell>
        </row>
        <row r="383">
          <cell r="A383">
            <v>1071321</v>
          </cell>
          <cell r="B383" t="str">
            <v>01071321 - Office Maint. - 204 GBP</v>
          </cell>
        </row>
        <row r="384">
          <cell r="A384">
            <v>1071322</v>
          </cell>
          <cell r="B384" t="str">
            <v>01071322 - Office Maint.- 304/305/306 GBP</v>
          </cell>
        </row>
        <row r="385">
          <cell r="A385">
            <v>1071323</v>
          </cell>
          <cell r="B385" t="str">
            <v>01071323 - Office Maint. - Bldg. 8</v>
          </cell>
          <cell r="C385">
            <v>546635</v>
          </cell>
        </row>
        <row r="386">
          <cell r="A386">
            <v>1071324</v>
          </cell>
          <cell r="B386" t="str">
            <v>01071324 - Office Maint. - Bldg. 9</v>
          </cell>
          <cell r="C386">
            <v>5273449.5</v>
          </cell>
        </row>
        <row r="387">
          <cell r="A387">
            <v>1071331</v>
          </cell>
          <cell r="B387" t="str">
            <v>01071331 - Electr. &amp; Power Expn. - 204 GBP</v>
          </cell>
        </row>
        <row r="388">
          <cell r="A388">
            <v>1071333</v>
          </cell>
          <cell r="B388" t="str">
            <v>01071333 - Electr. &amp; Power Expn. - Bldg. 8</v>
          </cell>
          <cell r="C388">
            <v>3270</v>
          </cell>
        </row>
        <row r="389">
          <cell r="A389">
            <v>1071334</v>
          </cell>
          <cell r="B389" t="str">
            <v>01071334 - Electr. &amp; Power Expn. - Bldg. 9</v>
          </cell>
          <cell r="C389">
            <v>1009486.4</v>
          </cell>
        </row>
        <row r="390">
          <cell r="A390">
            <v>1071411</v>
          </cell>
          <cell r="B390" t="str">
            <v>01071411 - Tel. Expenses - VOIP</v>
          </cell>
          <cell r="C390">
            <v>12318</v>
          </cell>
        </row>
        <row r="391">
          <cell r="A391">
            <v>1071412</v>
          </cell>
          <cell r="B391" t="str">
            <v>01071412 - Tel. Expenses - Local (Others)</v>
          </cell>
          <cell r="C391">
            <v>715518.62</v>
          </cell>
        </row>
        <row r="392">
          <cell r="A392">
            <v>1071413</v>
          </cell>
          <cell r="B392" t="str">
            <v>01071413 - Tel. Expenses - Leased Lines</v>
          </cell>
          <cell r="C392">
            <v>5205</v>
          </cell>
        </row>
        <row r="393">
          <cell r="A393">
            <v>1071414</v>
          </cell>
          <cell r="B393" t="str">
            <v>01071414 - Tel. Expenses - Mgr's, TL's, AD's</v>
          </cell>
          <cell r="C393">
            <v>323495.5</v>
          </cell>
        </row>
        <row r="394">
          <cell r="A394">
            <v>1071501</v>
          </cell>
          <cell r="B394" t="str">
            <v>01071501 - Staff Welfare</v>
          </cell>
          <cell r="C394">
            <v>424118</v>
          </cell>
        </row>
        <row r="395">
          <cell r="A395">
            <v>1071502</v>
          </cell>
          <cell r="B395" t="str">
            <v>01071502 - Staff Welfare - Off. Supplies</v>
          </cell>
          <cell r="C395">
            <v>249243</v>
          </cell>
        </row>
        <row r="396">
          <cell r="A396">
            <v>1071504</v>
          </cell>
          <cell r="B396" t="str">
            <v>01071504 - Staff Welfare - Toileteries</v>
          </cell>
          <cell r="C396">
            <v>378409</v>
          </cell>
        </row>
        <row r="397">
          <cell r="A397">
            <v>1071601</v>
          </cell>
          <cell r="B397" t="str">
            <v>01071601 - Travelling Expenses</v>
          </cell>
          <cell r="C397">
            <v>85269</v>
          </cell>
        </row>
        <row r="398">
          <cell r="A398">
            <v>1071602</v>
          </cell>
          <cell r="B398" t="str">
            <v>01071602 - Boarding &amp; Lodging Expn.</v>
          </cell>
        </row>
        <row r="399">
          <cell r="A399">
            <v>1071711</v>
          </cell>
          <cell r="B399" t="str">
            <v>01071711 - Ins. Expn. - Premises - Bldg. 8</v>
          </cell>
        </row>
        <row r="400">
          <cell r="A400">
            <v>1071712</v>
          </cell>
          <cell r="B400" t="str">
            <v>01071712 - Ins. Expn. - Fixtures</v>
          </cell>
        </row>
        <row r="401">
          <cell r="A401">
            <v>1071713</v>
          </cell>
          <cell r="B401" t="str">
            <v>01071713 - Ins. Expn. - Equipments</v>
          </cell>
          <cell r="C401">
            <v>2547</v>
          </cell>
        </row>
        <row r="402">
          <cell r="A402">
            <v>1071715</v>
          </cell>
          <cell r="B402" t="str">
            <v>01071715 - Ins. Expn. Premises - Bldg.  9</v>
          </cell>
          <cell r="C402">
            <v>79118</v>
          </cell>
        </row>
        <row r="403">
          <cell r="A403">
            <v>1071731</v>
          </cell>
          <cell r="B403" t="str">
            <v>01071731 - Ins. Expn. - Prsnl. Accident</v>
          </cell>
          <cell r="C403">
            <v>52136</v>
          </cell>
        </row>
        <row r="404">
          <cell r="A404">
            <v>1071732</v>
          </cell>
          <cell r="B404" t="str">
            <v>01071732 - Ins. Expn. - Mediclaim</v>
          </cell>
          <cell r="C404">
            <v>591944</v>
          </cell>
        </row>
        <row r="405">
          <cell r="A405">
            <v>1071901</v>
          </cell>
          <cell r="B405" t="str">
            <v>01071901 - Convy. Expn. - Staff</v>
          </cell>
          <cell r="C405">
            <v>1315049</v>
          </cell>
        </row>
        <row r="406">
          <cell r="A406">
            <v>1071902</v>
          </cell>
          <cell r="B406" t="str">
            <v>01071902 - Convy. Expn. - Buss. &amp; Client</v>
          </cell>
          <cell r="C406">
            <v>14087</v>
          </cell>
        </row>
        <row r="407">
          <cell r="A407">
            <v>1071903</v>
          </cell>
          <cell r="B407" t="str">
            <v>01071903 - Convy. Expn. - Training</v>
          </cell>
        </row>
        <row r="408">
          <cell r="A408">
            <v>1071904</v>
          </cell>
          <cell r="B408" t="str">
            <v>01071904 - Convy. Expn. (Outstation Travel)</v>
          </cell>
        </row>
        <row r="409">
          <cell r="A409">
            <v>1072010</v>
          </cell>
          <cell r="B409" t="str">
            <v>01072010 - Upkeep Charges</v>
          </cell>
        </row>
        <row r="410">
          <cell r="A410">
            <v>1072020</v>
          </cell>
          <cell r="B410" t="str">
            <v>01072020 -  House Keeping Services</v>
          </cell>
          <cell r="C410">
            <v>301297</v>
          </cell>
        </row>
        <row r="411">
          <cell r="A411">
            <v>1072030</v>
          </cell>
          <cell r="B411" t="str">
            <v>01072030 - Newspapers &amp; Magazines</v>
          </cell>
          <cell r="C411">
            <v>12220</v>
          </cell>
        </row>
        <row r="412">
          <cell r="A412">
            <v>1072041</v>
          </cell>
          <cell r="B412" t="str">
            <v>01072041 - Books &amp; Periodicals</v>
          </cell>
          <cell r="C412">
            <v>36328</v>
          </cell>
        </row>
        <row r="413">
          <cell r="A413">
            <v>1072042</v>
          </cell>
          <cell r="B413" t="str">
            <v>01072042 - Subscriptions</v>
          </cell>
        </row>
        <row r="414">
          <cell r="A414">
            <v>1072050</v>
          </cell>
          <cell r="B414" t="str">
            <v>01072050 - Courier &amp; Postage</v>
          </cell>
        </row>
        <row r="415">
          <cell r="A415">
            <v>1072051</v>
          </cell>
          <cell r="B415" t="str">
            <v>01072051 - Postage &amp; Courier</v>
          </cell>
          <cell r="C415">
            <v>15405</v>
          </cell>
        </row>
        <row r="416">
          <cell r="A416">
            <v>1072060</v>
          </cell>
          <cell r="B416" t="str">
            <v>01072060 - Printing &amp; Stationery</v>
          </cell>
          <cell r="C416">
            <v>195555</v>
          </cell>
        </row>
        <row r="417">
          <cell r="A417">
            <v>1072070</v>
          </cell>
          <cell r="B417" t="str">
            <v>01072070 - Security Service Chrgs -  Bldg-8</v>
          </cell>
        </row>
        <row r="418">
          <cell r="A418">
            <v>1072071</v>
          </cell>
          <cell r="B418" t="str">
            <v>01072071 - Security Service Chgs - Bldg-9</v>
          </cell>
          <cell r="C418">
            <v>246522</v>
          </cell>
        </row>
        <row r="419">
          <cell r="A419">
            <v>1072080</v>
          </cell>
          <cell r="B419" t="str">
            <v>01072080 - Repair &amp; Maint. (Others)</v>
          </cell>
          <cell r="C419">
            <v>180868</v>
          </cell>
        </row>
        <row r="420">
          <cell r="A420">
            <v>1072090</v>
          </cell>
          <cell r="B420" t="str">
            <v>01072090 - Computer Consumables</v>
          </cell>
          <cell r="C420">
            <v>103075</v>
          </cell>
        </row>
        <row r="421">
          <cell r="A421">
            <v>1072095</v>
          </cell>
          <cell r="B421" t="str">
            <v>01072095 - Serv. &amp; Delvry. Chrgs.</v>
          </cell>
        </row>
        <row r="422">
          <cell r="A422">
            <v>1073110</v>
          </cell>
          <cell r="B422" t="str">
            <v>01073110 - Relocation Expenses</v>
          </cell>
          <cell r="C422">
            <v>139779</v>
          </cell>
        </row>
        <row r="423">
          <cell r="A423">
            <v>1073120</v>
          </cell>
          <cell r="B423" t="str">
            <v>01073120 - Transfer Expenses</v>
          </cell>
        </row>
        <row r="424">
          <cell r="A424">
            <v>1073210</v>
          </cell>
          <cell r="B424" t="str">
            <v>01073210 - Entertaiment Expn.</v>
          </cell>
        </row>
        <row r="425">
          <cell r="A425">
            <v>1073220</v>
          </cell>
          <cell r="B425" t="str">
            <v>01073220 - Business Development</v>
          </cell>
        </row>
        <row r="426">
          <cell r="A426">
            <v>1073310</v>
          </cell>
          <cell r="B426" t="str">
            <v>01073310 - Bank Charges</v>
          </cell>
          <cell r="C426">
            <v>33693.910000000003</v>
          </cell>
        </row>
        <row r="427">
          <cell r="A427">
            <v>1073411</v>
          </cell>
          <cell r="B427" t="str">
            <v>01073411 - Hiring Chrgs -  Photocopier</v>
          </cell>
          <cell r="C427">
            <v>52131</v>
          </cell>
        </row>
        <row r="428">
          <cell r="A428">
            <v>1073431</v>
          </cell>
          <cell r="B428" t="str">
            <v>01073431 - Hiring Chrgs. (Furnt. - Bldg. 8)</v>
          </cell>
        </row>
        <row r="429">
          <cell r="A429">
            <v>1073432</v>
          </cell>
          <cell r="B429" t="str">
            <v>01073432 - Hiring Chrgs. (Furnt. - Bldg. 9)</v>
          </cell>
        </row>
        <row r="430">
          <cell r="A430">
            <v>1073441</v>
          </cell>
          <cell r="B430" t="str">
            <v>01073441 - Interest on HP Assets (Furnt. - Bldg. 8)</v>
          </cell>
          <cell r="C430">
            <v>645612</v>
          </cell>
        </row>
        <row r="431">
          <cell r="A431">
            <v>1073442</v>
          </cell>
          <cell r="B431" t="str">
            <v>01073442 - Interest on HP Assets (Furnt. - Bldg. 9)</v>
          </cell>
        </row>
        <row r="432">
          <cell r="A432">
            <v>1073511</v>
          </cell>
          <cell r="B432" t="str">
            <v>01073511 - Advert. Expn. - Recruitment</v>
          </cell>
        </row>
        <row r="433">
          <cell r="A433">
            <v>1073521</v>
          </cell>
          <cell r="B433" t="str">
            <v>01073521 - Media / PR  &amp; Press Rel. Expns.</v>
          </cell>
        </row>
        <row r="434">
          <cell r="A434">
            <v>1073606</v>
          </cell>
          <cell r="B434" t="str">
            <v>01073606 - Honorarium Charges</v>
          </cell>
          <cell r="C434">
            <v>144472</v>
          </cell>
        </row>
        <row r="435">
          <cell r="A435">
            <v>1073610</v>
          </cell>
          <cell r="B435" t="str">
            <v>01073610 - Directors Fee</v>
          </cell>
          <cell r="C435">
            <v>4000</v>
          </cell>
        </row>
        <row r="436">
          <cell r="A436">
            <v>1074010</v>
          </cell>
          <cell r="B436" t="str">
            <v>01074010 - Rent-Software</v>
          </cell>
        </row>
        <row r="437">
          <cell r="A437">
            <v>1074021</v>
          </cell>
          <cell r="B437" t="str">
            <v>01074021 - Trng. Expn. &amp; Chrgs.</v>
          </cell>
          <cell r="C437">
            <v>3180</v>
          </cell>
        </row>
        <row r="438">
          <cell r="A438">
            <v>1074022</v>
          </cell>
          <cell r="B438" t="str">
            <v>01074022 - Seminar / Trng. Participation Fees</v>
          </cell>
        </row>
        <row r="439">
          <cell r="A439">
            <v>1074023</v>
          </cell>
          <cell r="B439" t="str">
            <v>01074023 - Conference Participation Fees</v>
          </cell>
        </row>
        <row r="440">
          <cell r="A440">
            <v>1074030</v>
          </cell>
          <cell r="B440" t="str">
            <v>01074030 - Video Conferencing Chrgs</v>
          </cell>
        </row>
        <row r="441">
          <cell r="A441">
            <v>1074401</v>
          </cell>
          <cell r="B441" t="str">
            <v>01074401 - Audit Fees</v>
          </cell>
          <cell r="C441">
            <v>150000</v>
          </cell>
        </row>
        <row r="442">
          <cell r="A442">
            <v>1075110</v>
          </cell>
          <cell r="B442" t="str">
            <v>01075110 - Service Tax  Charges</v>
          </cell>
          <cell r="C442">
            <v>41804</v>
          </cell>
        </row>
        <row r="443">
          <cell r="A443">
            <v>1075111</v>
          </cell>
          <cell r="B443" t="str">
            <v>01075111 - Commision &amp; Brokerage</v>
          </cell>
        </row>
        <row r="444">
          <cell r="A444">
            <v>1075120</v>
          </cell>
          <cell r="B444" t="str">
            <v>01075120 - Fringe Benefit Tax Expense</v>
          </cell>
        </row>
        <row r="445">
          <cell r="A445">
            <v>1075130</v>
          </cell>
          <cell r="B445" t="str">
            <v>01075130 - Interest on TDS</v>
          </cell>
        </row>
        <row r="446">
          <cell r="A446">
            <v>1075140</v>
          </cell>
          <cell r="B446" t="str">
            <v>01075140 - Int to Supreme - O/s Pymnts</v>
          </cell>
          <cell r="C446">
            <v>93743</v>
          </cell>
        </row>
        <row r="447">
          <cell r="A447">
            <v>1075150</v>
          </cell>
          <cell r="B447" t="str">
            <v>01075150 - Prov No Longer Req/Misc/exss Amt Wri.Off</v>
          </cell>
          <cell r="D447">
            <v>145423.57</v>
          </cell>
        </row>
        <row r="448">
          <cell r="A448">
            <v>1075151</v>
          </cell>
          <cell r="B448" t="str">
            <v>01075151 - Interest Late Deposit - Tax</v>
          </cell>
        </row>
        <row r="449">
          <cell r="A449">
            <v>1075152</v>
          </cell>
          <cell r="B449" t="str">
            <v>01075152 - Prov.for Service Tax Refund</v>
          </cell>
          <cell r="C449">
            <v>2288943.6</v>
          </cell>
        </row>
        <row r="450">
          <cell r="A450">
            <v>1075401</v>
          </cell>
          <cell r="B450" t="str">
            <v>01075401 - Shortage &amp; Excess</v>
          </cell>
          <cell r="C450">
            <v>2.27</v>
          </cell>
        </row>
        <row r="451">
          <cell r="A451">
            <v>1075501</v>
          </cell>
          <cell r="B451" t="str">
            <v>01075501 - Depreciation</v>
          </cell>
          <cell r="C451">
            <v>3976802</v>
          </cell>
        </row>
        <row r="452">
          <cell r="A452">
            <v>1075601</v>
          </cell>
          <cell r="B452" t="str">
            <v>01075601 - Debit Bal. of P&amp;L A/c (BS)</v>
          </cell>
        </row>
        <row r="453">
          <cell r="A453">
            <v>1078110</v>
          </cell>
          <cell r="B453" t="str">
            <v>01078110 -Deferred Rev. Expnd. - W/o</v>
          </cell>
        </row>
        <row r="454">
          <cell r="A454">
            <v>1078120</v>
          </cell>
          <cell r="B454" t="str">
            <v>01078120 - Prel. Expn. - W/o</v>
          </cell>
        </row>
        <row r="455">
          <cell r="A455">
            <v>1078130</v>
          </cell>
          <cell r="B455" t="str">
            <v>01078130 - Pre-Oprtv Expn. - W/o</v>
          </cell>
        </row>
        <row r="456">
          <cell r="A456">
            <v>1079101</v>
          </cell>
          <cell r="B456" t="str">
            <v>01079101 - Prov. for Income Tax</v>
          </cell>
          <cell r="C456">
            <v>1759053</v>
          </cell>
        </row>
        <row r="457">
          <cell r="A457">
            <v>1079102</v>
          </cell>
          <cell r="B457" t="str">
            <v>01079102 - MAT Credit Provision</v>
          </cell>
        </row>
        <row r="458">
          <cell r="A458">
            <v>1079201</v>
          </cell>
          <cell r="B458" t="str">
            <v>01079201 - Loss on Sale of Assets</v>
          </cell>
          <cell r="C458">
            <v>7829372.4100000001</v>
          </cell>
        </row>
        <row r="459">
          <cell r="A459">
            <v>1080101</v>
          </cell>
          <cell r="B459" t="str">
            <v>01080101 - Deferred Rev. Expnd.</v>
          </cell>
        </row>
        <row r="460">
          <cell r="A460">
            <v>1080102</v>
          </cell>
          <cell r="B460" t="str">
            <v>01080102 - Preliminary Exp.</v>
          </cell>
        </row>
        <row r="461">
          <cell r="A461">
            <v>1080103</v>
          </cell>
          <cell r="B461" t="str">
            <v>01080103 - Pre-Operative Exp.</v>
          </cell>
        </row>
        <row r="462">
          <cell r="A462">
            <v>1090001</v>
          </cell>
          <cell r="B462" t="str">
            <v>01090001 - Profit &amp; Loss A/c</v>
          </cell>
          <cell r="D462">
            <v>56145945.869999997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finitions"/>
      <sheetName val="Commentary"/>
      <sheetName val="Instructions"/>
      <sheetName val="Template (2)"/>
      <sheetName val="FOS-2004"/>
      <sheetName val="PPV Report"/>
      <sheetName val="OEE"/>
      <sheetName val="Q.Ind.Payable report"/>
      <sheetName val="Sheet1"/>
      <sheetName val="Sheet2"/>
      <sheetName val="cfdatabase"/>
      <sheetName val="RGPCOM"/>
      <sheetName val="CALCOM"/>
      <sheetName val="NDCOM"/>
      <sheetName val="summ"/>
      <sheetName val="Assumption(2)"/>
      <sheetName val="contri &amp; profit"/>
      <sheetName val="PL "/>
      <sheetName val="cmt contr"/>
      <sheetName val="QW Cmt contr"/>
      <sheetName val="clk contr"/>
      <sheetName val="Amort"/>
      <sheetName val="notional_intrst"/>
      <sheetName val="Factor1"/>
      <sheetName val="x"/>
      <sheetName val="Info"/>
      <sheetName val="AllLegalEntities"/>
      <sheetName val="SitesLocations"/>
      <sheetName val="AllReportingEntities"/>
      <sheetName val="LookUpTables"/>
      <sheetName val="SteveOnly"/>
      <sheetName val="TAX"/>
      <sheetName val="TAX.I"/>
      <sheetName val="TAX3"/>
      <sheetName val="TAX2"/>
      <sheetName val="COMMON"/>
      <sheetName val="Basename Codes"/>
      <sheetName val="Conversion Factors"/>
      <sheetName val=" new Codes used"/>
      <sheetName val="Product Form Codes Benckiser"/>
      <sheetName val="_new Codes used"/>
      <sheetName val="MC"/>
      <sheetName val="Capex"/>
      <sheetName val="Factory Op Statement"/>
      <sheetName val="Reconciliation"/>
      <sheetName val="OtherKPI"/>
      <sheetName val="LC"/>
      <sheetName val="GBP"/>
      <sheetName val="Sheet3"/>
      <sheetName val="Rhoen"/>
      <sheetName val="Output"/>
      <sheetName val="Shareholders"/>
      <sheetName val="Breakdown by beds"/>
      <sheetName val="Turnover by end market"/>
      <sheetName val="Turnover by region"/>
      <sheetName val="Share price data"/>
      <sheetName val="Share price graph"/>
      <sheetName val="F.S. - Prod &amp; Rej."/>
      <sheetName val="Production upto 13.07.10"/>
      <sheetName val="RecoveredExternalLink2"/>
      <sheetName val="Inventory"/>
      <sheetName val="Inventory Report-02.01.10"/>
      <sheetName val="PPAP Info"/>
      <sheetName val="SUMMERY"/>
      <sheetName val="TOTAL_CUTTING_REPORT"/>
      <sheetName val="CUTTING_PLAN"/>
      <sheetName val="R.M. RECEIVED"/>
      <sheetName val="Sheet5"/>
      <sheetName val="Sheet                         4"/>
      <sheetName val="Production"/>
      <sheetName val="Stock Reg."/>
      <sheetName val="Circular"/>
      <sheetName val="RFD-1"/>
      <sheetName val="Master Data"/>
      <sheetName val="RFD-2"/>
      <sheetName val="RFD-3"/>
      <sheetName val="RFD-4"/>
      <sheetName val="RFD-5"/>
      <sheetName val="RFD-6"/>
      <sheetName val="RFD-7"/>
      <sheetName val="RFD-8"/>
      <sheetName val="RFD-9"/>
      <sheetName val="RFDNEW1"/>
      <sheetName val="RFDNEW2"/>
      <sheetName val="RFDNEW3"/>
      <sheetName val="RFDNEW4"/>
      <sheetName val="RFDNEW5"/>
      <sheetName val="RFDNEW6"/>
      <sheetName val="RFDNEW7"/>
      <sheetName val="RFDNEW8"/>
      <sheetName val="RFDNEW9"/>
      <sheetName val="RFDNEW 10"/>
      <sheetName val="RFDNEW 11"/>
      <sheetName val="RFDNEW12"/>
      <sheetName val="RFDNEW13"/>
      <sheetName val="RFDNEW 14"/>
      <sheetName val="Circular 31.07.11              "/>
      <sheetName val="Circular 31.07.11           "/>
      <sheetName val="Goals"/>
      <sheetName val="Cost Assumptions"/>
      <sheetName val="Assumptions Unit-2"/>
      <sheetName val="Assumptions Unit-1"/>
      <sheetName val="Improvements"/>
      <sheetName val="Summary"/>
      <sheetName val="Changes"/>
      <sheetName val="P &amp; L "/>
      <sheetName val="P &amp; L  (Unit-2)"/>
      <sheetName val="P &amp; L  (Unit-1-Adj)"/>
      <sheetName val="P &amp; L  (Unit-1) "/>
      <sheetName val="Sales -2012"/>
      <sheetName val="Cost Factors"/>
      <sheetName val="Power -2"/>
      <sheetName val="FRT Ow -2012 "/>
      <sheetName val="Machining"/>
      <sheetName val="Yield &amp; Rej Imp"/>
      <sheetName val="Gr Wt &amp; Rej"/>
      <sheetName val="Production -2012 (N) "/>
      <sheetName val="RM"/>
      <sheetName val="BussPlan 2011 Sales &amp; RM (2)"/>
      <sheetName val="Cash FLow"/>
      <sheetName val="BS"/>
      <sheetName val="RM summary"/>
      <sheetName val="CHKLST"/>
      <sheetName val="ISAR"/>
      <sheetName val="APQP TIMING PLAN"/>
      <sheetName val="MANUFACTURING FEASIBILITY STUDY"/>
      <sheetName val="PSW"/>
      <sheetName val="APPROVAL REQUEST"/>
      <sheetName val="Layout"/>
      <sheetName val="INTERNAL LAB SCOPE"/>
      <sheetName val="QLIB"/>
      <sheetName val="GRR"/>
      <sheetName val="List of Supp."/>
      <sheetName val="Packaging"/>
      <sheetName val="CA"/>
      <sheetName val="RecoveredExternalLink3"/>
      <sheetName val="Guidelines"/>
      <sheetName val="Form"/>
      <sheetName val="Challan"/>
      <sheetName val="Annexure-I"/>
      <sheetName val="Annexure-II"/>
      <sheetName val="Annexure-III"/>
      <sheetName val="ImportSheet"/>
      <sheetName val="Param"/>
      <sheetName val="Stock summary"/>
      <sheetName val="RM Rate"/>
      <sheetName val="Rm value"/>
      <sheetName val="Cut Piece"/>
      <sheetName val="Wip Valuation"/>
      <sheetName val="Vendor Stock"/>
      <sheetName val="DSA"/>
      <sheetName val="Cutting 8000 T"/>
      <sheetName val="WIP 8000 T"/>
      <sheetName val="Process cost 8000"/>
      <sheetName val="mast. list"/>
      <sheetName val="New product"/>
      <sheetName val="Engg.Data"/>
      <sheetName val="store stock"/>
      <sheetName val="Deptt wise salary &amp; Wages"/>
      <sheetName val="Stores &amp; Die Steel"/>
      <sheetName val="Expenses &amp; Allocation "/>
      <sheetName val="Process COST SHEET"/>
      <sheetName val="sales rate"/>
      <sheetName val="Scrap"/>
      <sheetName val="CON LOAD"/>
      <sheetName val="sept 07 (2)"/>
      <sheetName val="Daily Desp."/>
      <sheetName val="5.11.2013 (2)"/>
      <sheetName val="MASTER"/>
      <sheetName val="SCHEDULE"/>
      <sheetName val="Master List."/>
      <sheetName val="Master List"/>
      <sheetName val="1000TP"/>
      <sheetName val="2500TP (2)"/>
      <sheetName val="4000TP (3)"/>
      <sheetName val="8000TP (4)"/>
      <sheetName val="Rev status sheet-01"/>
      <sheetName val="Elec Calculation"/>
      <sheetName val="Mc. Expenses"/>
      <sheetName val="Manpower Cost"/>
      <sheetName val="Total Machine Cost"/>
      <sheetName val="100T"/>
      <sheetName val="160T"/>
      <sheetName val="200T"/>
      <sheetName val="350T"/>
      <sheetName val="450T"/>
      <sheetName val="660T"/>
      <sheetName val="E90"/>
      <sheetName val="E50"/>
      <sheetName val="800T"/>
      <sheetName val="Despatch"/>
      <sheetName val="Others"/>
      <sheetName val="FORMAT"/>
      <sheetName val="AS FORGE HOLD AREA1.11.14"/>
      <sheetName val="Profit &amp; Sale"/>
      <sheetName val="Value Addition"/>
      <sheetName val="OP Vs Sale"/>
      <sheetName val="CTC Vs Sale"/>
      <sheetName val="CTC"/>
      <sheetName val="Casual Vs Sale"/>
      <sheetName val="Casual"/>
      <sheetName val="Maint Vs Sale"/>
      <sheetName val="Maint"/>
      <sheetName val="Oil &amp; Lub Vs Sale"/>
      <sheetName val="Oil &amp; Lubricant"/>
      <sheetName val="Diesel Vs Sale"/>
      <sheetName val="Diesel"/>
      <sheetName val="Power &amp; Fuel Vs Sale"/>
      <sheetName val="Power &amp; Fuel"/>
      <sheetName val="Con'able wrt Sa"/>
      <sheetName val="Con'able"/>
      <sheetName val="PROFIT "/>
      <sheetName val="Volumes "/>
      <sheetName val="Sale Value "/>
      <sheetName val="RM "/>
      <sheetName val="Casual Cost"/>
      <sheetName val="Rejection "/>
      <sheetName val="Consumable"/>
      <sheetName val="OSP "/>
      <sheetName val="Packing"/>
      <sheetName val="Forging+Bush Cost N.Line"/>
      <sheetName val="Assumption"/>
      <sheetName val="other expenses ( 13 ) "/>
      <sheetName val="Infrastructure(3)"/>
      <sheetName val="ORG. CHART (1)"/>
      <sheetName val="ELECT. LOAD ( 9 )"/>
      <sheetName val="T - room expense ( 7 )"/>
      <sheetName val="Power cost ( 11 )"/>
      <sheetName val="INDEX (2)"/>
      <sheetName val="Machine Planning"/>
      <sheetName val="Machine summary sheet"/>
      <sheetName val="MACHINE PLAN"/>
      <sheetName val="Index"/>
      <sheetName val="Corporate expenses"/>
      <sheetName val="Pre Operative"/>
      <sheetName val="Time Plan Project Impln"/>
      <sheetName val="BLOW"/>
      <sheetName val="Overheads"/>
      <sheetName val="Scenario"/>
      <sheetName val="Cost Template"/>
      <sheetName val="Assumptions"/>
      <sheetName val="Sheet-02.01.13"/>
      <sheetName val="RecoveredExternalLink4"/>
      <sheetName val="Admin_Spreadsheet_Headcounts"/>
      <sheetName val="Headcount Details"/>
      <sheetName val="鋳造価格"/>
      <sheetName val="5.1_SALES_ADDITIONAL INFO"/>
      <sheetName val="Cost data input(input colm E-P)"/>
      <sheetName val="Constants"/>
      <sheetName val="March"/>
      <sheetName val="MIS"/>
      <sheetName val="Stock Monitoring "/>
      <sheetName val="PROD.&amp;DISP.STATUS"/>
      <sheetName val="Machining-Value in Nos."/>
      <sheetName val="Daily Report"/>
      <sheetName val="prod. report"/>
      <sheetName val="Stock Monitoring"/>
      <sheetName val="MIS (2)"/>
      <sheetName val="Sheet1 (3)"/>
      <sheetName val="MIS (4)"/>
      <sheetName val="Sheet1 (2)"/>
      <sheetName val="MIS (3)"/>
      <sheetName val="Inputs"/>
      <sheetName val="Cover"/>
      <sheetName val="SmartView"/>
      <sheetName val="BOM"/>
      <sheetName val="CL.WT.-HMSI"/>
      <sheetName val="FW-F8D-26-230101"/>
      <sheetName val="C. CHART-blank"/>
      <sheetName val="O.C.-CD100"/>
      <sheetName val="CD-LP-28"/>
      <sheetName val="SPC-BLANK"/>
      <sheetName val="SPC-BLANK (2)"/>
      <sheetName val="SPC-OC"/>
      <sheetName val="C. CHART-F.W.-P3R"/>
      <sheetName val="C. CHART-L.P.-P40"/>
      <sheetName val="C. CHART-O.C.-CD100"/>
      <sheetName val="C. CHART-L.P.-CD100"/>
      <sheetName val="L.P.-CD100"/>
      <sheetName val="O.C.-GBG"/>
      <sheetName val="CC-80"/>
      <sheetName val="CC-50"/>
      <sheetName val="CC-30"/>
      <sheetName val="CD-OC-21"/>
      <sheetName val="FW-HSCI(RICO-XX)"/>
      <sheetName val="FW-HSCI (RICO-YY)"/>
      <sheetName val="FW-HSCI (FRL-XX)"/>
      <sheetName val="FW-HSCI (FRL-YY)"/>
      <sheetName val="SPC_OC"/>
      <sheetName val="Data Sheet"/>
      <sheetName val="Master part list"/>
      <sheetName val="Qty"/>
      <sheetName val="Defectwise Rej."/>
      <sheetName val="Defectwise Rework"/>
      <sheetName val="ATTANDENCE"/>
      <sheetName val="VENDER"/>
      <sheetName val="Cost Wise Rejection  Trend"/>
      <sheetName val="Tool Cost"/>
      <sheetName val="Month Wise Trend"/>
      <sheetName val="TRAIL details (3)"/>
      <sheetName val="TRAIL details"/>
      <sheetName val="Action plan"/>
      <sheetName val="TRAIL details (2)"/>
      <sheetName val="KPI_TRACKER"/>
      <sheetName val="Graphical Representation "/>
      <sheetName val="PROJECT CHARTER"/>
      <sheetName val="Targets"/>
      <sheetName val="Baseline_Consummables"/>
      <sheetName val="Basline_Prodn"/>
      <sheetName val="Amtek BS Consol"/>
      <sheetName val="GWK Group Consol BS"/>
      <sheetName val="GWK Group BS"/>
      <sheetName val="GWK Amtek BS(1)"/>
      <sheetName val="Fixed"/>
      <sheetName val="workings"/>
      <sheetName val="97 &amp; 98 YOY"/>
      <sheetName val="Financials"/>
      <sheetName val="FSG"/>
      <sheetName val="1995"/>
      <sheetName val="1995 Vs. March"/>
      <sheetName val="1996"/>
      <sheetName val="1996 Vs. #589"/>
      <sheetName val="1997"/>
      <sheetName val="1998"/>
      <sheetName val="Control"/>
      <sheetName val="1995 Vs. ¬arc´"/>
      <sheetName val="JLF Budget"/>
      <sheetName val="sales return may-17"/>
      <sheetName val="CB"/>
      <sheetName val="Sub Cont"/>
      <sheetName val="Desp"/>
      <sheetName val="ERP"/>
      <sheetName val="Cal"/>
      <sheetName val="Unit - 1 &amp; 2"/>
      <sheetName val="HT"/>
      <sheetName val="customer retn"/>
      <sheetName val="FN"/>
      <sheetName val="10"/>
      <sheetName val="abv"/>
      <sheetName val="Home Page"/>
      <sheetName val="A1-PPC-Part wise"/>
      <sheetName val="A2-PPC-Grade Wise"/>
      <sheetName val="Critical part Information"/>
      <sheetName val="Press Wise Criticality"/>
      <sheetName val="Invest"/>
      <sheetName val="投资"/>
      <sheetName val="P&amp;L"/>
      <sheetName val="Interest"/>
      <sheetName val="Balance Sheet"/>
      <sheetName val="Segment"/>
      <sheetName val="NF Pricing Rostock"/>
      <sheetName val="Injection Money"/>
      <sheetName val="Channel Price Scenario ELV"/>
      <sheetName val="VAT Simulation"/>
      <sheetName val="Non Ferrous"/>
      <sheetName val="Operating Cost"/>
      <sheetName val="Material Breakdown Jan"/>
      <sheetName val="Material Stream ELV"/>
      <sheetName val="Material Stream Scrap Steel"/>
      <sheetName val="Installed Electricity"/>
      <sheetName val="Personnel"/>
      <sheetName val="Operate Prices"/>
      <sheetName val="Mat Purchase Price Calc"/>
      <sheetName val="Mat Contents"/>
      <sheetName val="Parameters"/>
      <sheetName val="TG_Input output materials"/>
      <sheetName val="Invest Info Bastian"/>
      <sheetName val="Invest_Old"/>
      <sheetName val="XXXXX"/>
      <sheetName val="Print Controls"/>
      <sheetName val="Facer"/>
      <sheetName val="Total Vehicle"/>
      <sheetName val="Industry"/>
      <sheetName val="Total Cars"/>
      <sheetName val="Ka"/>
      <sheetName val="Fiesta (BE91)"/>
      <sheetName val="Fiesta (B256)"/>
      <sheetName val="Fiesta (B257)"/>
      <sheetName val="Street Ka (B327)"/>
      <sheetName val="Total Fiesta"/>
      <sheetName val="Puma (SE161)"/>
      <sheetName val="Fusion B226"/>
      <sheetName val="Focus"/>
      <sheetName val="Focus C307"/>
      <sheetName val="Total Focus"/>
      <sheetName val="Focus C-MAX"/>
      <sheetName val="Mondeo CD132"/>
      <sheetName val="Galaxy V191"/>
      <sheetName val="Maverick U204"/>
      <sheetName val="Financials 03"/>
      <sheetName val="Financials 04"/>
      <sheetName val="Financials 05"/>
      <sheetName val="VHC Stocks and Call Offs - Cars"/>
      <sheetName val="VHC Stocks and Call Offs - CVs"/>
      <sheetName val="VHC By Compound"/>
      <sheetName val="Warehouse"/>
      <sheetName val="Input of fleet retail vol. "/>
      <sheetName val="Quick Input"/>
      <sheetName val="Manipulation Sheet '04"/>
      <sheetName val="Manipulation Sheet '05"/>
      <sheetName val="9801"/>
      <sheetName val="Flash report"/>
      <sheetName val="TITLE"/>
      <sheetName val="PAF"/>
      <sheetName val="WDA"/>
      <sheetName val="DWH"/>
      <sheetName val="HCR"/>
      <sheetName val="HDS"/>
      <sheetName val="LCR"/>
      <sheetName val="HRS"/>
      <sheetName val="HRV"/>
      <sheetName val="MCASUM"/>
      <sheetName val="MCA"/>
      <sheetName val="TCVSUM"/>
      <sheetName val="TCV"/>
      <sheetName val="AVVAR"/>
      <sheetName val="HYPVAR"/>
      <sheetName val="HYPSUM$"/>
      <sheetName val="LOHPVAR"/>
      <sheetName val="MATVAR"/>
      <sheetName val="INV"/>
      <sheetName val="PROV"/>
      <sheetName val="CHECK"/>
      <sheetName val="CHRS"/>
      <sheetName val="CMCA"/>
      <sheetName val="CTCV"/>
      <sheetName val="CHYP"/>
      <sheetName val="CLOHP"/>
      <sheetName val="CMATL"/>
      <sheetName val="CINV"/>
      <sheetName val="CPROV"/>
      <sheetName val="ABSORB"/>
      <sheetName val="BHRS"/>
      <sheetName val="BMCA"/>
      <sheetName val="BTCV"/>
      <sheetName val="BHYP"/>
      <sheetName val="BLOHP"/>
      <sheetName val="BMATL"/>
      <sheetName val="BINV"/>
      <sheetName val="BPROV"/>
      <sheetName val="FHRS"/>
      <sheetName val="FMCA"/>
      <sheetName val="FTCV"/>
      <sheetName val="FHYP"/>
      <sheetName val="FLOHP"/>
      <sheetName val="FMATL"/>
      <sheetName val="FINV"/>
      <sheetName val="FPROV"/>
      <sheetName val="PINV"/>
      <sheetName val="INSH2BSE (3)"/>
      <sheetName val="Ingresso_Qtà"/>
      <sheetName val="Classi"/>
      <sheetName val="Input"/>
      <sheetName val="Da_Squadre"/>
      <sheetName val="Stima"/>
      <sheetName val="Foglio1"/>
      <sheetName val="Weekly Report"/>
      <sheetName val="Action Points"/>
      <sheetName val="Part Defect and Action Details"/>
      <sheetName val="Calculations"/>
      <sheetName val="Details Cpk bellow 1.33"/>
      <sheetName val="Prod. Plan -FEB'18"/>
      <sheetName val="FRONT"/>
      <sheetName val="1.1_HEALTH &amp; SAFETY"/>
      <sheetName val="1.2_ENVIRONMENTAL"/>
      <sheetName val="2.1_SALES STATUS"/>
      <sheetName val="3.1_PROFIT STATUS"/>
      <sheetName val="3.2_PL Statement"/>
      <sheetName val="3.3_Ratios"/>
      <sheetName val="4.0_EXPENSES GRAPHS"/>
      <sheetName val="5.1_PSS"/>
      <sheetName val="6.1_AGED DEBTORS"/>
      <sheetName val="7.1_REVENUE CREDITORS"/>
      <sheetName val="7.2_DEBTORS &amp; CREDITORS"/>
      <sheetName val="7.3_CAPITAL CREDITORS"/>
      <sheetName val="7.4_PROVISIONS"/>
      <sheetName val="8.1_ROLLING CASH FLOW"/>
      <sheetName val="8.2_CASH FLOW BUD VS ACT"/>
      <sheetName val="9.1_SALES - O.S ENQ"/>
      <sheetName val="9.2_QUOTES"/>
      <sheetName val="9.3_ORDERS WON"/>
      <sheetName val="10.1_CUSTOMER PPM"/>
      <sheetName val="10.2_CUSTOMER QUALITY ISSUE"/>
      <sheetName val="10.3_NO. OF CUST.QUALITY ISSUES"/>
      <sheetName val="11.1_DELIVERY RATING"/>
      <sheetName val="12.1_BEP"/>
      <sheetName val="View"/>
      <sheetName val="Assumptions- steel"/>
      <sheetName val="Restructring Summary"/>
      <sheetName val="Restructring scheme"/>
      <sheetName val="MAIN-SUM"/>
      <sheetName val="abst-of -cost"/>
      <sheetName val="abst-of qty"/>
      <sheetName val="Secured"/>
      <sheetName val="cement"/>
      <sheetName val="1.01"/>
      <sheetName val="1.02"/>
      <sheetName val="2.01(b)"/>
      <sheetName val="3.01(a)"/>
      <sheetName val="3.01(b)"/>
      <sheetName val="3.02(a)"/>
      <sheetName val="3.02(b)"/>
      <sheetName val="3.4(a)"/>
      <sheetName val="3.4(b)"/>
      <sheetName val="3.04(c)"/>
      <sheetName val="3.04(d)"/>
      <sheetName val="3.04(f)"/>
      <sheetName val="3.05-c,3.06"/>
      <sheetName val="6.03(b)"/>
      <sheetName val="Steel "/>
      <sheetName val="Measurment"/>
      <sheetName val="CONFERENCE EX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
          <cell r="BA5">
            <v>165</v>
          </cell>
        </row>
      </sheetData>
      <sheetData sheetId="59"/>
      <sheetData sheetId="60"/>
      <sheetData sheetId="61"/>
      <sheetData sheetId="62"/>
      <sheetData sheetId="63" refreshError="1"/>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refreshError="1"/>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ow r="2">
          <cell r="B2" t="str">
            <v>A V ENTERPRISES</v>
          </cell>
        </row>
      </sheetData>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ut."/>
      <sheetName val="Defrd tax"/>
      <sheetName val="p&amp;l"/>
      <sheetName val="schedule"/>
      <sheetName val="ANX-A(9)"/>
      <sheetName val="Anx-B(Pen)"/>
      <sheetName val="Anx-B(Cont.P)"/>
      <sheetName val="Depre.(c.yr)"/>
      <sheetName val="ANX-C-1(P)"/>
      <sheetName val="ANX-D(16b)"/>
      <sheetName val="Anx-E(17(D)"/>
      <sheetName val="ANX-F(cls-18p)"/>
      <sheetName val="Anx-G(21(A)"/>
      <sheetName val="Anx-H(21(B)"/>
      <sheetName val="ANNEX-I(21(B)"/>
      <sheetName val="ANNEX-J(P)"/>
      <sheetName val="Annex-K(24A)"/>
      <sheetName val="AnxK-24(b)"/>
      <sheetName val="AANEX-L(TDS)"/>
      <sheetName val="Annex-M(P)"/>
      <sheetName val="Annex-N"/>
      <sheetName val="TDS(Rev c yr)"/>
      <sheetName val="TDS Crt(p)"/>
      <sheetName val="Parameter(p)"/>
      <sheetName val="Annex FBT(p)"/>
      <sheetName val="FBT(PARMANOO)"/>
      <sheetName val="CONTNGT LIAB"/>
      <sheetName val="Annexure-O"/>
      <sheetName val="Sheet1"/>
      <sheetName val="Input"/>
      <sheetName val="b"/>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Basic Details"/>
      <sheetName val="RECON"/>
      <sheetName val="IGAAP"/>
      <sheetName val="IFRS"/>
      <sheetName val="1. Land"/>
      <sheetName val="2. Building"/>
      <sheetName val="3. P&amp;M"/>
      <sheetName val="4. F&amp;F"/>
      <sheetName val="5. O&amp;E"/>
      <sheetName val="6. Computer"/>
      <sheetName val="7. Vehicles"/>
      <sheetName val="Schedule"/>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irector"/>
      <sheetName val="Master Sheet"/>
      <sheetName val="BS"/>
      <sheetName val="tally upload"/>
      <sheetName val="SCh-"/>
      <sheetName val="BS Notes"/>
      <sheetName val="P &amp; L"/>
      <sheetName val="P&amp;L Notes"/>
      <sheetName val="t b2012-13"/>
      <sheetName val="Openings"/>
      <sheetName val="Additions"/>
      <sheetName val="Other Expenses Detail"/>
      <sheetName val="Tally Data"/>
      <sheetName val="Trial"/>
      <sheetName val="Deffred Tax Calculation"/>
      <sheetName val="TB"/>
      <sheetName val="TB March 2012"/>
      <sheetName val="Restatement of Loan "/>
      <sheetName val="TB_Raw"/>
      <sheetName val="Cash flow"/>
      <sheetName val="Adjustment entry (2)"/>
      <sheetName val="Trial Balance"/>
      <sheetName val="tallyupload"/>
      <sheetName val="Provision for income tax"/>
      <sheetName val="Observation sheet"/>
      <sheetName val="Sheet2"/>
      <sheetName val="other investment list"/>
      <sheetName val="Receipt &amp; Payment"/>
      <sheetName val="Working"/>
      <sheetName val="Dep. as per Co Act"/>
      <sheetName val="Dep. as per IT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K15">
            <v>359875</v>
          </cell>
        </row>
      </sheetData>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A"/>
      <sheetName val="Data"/>
      <sheetName val="FX"/>
      <sheetName val="Instructions"/>
      <sheetName val="Control"/>
      <sheetName val="CDR"/>
      <sheetName val="STAT"/>
      <sheetName val="Write Offs"/>
      <sheetName val="SUMMARY"/>
      <sheetName val="Expense Summary"/>
      <sheetName val="PRM"/>
      <sheetName val="NI 02SI vs 01ACT"/>
      <sheetName val="NI 02SI vs 02OP"/>
      <sheetName val="NI LRF"/>
      <sheetName val="NI_NEA Walk"/>
      <sheetName val="Cost Walk ACT01 v SI05"/>
      <sheetName val="HCWalk ACT01 v SI05"/>
      <sheetName val="Acquisition"/>
      <sheetName val="ERROR"/>
      <sheetName val="Master Sheet"/>
    </sheetNames>
    <sheetDataSet>
      <sheetData sheetId="0" refreshError="1"/>
      <sheetData sheetId="1" refreshError="1">
        <row r="1">
          <cell r="B1" t="str">
            <v>Q101A</v>
          </cell>
          <cell r="C1" t="str">
            <v>Q201A</v>
          </cell>
          <cell r="D1" t="str">
            <v>Q301A</v>
          </cell>
          <cell r="E1" t="str">
            <v>Q401A</v>
          </cell>
          <cell r="F1" t="str">
            <v>FY01A</v>
          </cell>
          <cell r="G1" t="str">
            <v>Q102OP</v>
          </cell>
          <cell r="H1" t="str">
            <v>Q202OP</v>
          </cell>
          <cell r="I1" t="str">
            <v>Q302OP</v>
          </cell>
          <cell r="J1" t="str">
            <v>Q402OP</v>
          </cell>
          <cell r="K1" t="str">
            <v>FY02OP</v>
          </cell>
          <cell r="L1" t="str">
            <v>Q102A</v>
          </cell>
          <cell r="M1" t="str">
            <v>FY02SI</v>
          </cell>
          <cell r="N1" t="str">
            <v>FY03SI</v>
          </cell>
          <cell r="O1" t="str">
            <v>FY04SI</v>
          </cell>
        </row>
        <row r="2">
          <cell r="A2" t="str">
            <v>ArgentinaTOTAL FINANCING RECEIVABLES</v>
          </cell>
        </row>
        <row r="3">
          <cell r="A3" t="str">
            <v>ArgentinaRECEIVABLE RESERVES</v>
          </cell>
        </row>
        <row r="4">
          <cell r="A4" t="str">
            <v>ArgentinaCASH</v>
          </cell>
        </row>
        <row r="5">
          <cell r="A5" t="str">
            <v>ArgentinaINVESTMENT SECURITIES</v>
          </cell>
        </row>
        <row r="6">
          <cell r="A6" t="str">
            <v>ArgentinaINV IN NON CONSOL AFFILIATES</v>
          </cell>
        </row>
        <row r="7">
          <cell r="A7" t="str">
            <v>ArgentinaINVESTMENT IN JOINT VENTURE</v>
          </cell>
        </row>
        <row r="8">
          <cell r="A8" t="str">
            <v>ArgentinaALL OTHER RECEIVABLES (NON-FINANCING)</v>
          </cell>
        </row>
        <row r="9">
          <cell r="A9" t="str">
            <v>ArgentinaELTO (NET)</v>
          </cell>
        </row>
        <row r="10">
          <cell r="A10" t="str">
            <v>ArgentinaGOODWILL</v>
          </cell>
        </row>
        <row r="11">
          <cell r="A11" t="str">
            <v>ArgentinaOTHER ASSETS</v>
          </cell>
        </row>
        <row r="12">
          <cell r="A12" t="str">
            <v>ArgentinaACCOUNTS PAYABLE</v>
          </cell>
        </row>
        <row r="13">
          <cell r="A13" t="str">
            <v>ArgentinaDEFERRED INCOME TAXES</v>
          </cell>
        </row>
        <row r="14">
          <cell r="A14" t="str">
            <v>ArgentinaWRITE-OFF (MEMO)</v>
          </cell>
        </row>
        <row r="15">
          <cell r="A15" t="str">
            <v>ArgentinaINSURANCE RESERVES AND ANNUITY BENEFITS</v>
          </cell>
        </row>
        <row r="16">
          <cell r="A16" t="str">
            <v>ArgentinaALL OTHER NON DEBT LIABILITIES</v>
          </cell>
        </row>
        <row r="17">
          <cell r="A17" t="str">
            <v>ArgentinaMINORITY INTEREST (BS)</v>
          </cell>
        </row>
        <row r="18">
          <cell r="A18" t="str">
            <v>ArgentinaASIA PACIFIC ENI DIVIDEND</v>
          </cell>
        </row>
        <row r="19">
          <cell r="A19" t="str">
            <v>ArgentinaFINANCING INCOME</v>
          </cell>
        </row>
        <row r="20">
          <cell r="A20" t="str">
            <v>ArgentinaINSURANCE PREMIUM INCOME</v>
          </cell>
        </row>
        <row r="21">
          <cell r="A21" t="str">
            <v>ArgentinaINSURANCE INCOME (COMMISSIONS)</v>
          </cell>
        </row>
        <row r="22">
          <cell r="A22" t="str">
            <v>ArgentinaSUNDRY INCOME</v>
          </cell>
        </row>
        <row r="23">
          <cell r="A23" t="str">
            <v>ArgentinaINTEREST EXPENSE</v>
          </cell>
        </row>
        <row r="24">
          <cell r="A24" t="str">
            <v>ArgentinaINTEREST EXPENSE REDUCTIONS / BUS SHARING</v>
          </cell>
        </row>
        <row r="25">
          <cell r="A25" t="str">
            <v>ArgentinaALLOCATED COST OF PREFERRED EQUITY</v>
          </cell>
        </row>
        <row r="26">
          <cell r="A26" t="str">
            <v>ArgentinaSALARIES &amp; BENEFITS</v>
          </cell>
        </row>
        <row r="27">
          <cell r="A27" t="str">
            <v>ArgentinaLOSSES ON OTHER ASSETS</v>
          </cell>
        </row>
        <row r="28">
          <cell r="A28" t="str">
            <v>ArgentinaCOST OF GOODS SOLD</v>
          </cell>
        </row>
        <row r="29">
          <cell r="A29" t="str">
            <v>ArgentinaCOST OF GOODS SOLD - DISTRIBUTION</v>
          </cell>
        </row>
        <row r="30">
          <cell r="A30" t="str">
            <v>ArgentinaPOSTAGE</v>
          </cell>
        </row>
        <row r="31">
          <cell r="A31" t="str">
            <v>ArgentinaTELEPHONE</v>
          </cell>
        </row>
        <row r="32">
          <cell r="A32" t="str">
            <v>ArgentinaCUSTOMER SERVICE / COLLECTIONS</v>
          </cell>
        </row>
        <row r="33">
          <cell r="A33" t="str">
            <v>ArgentinaSTATIONARY - OFFICE SUPPLIES</v>
          </cell>
        </row>
        <row r="34">
          <cell r="A34" t="str">
            <v>ArgentinaT&amp;L</v>
          </cell>
        </row>
        <row r="35">
          <cell r="A35" t="str">
            <v>ArgentinaRENTAL - BLDG/FACILITIES</v>
          </cell>
        </row>
        <row r="36">
          <cell r="A36" t="str">
            <v>ArgentinaRENTAL - FURNITURE/EQUIP</v>
          </cell>
        </row>
        <row r="37">
          <cell r="A37" t="str">
            <v>ArgentinaRENTAL - COMPUTERS</v>
          </cell>
        </row>
        <row r="38">
          <cell r="A38" t="str">
            <v>ArgentinaLEASE IN - LEASE OUT</v>
          </cell>
        </row>
        <row r="39">
          <cell r="A39" t="str">
            <v>ArgentinaFURNITURE / EQUIPMENT / COMPUTER EXP</v>
          </cell>
        </row>
        <row r="40">
          <cell r="A40" t="str">
            <v>ArgentinaSOFTWARE EXPENSE</v>
          </cell>
        </row>
        <row r="41">
          <cell r="A41" t="str">
            <v>ArgentinaAMORTIZATION OF INTANGIBLES</v>
          </cell>
        </row>
        <row r="42">
          <cell r="A42" t="str">
            <v>ArgentinaELTO MAINTENANCE</v>
          </cell>
        </row>
        <row r="43">
          <cell r="A43" t="str">
            <v>ArgentinaELTO OTHER</v>
          </cell>
        </row>
        <row r="44">
          <cell r="A44" t="str">
            <v>ArgentinaLEGAL</v>
          </cell>
        </row>
        <row r="45">
          <cell r="A45" t="str">
            <v>ArgentinaADVERTISING</v>
          </cell>
        </row>
        <row r="46">
          <cell r="A46" t="str">
            <v>ArgentinaSALES PROMOTIONS</v>
          </cell>
        </row>
        <row r="47">
          <cell r="A47" t="str">
            <v>ArgentinaDIRECT MAIL</v>
          </cell>
        </row>
        <row r="48">
          <cell r="A48" t="str">
            <v>ArgentinaDATA PROCESSING</v>
          </cell>
        </row>
        <row r="49">
          <cell r="A49" t="str">
            <v>ArgentinaCONSULTING</v>
          </cell>
        </row>
        <row r="50">
          <cell r="A50" t="str">
            <v>ArgentinaTEMP SERVICES</v>
          </cell>
        </row>
        <row r="51">
          <cell r="A51" t="str">
            <v>ArgentinaGDC CHARGES</v>
          </cell>
        </row>
        <row r="52">
          <cell r="A52" t="str">
            <v>ArgentinaTRAINING AND EDUCATION</v>
          </cell>
        </row>
        <row r="53">
          <cell r="A53" t="str">
            <v>ArgentinaOUTSIDE SERVICES  AND FEES</v>
          </cell>
        </row>
        <row r="54">
          <cell r="A54" t="str">
            <v>ArgentinaSTATE, FOREIGN, LOCAL TAXES</v>
          </cell>
        </row>
        <row r="55">
          <cell r="A55" t="str">
            <v>ArgentinaS/L TAX - INSURANCE PREMIUMS</v>
          </cell>
        </row>
        <row r="56">
          <cell r="A56" t="str">
            <v>ArgentinaSATELLITE LEASE EXPENSE</v>
          </cell>
        </row>
        <row r="57">
          <cell r="A57" t="str">
            <v>ArgentinaBUSINESS SHARE EXPENSE</v>
          </cell>
        </row>
        <row r="58">
          <cell r="A58" t="str">
            <v>ArgentinaINSURANCE AFFILIATE EXPENSE</v>
          </cell>
        </row>
        <row r="59">
          <cell r="A59" t="str">
            <v>ArgentinaOTHER FACILITY EXPENSE</v>
          </cell>
        </row>
        <row r="60">
          <cell r="A60" t="str">
            <v>ArgentinaGROSS OP &amp; ADMIN BUS SHARE</v>
          </cell>
        </row>
        <row r="61">
          <cell r="A61" t="str">
            <v>ArgentinaOTHER EXPENSE</v>
          </cell>
        </row>
        <row r="62">
          <cell r="A62" t="str">
            <v>ArgentinaGECC INTERCO EXPENSES EXCL GECIS</v>
          </cell>
        </row>
        <row r="63">
          <cell r="A63" t="str">
            <v>ArgentinaGECIS INTERCO CHARGES</v>
          </cell>
        </row>
        <row r="64">
          <cell r="A64" t="str">
            <v>ArgentinaLOSS ADJUSTED EXPENSE</v>
          </cell>
        </row>
        <row r="65">
          <cell r="A65" t="str">
            <v>ArgentinaALL OTHER EXPENSES</v>
          </cell>
        </row>
        <row r="66">
          <cell r="A66" t="str">
            <v>ArgentinaASSESSMENTS</v>
          </cell>
        </row>
        <row r="67">
          <cell r="A67" t="str">
            <v>ArgentinaFAS 91</v>
          </cell>
        </row>
        <row r="68">
          <cell r="A68" t="str">
            <v>ArgentinaGOODWILL AMORTIZATION</v>
          </cell>
        </row>
        <row r="69">
          <cell r="A69" t="str">
            <v>ArgentinaDEPRECIATION EXPENSE</v>
          </cell>
        </row>
        <row r="70">
          <cell r="A70" t="str">
            <v>ArgentinaELTO AMORTIZATION</v>
          </cell>
        </row>
        <row r="71">
          <cell r="A71" t="str">
            <v>ArgentinaINSURANCE LOSSES AND BENEFITS</v>
          </cell>
        </row>
        <row r="72">
          <cell r="A72" t="str">
            <v>ArgentinaWRITE OFFS</v>
          </cell>
        </row>
        <row r="73">
          <cell r="A73" t="str">
            <v>ArgentinaRESERVE CHANGE</v>
          </cell>
        </row>
        <row r="74">
          <cell r="A74" t="str">
            <v>ArgentinaMINORITY INTEREST</v>
          </cell>
        </row>
        <row r="75">
          <cell r="A75" t="str">
            <v>ArgentinaINCOME TAXES</v>
          </cell>
        </row>
        <row r="76">
          <cell r="A76" t="str">
            <v>ArgentinaCUMULATIVE TRANSITION ADJUSTMENT</v>
          </cell>
        </row>
        <row r="77">
          <cell r="A77" t="str">
            <v>ArgentinaASIA PACIFIC NI DIVIDEND</v>
          </cell>
        </row>
        <row r="78">
          <cell r="A78" t="str">
            <v>ArgentinaNet Income</v>
          </cell>
        </row>
        <row r="79">
          <cell r="A79" t="str">
            <v>ArgentinaSubPart F</v>
          </cell>
        </row>
        <row r="80">
          <cell r="A80" t="str">
            <v>ArgentinaAssets</v>
          </cell>
        </row>
        <row r="81">
          <cell r="A81" t="str">
            <v>ArgentinaEnding Net Investment (ENI) incl Asia</v>
          </cell>
        </row>
        <row r="82">
          <cell r="A82" t="str">
            <v>ArgentinaANR YTD</v>
          </cell>
        </row>
        <row r="83">
          <cell r="A83" t="str">
            <v>ArgentinaASA YTD</v>
          </cell>
        </row>
        <row r="84">
          <cell r="A84" t="str">
            <v>ArgentinaANI YTD incl Asia - 5 pt</v>
          </cell>
        </row>
        <row r="85">
          <cell r="A85" t="str">
            <v>ArgentinaOff Balance Sheet Assets</v>
          </cell>
        </row>
        <row r="86">
          <cell r="A86" t="str">
            <v>ArgentinaJV Receivables</v>
          </cell>
        </row>
        <row r="87">
          <cell r="A87" t="str">
            <v>Argentina30+ DELINQUENCY $</v>
          </cell>
        </row>
        <row r="88">
          <cell r="A88" t="str">
            <v>Argentina90+ DELINQUENCY $</v>
          </cell>
        </row>
        <row r="89">
          <cell r="A89" t="str">
            <v>ArgentinaTemporary Staff</v>
          </cell>
        </row>
        <row r="90">
          <cell r="A90" t="str">
            <v>ArgentinaContractors</v>
          </cell>
        </row>
        <row r="91">
          <cell r="A91" t="str">
            <v>ArgentinaOutsourced to LCC</v>
          </cell>
        </row>
        <row r="92">
          <cell r="A92" t="str">
            <v>ArgentinaTotal Headcount</v>
          </cell>
        </row>
        <row r="93">
          <cell r="A93" t="str">
            <v>ArgentinaTotal Workforce</v>
          </cell>
        </row>
        <row r="94">
          <cell r="A94" t="str">
            <v>ArgentinaTotal Earned Revenue</v>
          </cell>
        </row>
        <row r="95">
          <cell r="A95" t="str">
            <v>ArgentinaOrdinary Gains - PreTax</v>
          </cell>
        </row>
        <row r="96">
          <cell r="A96" t="str">
            <v>ArgentinaOrdinary Gains - AfterTax</v>
          </cell>
        </row>
        <row r="97">
          <cell r="A97" t="str">
            <v>ArgentinaTotal Volume</v>
          </cell>
        </row>
        <row r="98">
          <cell r="A98" t="str">
            <v>ArgentinaTOTAL # ACTIVE ACCOUNTS</v>
          </cell>
        </row>
        <row r="99">
          <cell r="A99" t="str">
            <v>AustraliaTOTAL FINANCING RECEIVABLES</v>
          </cell>
        </row>
        <row r="100">
          <cell r="A100" t="str">
            <v>AustraliaRECEIVABLE RESERVES</v>
          </cell>
        </row>
        <row r="101">
          <cell r="A101" t="str">
            <v>AustraliaCASH</v>
          </cell>
        </row>
        <row r="102">
          <cell r="A102" t="str">
            <v>AustraliaINVESTMENT SECURITIES</v>
          </cell>
        </row>
        <row r="103">
          <cell r="A103" t="str">
            <v>AustraliaINV IN NON CONSOL AFFILIATES</v>
          </cell>
        </row>
        <row r="104">
          <cell r="A104" t="str">
            <v>AustraliaINVESTMENT IN JOINT VENTURE</v>
          </cell>
        </row>
        <row r="105">
          <cell r="A105" t="str">
            <v>AustraliaALL OTHER RECEIVABLES (NON-FINANCING)</v>
          </cell>
        </row>
        <row r="106">
          <cell r="A106" t="str">
            <v>AustraliaELTO (NET)</v>
          </cell>
        </row>
        <row r="107">
          <cell r="A107" t="str">
            <v>AustraliaGOODWILL</v>
          </cell>
        </row>
        <row r="108">
          <cell r="A108" t="str">
            <v>AustraliaOTHER ASSETS</v>
          </cell>
        </row>
        <row r="109">
          <cell r="A109" t="str">
            <v>AustraliaACCOUNTS PAYABLE</v>
          </cell>
        </row>
        <row r="110">
          <cell r="A110" t="str">
            <v>AustraliaDEFERRED INCOME TAXES</v>
          </cell>
        </row>
        <row r="111">
          <cell r="A111" t="str">
            <v>AustraliaWRITE-OFF (MEMO)</v>
          </cell>
        </row>
        <row r="112">
          <cell r="A112" t="str">
            <v>AustraliaINSURANCE RESERVES AND ANNUITY BENEFITS</v>
          </cell>
        </row>
        <row r="113">
          <cell r="A113" t="str">
            <v>AustraliaALL OTHER NON DEBT LIABILITIES</v>
          </cell>
        </row>
        <row r="114">
          <cell r="A114" t="str">
            <v>AustraliaMINORITY INTEREST (BS)</v>
          </cell>
        </row>
        <row r="115">
          <cell r="A115" t="str">
            <v>AustraliaASIA PACIFIC ENI DIVIDEND</v>
          </cell>
        </row>
        <row r="116">
          <cell r="A116" t="str">
            <v>AustraliaFINANCING INCOME</v>
          </cell>
        </row>
        <row r="117">
          <cell r="A117" t="str">
            <v>AustraliaINSURANCE PREMIUM INCOME</v>
          </cell>
        </row>
        <row r="118">
          <cell r="A118" t="str">
            <v>AustraliaINSURANCE INCOME (COMMISSIONS)</v>
          </cell>
        </row>
        <row r="119">
          <cell r="A119" t="str">
            <v>AustraliaSUNDRY INCOME</v>
          </cell>
        </row>
        <row r="120">
          <cell r="A120" t="str">
            <v>AustraliaINTEREST EXPENSE</v>
          </cell>
        </row>
        <row r="121">
          <cell r="A121" t="str">
            <v>AustraliaINTEREST EXPENSE REDUCTIONS / BUS SHARING</v>
          </cell>
        </row>
        <row r="122">
          <cell r="A122" t="str">
            <v>AustraliaALLOCATED COST OF PREFERRED EQUITY</v>
          </cell>
        </row>
        <row r="123">
          <cell r="A123" t="str">
            <v>AustraliaSALARIES &amp; BENEFITS</v>
          </cell>
        </row>
        <row r="124">
          <cell r="A124" t="str">
            <v>AustraliaLOSSES ON OTHER ASSETS</v>
          </cell>
        </row>
        <row r="125">
          <cell r="A125" t="str">
            <v>AustraliaCOST OF GOODS SOLD</v>
          </cell>
        </row>
        <row r="126">
          <cell r="A126" t="str">
            <v>AustraliaCOST OF GOODS SOLD - DISTRIBUTION</v>
          </cell>
        </row>
        <row r="127">
          <cell r="A127" t="str">
            <v>AustraliaPOSTAGE</v>
          </cell>
        </row>
        <row r="128">
          <cell r="A128" t="str">
            <v>AustraliaTELEPHONE</v>
          </cell>
        </row>
        <row r="129">
          <cell r="A129" t="str">
            <v>AustraliaCUSTOMER SERVICE / COLLECTIONS</v>
          </cell>
        </row>
        <row r="130">
          <cell r="A130" t="str">
            <v>AustraliaSTATIONARY - OFFICE SUPPLIES</v>
          </cell>
        </row>
        <row r="131">
          <cell r="A131" t="str">
            <v>AustraliaT&amp;L</v>
          </cell>
        </row>
        <row r="132">
          <cell r="A132" t="str">
            <v>AustraliaRENTAL - BLDG/FACILITIES</v>
          </cell>
        </row>
        <row r="133">
          <cell r="A133" t="str">
            <v>AustraliaRENTAL - FURNITURE/EQUIP</v>
          </cell>
        </row>
        <row r="134">
          <cell r="A134" t="str">
            <v>AustraliaRENTAL - COMPUTERS</v>
          </cell>
        </row>
        <row r="135">
          <cell r="A135" t="str">
            <v>AustraliaLEASE IN - LEASE OUT</v>
          </cell>
        </row>
        <row r="136">
          <cell r="A136" t="str">
            <v>AustraliaFURNITURE / EQUIPMENT / COMPUTER EXP</v>
          </cell>
        </row>
        <row r="137">
          <cell r="A137" t="str">
            <v>AustraliaSOFTWARE EXPENSE</v>
          </cell>
        </row>
        <row r="138">
          <cell r="A138" t="str">
            <v>AustraliaAMORTIZATION OF INTANGIBLES</v>
          </cell>
        </row>
        <row r="139">
          <cell r="A139" t="str">
            <v>AustraliaELTO MAINTENANCE</v>
          </cell>
        </row>
        <row r="140">
          <cell r="A140" t="str">
            <v>AustraliaELTO OTHER</v>
          </cell>
        </row>
        <row r="141">
          <cell r="A141" t="str">
            <v>AustraliaLEGAL</v>
          </cell>
        </row>
        <row r="142">
          <cell r="A142" t="str">
            <v>AustraliaADVERTISING</v>
          </cell>
        </row>
        <row r="143">
          <cell r="A143" t="str">
            <v>AustraliaSALES PROMOTIONS</v>
          </cell>
        </row>
        <row r="144">
          <cell r="A144" t="str">
            <v>AustraliaDIRECT MAIL</v>
          </cell>
        </row>
        <row r="145">
          <cell r="A145" t="str">
            <v>AustraliaDATA PROCESSING</v>
          </cell>
        </row>
        <row r="146">
          <cell r="A146" t="str">
            <v>AustraliaCONSULTING</v>
          </cell>
        </row>
        <row r="147">
          <cell r="A147" t="str">
            <v>AustraliaTEMP SERVICES</v>
          </cell>
        </row>
        <row r="148">
          <cell r="A148" t="str">
            <v>AustraliaGDC CHARGES</v>
          </cell>
        </row>
        <row r="149">
          <cell r="A149" t="str">
            <v>AustraliaTRAINING AND EDUCATION</v>
          </cell>
        </row>
        <row r="150">
          <cell r="A150" t="str">
            <v>AustraliaOUTSIDE SERVICES  AND FEES</v>
          </cell>
        </row>
        <row r="151">
          <cell r="A151" t="str">
            <v>AustraliaSTATE, FOREIGN, LOCAL TAXES</v>
          </cell>
        </row>
        <row r="152">
          <cell r="A152" t="str">
            <v>AustraliaS/L TAX - INSURANCE PREMIUMS</v>
          </cell>
        </row>
        <row r="153">
          <cell r="A153" t="str">
            <v>AustraliaSATELLITE LEASE EXPENSE</v>
          </cell>
        </row>
        <row r="154">
          <cell r="A154" t="str">
            <v>AustraliaBUSINESS SHARE EXPENSE</v>
          </cell>
        </row>
        <row r="155">
          <cell r="A155" t="str">
            <v>AustraliaINSURANCE AFFILIATE EXPENSE</v>
          </cell>
        </row>
        <row r="156">
          <cell r="A156" t="str">
            <v>AustraliaOTHER FACILITY EXPENSE</v>
          </cell>
        </row>
        <row r="157">
          <cell r="A157" t="str">
            <v>AustraliaGROSS OP &amp; ADMIN BUS SHARE</v>
          </cell>
        </row>
        <row r="158">
          <cell r="A158" t="str">
            <v>AustraliaOTHER EXPENSE</v>
          </cell>
        </row>
        <row r="159">
          <cell r="A159" t="str">
            <v>AustraliaGECC INTERCO EXPENSES EXCL GECIS</v>
          </cell>
        </row>
        <row r="160">
          <cell r="A160" t="str">
            <v>AustraliaGECIS INTERCO CHARGES</v>
          </cell>
        </row>
        <row r="161">
          <cell r="A161" t="str">
            <v>AustraliaLOSS ADJUSTED EXPENSE</v>
          </cell>
        </row>
        <row r="162">
          <cell r="A162" t="str">
            <v>AustraliaALL OTHER EXPENSES</v>
          </cell>
        </row>
        <row r="163">
          <cell r="A163" t="str">
            <v>AustraliaASSESSMENTS</v>
          </cell>
        </row>
        <row r="164">
          <cell r="A164" t="str">
            <v>AustraliaFAS 91</v>
          </cell>
        </row>
        <row r="165">
          <cell r="A165" t="str">
            <v>AustraliaGOODWILL AMORTIZATION</v>
          </cell>
        </row>
        <row r="166">
          <cell r="A166" t="str">
            <v>AustraliaDEPRECIATION EXPENSE</v>
          </cell>
        </row>
        <row r="167">
          <cell r="A167" t="str">
            <v>AustraliaELTO AMORTIZATION</v>
          </cell>
        </row>
        <row r="168">
          <cell r="A168" t="str">
            <v>AustraliaINSURANCE LOSSES AND BENEFITS</v>
          </cell>
        </row>
        <row r="169">
          <cell r="A169" t="str">
            <v>AustraliaWRITE OFFS</v>
          </cell>
        </row>
        <row r="170">
          <cell r="A170" t="str">
            <v>AustraliaRESERVE CHANGE</v>
          </cell>
        </row>
        <row r="171">
          <cell r="A171" t="str">
            <v>AustraliaMINORITY INTEREST</v>
          </cell>
        </row>
        <row r="172">
          <cell r="A172" t="str">
            <v>AustraliaINCOME TAXES</v>
          </cell>
        </row>
        <row r="173">
          <cell r="A173" t="str">
            <v>AustraliaCUMULATIVE TRANSITION ADJUSTMENT</v>
          </cell>
        </row>
        <row r="174">
          <cell r="A174" t="str">
            <v>AustraliaASIA PACIFIC NI DIVIDEND</v>
          </cell>
        </row>
        <row r="175">
          <cell r="A175" t="str">
            <v>AustraliaNet Income</v>
          </cell>
        </row>
        <row r="176">
          <cell r="A176" t="str">
            <v>AustraliaSubPart F</v>
          </cell>
        </row>
        <row r="177">
          <cell r="A177" t="str">
            <v>AustraliaAssets</v>
          </cell>
        </row>
        <row r="178">
          <cell r="A178" t="str">
            <v>AustraliaEnding Net Investment (ENI) incl Asia</v>
          </cell>
        </row>
        <row r="179">
          <cell r="A179" t="str">
            <v>AustraliaANR YTD</v>
          </cell>
        </row>
        <row r="180">
          <cell r="A180" t="str">
            <v>AustraliaASA YTD</v>
          </cell>
        </row>
        <row r="181">
          <cell r="A181" t="str">
            <v>AustraliaANI YTD incl Asia - 5 pt</v>
          </cell>
        </row>
        <row r="182">
          <cell r="A182" t="str">
            <v>AustraliaOff Balance Sheet Assets</v>
          </cell>
        </row>
        <row r="183">
          <cell r="A183" t="str">
            <v>AustraliaJV Receivables</v>
          </cell>
        </row>
        <row r="184">
          <cell r="A184" t="str">
            <v>Australia30+ DELINQUENCY $</v>
          </cell>
        </row>
        <row r="185">
          <cell r="A185" t="str">
            <v>Australia90+ DELINQUENCY $</v>
          </cell>
        </row>
        <row r="186">
          <cell r="A186" t="str">
            <v>AustraliaTemporary Staff</v>
          </cell>
        </row>
        <row r="187">
          <cell r="A187" t="str">
            <v>AustraliaContractors</v>
          </cell>
        </row>
        <row r="188">
          <cell r="A188" t="str">
            <v>AustraliaOutsourced to LCC</v>
          </cell>
        </row>
        <row r="189">
          <cell r="A189" t="str">
            <v>AustraliaTotal Headcount</v>
          </cell>
        </row>
        <row r="190">
          <cell r="A190" t="str">
            <v>AustraliaTotal Workforce</v>
          </cell>
        </row>
        <row r="191">
          <cell r="A191" t="str">
            <v>AustraliaTotal Earned Revenue</v>
          </cell>
        </row>
        <row r="192">
          <cell r="A192" t="str">
            <v>AustraliaOrdinary Gains - PreTax</v>
          </cell>
        </row>
        <row r="193">
          <cell r="A193" t="str">
            <v>AustraliaOrdinary Gains - AfterTax</v>
          </cell>
        </row>
        <row r="194">
          <cell r="A194" t="str">
            <v>AustraliaTotal Volume</v>
          </cell>
        </row>
        <row r="195">
          <cell r="A195" t="str">
            <v>AustraliaTOTAL # ACTIVE ACCOUNTS</v>
          </cell>
        </row>
        <row r="196">
          <cell r="A196" t="str">
            <v>AustriaTOTAL FINANCING RECEIVABLES</v>
          </cell>
        </row>
        <row r="197">
          <cell r="A197" t="str">
            <v>AustriaRECEIVABLE RESERVES</v>
          </cell>
        </row>
        <row r="198">
          <cell r="A198" t="str">
            <v>AustriaCASH</v>
          </cell>
        </row>
        <row r="199">
          <cell r="A199" t="str">
            <v>AustriaINVESTMENT SECURITIES</v>
          </cell>
        </row>
        <row r="200">
          <cell r="A200" t="str">
            <v>AustriaINV IN NON CONSOL AFFILIATES</v>
          </cell>
        </row>
        <row r="201">
          <cell r="A201" t="str">
            <v>AustriaINVESTMENT IN JOINT VENTURE</v>
          </cell>
        </row>
        <row r="202">
          <cell r="A202" t="str">
            <v>AustriaALL OTHER RECEIVABLES (NON-FINANCING)</v>
          </cell>
        </row>
        <row r="203">
          <cell r="A203" t="str">
            <v>AustriaELTO (NET)</v>
          </cell>
        </row>
        <row r="204">
          <cell r="A204" t="str">
            <v>AustriaGOODWILL</v>
          </cell>
        </row>
        <row r="205">
          <cell r="A205" t="str">
            <v>AustriaOTHER ASSETS</v>
          </cell>
        </row>
        <row r="206">
          <cell r="A206" t="str">
            <v>AustriaACCOUNTS PAYABLE</v>
          </cell>
        </row>
        <row r="207">
          <cell r="A207" t="str">
            <v>AustriaDEFERRED INCOME TAXES</v>
          </cell>
        </row>
        <row r="208">
          <cell r="A208" t="str">
            <v>AustriaWRITE-OFF (MEMO)</v>
          </cell>
        </row>
        <row r="209">
          <cell r="A209" t="str">
            <v>AustriaINSURANCE RESERVES AND ANNUITY BENEFITS</v>
          </cell>
        </row>
        <row r="210">
          <cell r="A210" t="str">
            <v>AustriaALL OTHER NON DEBT LIABILITIES</v>
          </cell>
        </row>
        <row r="211">
          <cell r="A211" t="str">
            <v>AustriaMINORITY INTEREST (BS)</v>
          </cell>
        </row>
        <row r="212">
          <cell r="A212" t="str">
            <v>AustriaASIA PACIFIC ENI DIVIDEND</v>
          </cell>
        </row>
        <row r="213">
          <cell r="A213" t="str">
            <v>AustriaFINANCING INCOME</v>
          </cell>
        </row>
        <row r="214">
          <cell r="A214" t="str">
            <v>AustriaINSURANCE PREMIUM INCOME</v>
          </cell>
        </row>
        <row r="215">
          <cell r="A215" t="str">
            <v>AustriaINSURANCE INCOME (COMMISSIONS)</v>
          </cell>
        </row>
        <row r="216">
          <cell r="A216" t="str">
            <v>AustriaSUNDRY INCOME</v>
          </cell>
        </row>
        <row r="217">
          <cell r="A217" t="str">
            <v>AustriaINTEREST EXPENSE</v>
          </cell>
        </row>
        <row r="218">
          <cell r="A218" t="str">
            <v>AustriaINTEREST EXPENSE REDUCTIONS / BUS SHARING</v>
          </cell>
        </row>
        <row r="219">
          <cell r="A219" t="str">
            <v>AustriaALLOCATED COST OF PREFERRED EQUITY</v>
          </cell>
        </row>
        <row r="220">
          <cell r="A220" t="str">
            <v>AustriaSALARIES &amp; BENEFITS</v>
          </cell>
        </row>
        <row r="221">
          <cell r="A221" t="str">
            <v>AustriaLOSSES ON OTHER ASSETS</v>
          </cell>
        </row>
        <row r="222">
          <cell r="A222" t="str">
            <v>AustriaCOST OF GOODS SOLD</v>
          </cell>
        </row>
        <row r="223">
          <cell r="A223" t="str">
            <v>AustriaCOST OF GOODS SOLD - DISTRIBUTION</v>
          </cell>
        </row>
        <row r="224">
          <cell r="A224" t="str">
            <v>AustriaPOSTAGE</v>
          </cell>
        </row>
        <row r="225">
          <cell r="A225" t="str">
            <v>AustriaTELEPHONE</v>
          </cell>
        </row>
        <row r="226">
          <cell r="A226" t="str">
            <v>AustriaCUSTOMER SERVICE / COLLECTIONS</v>
          </cell>
        </row>
        <row r="227">
          <cell r="A227" t="str">
            <v>AustriaSTATIONARY - OFFICE SUPPLIES</v>
          </cell>
        </row>
        <row r="228">
          <cell r="A228" t="str">
            <v>AustriaT&amp;L</v>
          </cell>
        </row>
        <row r="229">
          <cell r="A229" t="str">
            <v>AustriaRENTAL - BLDG/FACILITIES</v>
          </cell>
        </row>
        <row r="230">
          <cell r="A230" t="str">
            <v>AustriaRENTAL - FURNITURE/EQUIP</v>
          </cell>
        </row>
        <row r="231">
          <cell r="A231" t="str">
            <v>AustriaRENTAL - COMPUTERS</v>
          </cell>
        </row>
        <row r="232">
          <cell r="A232" t="str">
            <v>AustriaLEASE IN - LEASE OUT</v>
          </cell>
        </row>
        <row r="233">
          <cell r="A233" t="str">
            <v>AustriaFURNITURE / EQUIPMENT / COMPUTER EXP</v>
          </cell>
        </row>
        <row r="234">
          <cell r="A234" t="str">
            <v>AustriaSOFTWARE EXPENSE</v>
          </cell>
        </row>
        <row r="235">
          <cell r="A235" t="str">
            <v>AustriaAMORTIZATION OF INTANGIBLES</v>
          </cell>
        </row>
        <row r="236">
          <cell r="A236" t="str">
            <v>AustriaELTO MAINTENANCE</v>
          </cell>
        </row>
        <row r="237">
          <cell r="A237" t="str">
            <v>AustriaELTO OTHER</v>
          </cell>
        </row>
        <row r="238">
          <cell r="A238" t="str">
            <v>AustriaLEGAL</v>
          </cell>
        </row>
        <row r="239">
          <cell r="A239" t="str">
            <v>AustriaADVERTISING</v>
          </cell>
        </row>
        <row r="240">
          <cell r="A240" t="str">
            <v>AustriaSALES PROMOTIONS</v>
          </cell>
        </row>
        <row r="241">
          <cell r="A241" t="str">
            <v>AustriaDIRECT MAIL</v>
          </cell>
        </row>
        <row r="242">
          <cell r="A242" t="str">
            <v>AustriaDATA PROCESSING</v>
          </cell>
        </row>
        <row r="243">
          <cell r="A243" t="str">
            <v>AustriaCONSULTING</v>
          </cell>
        </row>
        <row r="244">
          <cell r="A244" t="str">
            <v>AustriaTEMP SERVICES</v>
          </cell>
        </row>
        <row r="245">
          <cell r="A245" t="str">
            <v>AustriaGDC CHARGES</v>
          </cell>
        </row>
        <row r="246">
          <cell r="A246" t="str">
            <v>AustriaTRAINING AND EDUCATION</v>
          </cell>
        </row>
        <row r="247">
          <cell r="A247" t="str">
            <v>AustriaOUTSIDE SERVICES  AND FEES</v>
          </cell>
        </row>
        <row r="248">
          <cell r="A248" t="str">
            <v>AustriaSTATE, FOREIGN, LOCAL TAXES</v>
          </cell>
        </row>
        <row r="249">
          <cell r="A249" t="str">
            <v>AustriaS/L TAX - INSURANCE PREMIUMS</v>
          </cell>
        </row>
        <row r="250">
          <cell r="A250" t="str">
            <v>AustriaSATELLITE LEASE EXPENSE</v>
          </cell>
        </row>
        <row r="251">
          <cell r="A251" t="str">
            <v>AustriaBUSINESS SHARE EXPENSE</v>
          </cell>
        </row>
        <row r="252">
          <cell r="A252" t="str">
            <v>AustriaINSURANCE AFFILIATE EXPENSE</v>
          </cell>
        </row>
        <row r="253">
          <cell r="A253" t="str">
            <v>AustriaOTHER FACILITY EXPENSE</v>
          </cell>
        </row>
        <row r="254">
          <cell r="A254" t="str">
            <v>AustriaGROSS OP &amp; ADMIN BUS SHARE</v>
          </cell>
        </row>
        <row r="255">
          <cell r="A255" t="str">
            <v>AustriaOTHER EXPENSE</v>
          </cell>
        </row>
        <row r="256">
          <cell r="A256" t="str">
            <v>AustriaGECC INTERCO EXPENSES EXCL GECIS</v>
          </cell>
        </row>
        <row r="257">
          <cell r="A257" t="str">
            <v>AustriaGECIS INTERCO CHARGES</v>
          </cell>
        </row>
        <row r="258">
          <cell r="A258" t="str">
            <v>AustriaLOSS ADJUSTED EXPENSE</v>
          </cell>
        </row>
        <row r="259">
          <cell r="A259" t="str">
            <v>AustriaALL OTHER EXPENSES</v>
          </cell>
        </row>
        <row r="260">
          <cell r="A260" t="str">
            <v>AustriaASSESSMENTS</v>
          </cell>
        </row>
        <row r="261">
          <cell r="A261" t="str">
            <v>AustriaFAS 91</v>
          </cell>
        </row>
        <row r="262">
          <cell r="A262" t="str">
            <v>AustriaGOODWILL AMORTIZATION</v>
          </cell>
        </row>
        <row r="263">
          <cell r="A263" t="str">
            <v>AustriaDEPRECIATION EXPENSE</v>
          </cell>
        </row>
        <row r="264">
          <cell r="A264" t="str">
            <v>AustriaELTO AMORTIZATION</v>
          </cell>
        </row>
        <row r="265">
          <cell r="A265" t="str">
            <v>AustriaINSURANCE LOSSES AND BENEFITS</v>
          </cell>
        </row>
        <row r="266">
          <cell r="A266" t="str">
            <v>AustriaWRITE OFFS</v>
          </cell>
        </row>
        <row r="267">
          <cell r="A267" t="str">
            <v>AustriaRESERVE CHANGE</v>
          </cell>
        </row>
        <row r="268">
          <cell r="A268" t="str">
            <v>AustriaMINORITY INTEREST</v>
          </cell>
        </row>
        <row r="269">
          <cell r="A269" t="str">
            <v>AustriaINCOME TAXES</v>
          </cell>
        </row>
        <row r="270">
          <cell r="A270" t="str">
            <v>AustriaCUMULATIVE TRANSITION ADJUSTMENT</v>
          </cell>
        </row>
        <row r="271">
          <cell r="A271" t="str">
            <v>AustriaASIA PACIFIC NI DIVIDEND</v>
          </cell>
        </row>
        <row r="272">
          <cell r="A272" t="str">
            <v>AustriaNet Income</v>
          </cell>
        </row>
        <row r="273">
          <cell r="A273" t="str">
            <v>AustriaSubPart F</v>
          </cell>
        </row>
        <row r="274">
          <cell r="A274" t="str">
            <v>AustriaAssets</v>
          </cell>
        </row>
        <row r="275">
          <cell r="A275" t="str">
            <v>AustriaEnding Net Investment (ENI) incl Asia</v>
          </cell>
        </row>
        <row r="276">
          <cell r="A276" t="str">
            <v>AustriaANR YTD</v>
          </cell>
        </row>
        <row r="277">
          <cell r="A277" t="str">
            <v>AustriaASA YTD</v>
          </cell>
        </row>
        <row r="278">
          <cell r="A278" t="str">
            <v>AustriaANI YTD incl Asia - 5 pt</v>
          </cell>
        </row>
        <row r="279">
          <cell r="A279" t="str">
            <v>AustriaOff Balance Sheet Assets</v>
          </cell>
        </row>
        <row r="280">
          <cell r="A280" t="str">
            <v>AustriaJV Receivables</v>
          </cell>
        </row>
        <row r="281">
          <cell r="A281" t="str">
            <v>Austria30+ DELINQUENCY $</v>
          </cell>
        </row>
        <row r="282">
          <cell r="A282" t="str">
            <v>Austria90+ DELINQUENCY $</v>
          </cell>
        </row>
        <row r="283">
          <cell r="A283" t="str">
            <v>AustriaTemporary Staff</v>
          </cell>
        </row>
        <row r="284">
          <cell r="A284" t="str">
            <v>AustriaContractors</v>
          </cell>
        </row>
        <row r="285">
          <cell r="A285" t="str">
            <v>AustriaOutsourced to LCC</v>
          </cell>
        </row>
        <row r="286">
          <cell r="A286" t="str">
            <v>AustriaTotal Headcount</v>
          </cell>
        </row>
        <row r="287">
          <cell r="A287" t="str">
            <v>AustriaTotal Workforce</v>
          </cell>
        </row>
        <row r="288">
          <cell r="A288" t="str">
            <v>AustriaTotal Earned Revenue</v>
          </cell>
        </row>
        <row r="289">
          <cell r="A289" t="str">
            <v>AustriaOrdinary Gains - PreTax</v>
          </cell>
        </row>
        <row r="290">
          <cell r="A290" t="str">
            <v>AustriaOrdinary Gains - AfterTax</v>
          </cell>
        </row>
        <row r="291">
          <cell r="A291" t="str">
            <v>AustriaTotal Volume</v>
          </cell>
        </row>
        <row r="292">
          <cell r="A292" t="str">
            <v>AustriaTOTAL # ACTIVE ACCOUNTS</v>
          </cell>
        </row>
        <row r="293">
          <cell r="A293" t="str">
            <v>Auto IrelandTOTAL FINANCING RECEIVABLES</v>
          </cell>
        </row>
        <row r="294">
          <cell r="A294" t="str">
            <v>Auto IrelandRECEIVABLE RESERVES</v>
          </cell>
        </row>
        <row r="295">
          <cell r="A295" t="str">
            <v>Auto IrelandCASH</v>
          </cell>
        </row>
        <row r="296">
          <cell r="A296" t="str">
            <v>Auto IrelandINVESTMENT SECURITIES</v>
          </cell>
        </row>
        <row r="297">
          <cell r="A297" t="str">
            <v>Auto IrelandINV IN NON CONSOL AFFILIATES</v>
          </cell>
        </row>
        <row r="298">
          <cell r="A298" t="str">
            <v>Auto IrelandINVESTMENT IN JOINT VENTURE</v>
          </cell>
        </row>
        <row r="299">
          <cell r="A299" t="str">
            <v>Auto IrelandALL OTHER RECEIVABLES (NON-FINANCING)</v>
          </cell>
        </row>
        <row r="300">
          <cell r="A300" t="str">
            <v>Auto IrelandELTO (NET)</v>
          </cell>
        </row>
        <row r="301">
          <cell r="A301" t="str">
            <v>Auto IrelandGOODWILL</v>
          </cell>
        </row>
        <row r="302">
          <cell r="A302" t="str">
            <v>Auto IrelandOTHER ASSETS</v>
          </cell>
        </row>
        <row r="303">
          <cell r="A303" t="str">
            <v>Auto IrelandACCOUNTS PAYABLE</v>
          </cell>
        </row>
        <row r="304">
          <cell r="A304" t="str">
            <v>Auto IrelandDEFERRED INCOME TAXES</v>
          </cell>
        </row>
        <row r="305">
          <cell r="A305" t="str">
            <v>Auto IrelandWRITE-OFF (MEMO)</v>
          </cell>
        </row>
        <row r="306">
          <cell r="A306" t="str">
            <v>Auto IrelandINSURANCE RESERVES AND ANNUITY BENEFITS</v>
          </cell>
        </row>
        <row r="307">
          <cell r="A307" t="str">
            <v>Auto IrelandALL OTHER NON DEBT LIABILITIES</v>
          </cell>
        </row>
        <row r="308">
          <cell r="A308" t="str">
            <v>Auto IrelandMINORITY INTEREST (BS)</v>
          </cell>
        </row>
        <row r="309">
          <cell r="A309" t="str">
            <v>Auto IrelandASIA PACIFIC ENI DIVIDEND</v>
          </cell>
        </row>
        <row r="310">
          <cell r="A310" t="str">
            <v>Auto IrelandFINANCING INCOME</v>
          </cell>
        </row>
        <row r="311">
          <cell r="A311" t="str">
            <v>Auto IrelandINSURANCE PREMIUM INCOME</v>
          </cell>
        </row>
        <row r="312">
          <cell r="A312" t="str">
            <v>Auto IrelandINSURANCE INCOME (COMMISSIONS)</v>
          </cell>
        </row>
        <row r="313">
          <cell r="A313" t="str">
            <v>Auto IrelandSUNDRY INCOME</v>
          </cell>
        </row>
        <row r="314">
          <cell r="A314" t="str">
            <v>Auto IrelandINTEREST EXPENSE</v>
          </cell>
        </row>
        <row r="315">
          <cell r="A315" t="str">
            <v>Auto IrelandINTEREST EXPENSE REDUCTIONS / BUS SHARING</v>
          </cell>
        </row>
        <row r="316">
          <cell r="A316" t="str">
            <v>Auto IrelandALLOCATED COST OF PREFERRED EQUITY</v>
          </cell>
        </row>
        <row r="317">
          <cell r="A317" t="str">
            <v>Auto IrelandSALARIES &amp; BENEFITS</v>
          </cell>
        </row>
        <row r="318">
          <cell r="A318" t="str">
            <v>Auto IrelandLOSSES ON OTHER ASSETS</v>
          </cell>
        </row>
        <row r="319">
          <cell r="A319" t="str">
            <v>Auto IrelandCOST OF GOODS SOLD</v>
          </cell>
        </row>
        <row r="320">
          <cell r="A320" t="str">
            <v>Auto IrelandCOST OF GOODS SOLD - DISTRIBUTION</v>
          </cell>
        </row>
        <row r="321">
          <cell r="A321" t="str">
            <v>Auto IrelandPOSTAGE</v>
          </cell>
        </row>
        <row r="322">
          <cell r="A322" t="str">
            <v>Auto IrelandTELEPHONE</v>
          </cell>
        </row>
        <row r="323">
          <cell r="A323" t="str">
            <v>Auto IrelandCUSTOMER SERVICE / COLLECTIONS</v>
          </cell>
        </row>
        <row r="324">
          <cell r="A324" t="str">
            <v>Auto IrelandSTATIONARY - OFFICE SUPPLIES</v>
          </cell>
        </row>
        <row r="325">
          <cell r="A325" t="str">
            <v>Auto IrelandT&amp;L</v>
          </cell>
        </row>
        <row r="326">
          <cell r="A326" t="str">
            <v>Auto IrelandRENTAL - BLDG/FACILITIES</v>
          </cell>
        </row>
        <row r="327">
          <cell r="A327" t="str">
            <v>Auto IrelandRENTAL - FURNITURE/EQUIP</v>
          </cell>
        </row>
        <row r="328">
          <cell r="A328" t="str">
            <v>Auto IrelandRENTAL - COMPUTERS</v>
          </cell>
        </row>
        <row r="329">
          <cell r="A329" t="str">
            <v>Auto IrelandLEASE IN - LEASE OUT</v>
          </cell>
        </row>
        <row r="330">
          <cell r="A330" t="str">
            <v>Auto IrelandFURNITURE / EQUIPMENT / COMPUTER EXP</v>
          </cell>
        </row>
        <row r="331">
          <cell r="A331" t="str">
            <v>Auto IrelandSOFTWARE EXPENSE</v>
          </cell>
        </row>
        <row r="332">
          <cell r="A332" t="str">
            <v>Auto IrelandAMORTIZATION OF INTANGIBLES</v>
          </cell>
        </row>
        <row r="333">
          <cell r="A333" t="str">
            <v>Auto IrelandELTO MAINTENANCE</v>
          </cell>
        </row>
        <row r="334">
          <cell r="A334" t="str">
            <v>Auto IrelandELTO OTHER</v>
          </cell>
        </row>
        <row r="335">
          <cell r="A335" t="str">
            <v>Auto IrelandLEGAL</v>
          </cell>
        </row>
        <row r="336">
          <cell r="A336" t="str">
            <v>Auto IrelandADVERTISING</v>
          </cell>
        </row>
        <row r="337">
          <cell r="A337" t="str">
            <v>Auto IrelandSALES PROMOTIONS</v>
          </cell>
        </row>
        <row r="338">
          <cell r="A338" t="str">
            <v>Auto IrelandDIRECT MAIL</v>
          </cell>
        </row>
        <row r="339">
          <cell r="A339" t="str">
            <v>Auto IrelandDATA PROCESSING</v>
          </cell>
        </row>
        <row r="340">
          <cell r="A340" t="str">
            <v>Auto IrelandCONSULTING</v>
          </cell>
        </row>
        <row r="341">
          <cell r="A341" t="str">
            <v>Auto IrelandTEMP SERVICES</v>
          </cell>
        </row>
        <row r="342">
          <cell r="A342" t="str">
            <v>Auto IrelandGDC CHARGES</v>
          </cell>
        </row>
        <row r="343">
          <cell r="A343" t="str">
            <v>Auto IrelandTRAINING AND EDUCATION</v>
          </cell>
        </row>
        <row r="344">
          <cell r="A344" t="str">
            <v>Auto IrelandOUTSIDE SERVICES  AND FEES</v>
          </cell>
        </row>
        <row r="345">
          <cell r="A345" t="str">
            <v>Auto IrelandSTATE, FOREIGN, LOCAL TAXES</v>
          </cell>
        </row>
        <row r="346">
          <cell r="A346" t="str">
            <v>Auto IrelandS/L TAX - INSURANCE PREMIUMS</v>
          </cell>
        </row>
        <row r="347">
          <cell r="A347" t="str">
            <v>Auto IrelandSATELLITE LEASE EXPENSE</v>
          </cell>
        </row>
        <row r="348">
          <cell r="A348" t="str">
            <v>Auto IrelandBUSINESS SHARE EXPENSE</v>
          </cell>
        </row>
        <row r="349">
          <cell r="A349" t="str">
            <v>Auto IrelandINSURANCE AFFILIATE EXPENSE</v>
          </cell>
        </row>
        <row r="350">
          <cell r="A350" t="str">
            <v>Auto IrelandOTHER FACILITY EXPENSE</v>
          </cell>
        </row>
        <row r="351">
          <cell r="A351" t="str">
            <v>Auto IrelandGROSS OP &amp; ADMIN BUS SHARE</v>
          </cell>
        </row>
        <row r="352">
          <cell r="A352" t="str">
            <v>Auto IrelandOTHER EXPENSE</v>
          </cell>
        </row>
        <row r="353">
          <cell r="A353" t="str">
            <v>Auto IrelandGECC INTERCO EXPENSES EXCL GECIS</v>
          </cell>
        </row>
        <row r="354">
          <cell r="A354" t="str">
            <v>Auto IrelandGECIS INTERCO CHARGES</v>
          </cell>
        </row>
        <row r="355">
          <cell r="A355" t="str">
            <v>Auto IrelandLOSS ADJUSTED EXPENSE</v>
          </cell>
        </row>
        <row r="356">
          <cell r="A356" t="str">
            <v>Auto IrelandALL OTHER EXPENSES</v>
          </cell>
        </row>
        <row r="357">
          <cell r="A357" t="str">
            <v>Auto IrelandASSESSMENTS</v>
          </cell>
        </row>
        <row r="358">
          <cell r="A358" t="str">
            <v>Auto IrelandFAS 91</v>
          </cell>
        </row>
        <row r="359">
          <cell r="A359" t="str">
            <v>Auto IrelandGOODWILL AMORTIZATION</v>
          </cell>
        </row>
        <row r="360">
          <cell r="A360" t="str">
            <v>Auto IrelandDEPRECIATION EXPENSE</v>
          </cell>
        </row>
        <row r="361">
          <cell r="A361" t="str">
            <v>Auto IrelandELTO AMORTIZATION</v>
          </cell>
        </row>
        <row r="362">
          <cell r="A362" t="str">
            <v>Auto IrelandINSURANCE LOSSES AND BENEFITS</v>
          </cell>
        </row>
        <row r="363">
          <cell r="A363" t="str">
            <v>Auto IrelandWRITE OFFS</v>
          </cell>
        </row>
        <row r="364">
          <cell r="A364" t="str">
            <v>Auto IrelandRESERVE CHANGE</v>
          </cell>
        </row>
        <row r="365">
          <cell r="A365" t="str">
            <v>Auto IrelandMINORITY INTEREST</v>
          </cell>
        </row>
        <row r="366">
          <cell r="A366" t="str">
            <v>Auto IrelandINCOME TAXES</v>
          </cell>
        </row>
        <row r="367">
          <cell r="A367" t="str">
            <v>Auto IrelandCUMULATIVE TRANSITION ADJUSTMENT</v>
          </cell>
        </row>
        <row r="368">
          <cell r="A368" t="str">
            <v>Auto IrelandASIA PACIFIC NI DIVIDEND</v>
          </cell>
        </row>
        <row r="369">
          <cell r="A369" t="str">
            <v>Auto IrelandNet Income</v>
          </cell>
        </row>
        <row r="370">
          <cell r="A370" t="str">
            <v>Auto IrelandSubPart F</v>
          </cell>
        </row>
        <row r="371">
          <cell r="A371" t="str">
            <v>Auto IrelandAssets</v>
          </cell>
        </row>
        <row r="372">
          <cell r="A372" t="str">
            <v>Auto IrelandEnding Net Investment (ENI) incl Asia</v>
          </cell>
        </row>
        <row r="373">
          <cell r="A373" t="str">
            <v>Auto IrelandANR YTD</v>
          </cell>
        </row>
        <row r="374">
          <cell r="A374" t="str">
            <v>Auto IrelandASA YTD</v>
          </cell>
        </row>
        <row r="375">
          <cell r="A375" t="str">
            <v>Auto IrelandANI YTD incl Asia - 5 pt</v>
          </cell>
        </row>
        <row r="376">
          <cell r="A376" t="str">
            <v>Auto IrelandOff Balance Sheet Assets</v>
          </cell>
        </row>
        <row r="377">
          <cell r="A377" t="str">
            <v>Auto IrelandJV Receivables</v>
          </cell>
        </row>
        <row r="378">
          <cell r="A378" t="str">
            <v>Auto Ireland30+ DELINQUENCY $</v>
          </cell>
        </row>
        <row r="379">
          <cell r="A379" t="str">
            <v>Auto Ireland90+ DELINQUENCY $</v>
          </cell>
        </row>
        <row r="380">
          <cell r="A380" t="str">
            <v>Auto IrelandTemporary Staff</v>
          </cell>
        </row>
        <row r="381">
          <cell r="A381" t="str">
            <v>Auto IrelandContractors</v>
          </cell>
        </row>
        <row r="382">
          <cell r="A382" t="str">
            <v>Auto IrelandOutsourced to LCC</v>
          </cell>
        </row>
        <row r="383">
          <cell r="A383" t="str">
            <v>Auto IrelandTotal Headcount</v>
          </cell>
        </row>
        <row r="384">
          <cell r="A384" t="str">
            <v>Auto IrelandTotal Workforce</v>
          </cell>
        </row>
        <row r="385">
          <cell r="A385" t="str">
            <v>Auto IrelandTotal Earned Revenue</v>
          </cell>
        </row>
        <row r="386">
          <cell r="A386" t="str">
            <v>Auto IrelandOrdinary Gains - PreTax</v>
          </cell>
        </row>
        <row r="387">
          <cell r="A387" t="str">
            <v>Auto IrelandOrdinary Gains - AfterTax</v>
          </cell>
        </row>
        <row r="388">
          <cell r="A388" t="str">
            <v>Auto IrelandTotal Volume</v>
          </cell>
        </row>
        <row r="389">
          <cell r="A389" t="str">
            <v>Auto IrelandTOTAL # ACTIVE ACCOUNTS</v>
          </cell>
        </row>
        <row r="390">
          <cell r="A390" t="str">
            <v>Auto ItalyTOTAL FINANCING RECEIVABLES</v>
          </cell>
        </row>
        <row r="391">
          <cell r="A391" t="str">
            <v>Auto ItalyRECEIVABLE RESERVES</v>
          </cell>
        </row>
        <row r="392">
          <cell r="A392" t="str">
            <v>Auto ItalyCASH</v>
          </cell>
        </row>
        <row r="393">
          <cell r="A393" t="str">
            <v>Auto ItalyINVESTMENT SECURITIES</v>
          </cell>
        </row>
        <row r="394">
          <cell r="A394" t="str">
            <v>Auto ItalyINV IN NON CONSOL AFFILIATES</v>
          </cell>
        </row>
        <row r="395">
          <cell r="A395" t="str">
            <v>Auto ItalyINVESTMENT IN JOINT VENTURE</v>
          </cell>
        </row>
        <row r="396">
          <cell r="A396" t="str">
            <v>Auto ItalyALL OTHER RECEIVABLES (NON-FINANCING)</v>
          </cell>
        </row>
        <row r="397">
          <cell r="A397" t="str">
            <v>Auto ItalyELTO (NET)</v>
          </cell>
        </row>
        <row r="398">
          <cell r="A398" t="str">
            <v>Auto ItalyGOODWILL</v>
          </cell>
        </row>
        <row r="399">
          <cell r="A399" t="str">
            <v>Auto ItalyOTHER ASSETS</v>
          </cell>
        </row>
        <row r="400">
          <cell r="A400" t="str">
            <v>Auto ItalyACCOUNTS PAYABLE</v>
          </cell>
        </row>
        <row r="401">
          <cell r="A401" t="str">
            <v>Auto ItalyDEFERRED INCOME TAXES</v>
          </cell>
        </row>
        <row r="402">
          <cell r="A402" t="str">
            <v>Auto ItalyWRITE-OFF (MEMO)</v>
          </cell>
        </row>
        <row r="403">
          <cell r="A403" t="str">
            <v>Auto ItalyINSURANCE RESERVES AND ANNUITY BENEFITS</v>
          </cell>
        </row>
        <row r="404">
          <cell r="A404" t="str">
            <v>Auto ItalyALL OTHER NON DEBT LIABILITIES</v>
          </cell>
        </row>
        <row r="405">
          <cell r="A405" t="str">
            <v>Auto ItalyMINORITY INTEREST (BS)</v>
          </cell>
        </row>
        <row r="406">
          <cell r="A406" t="str">
            <v>Auto ItalyASIA PACIFIC ENI DIVIDEND</v>
          </cell>
        </row>
        <row r="407">
          <cell r="A407" t="str">
            <v>Auto ItalyFINANCING INCOME</v>
          </cell>
        </row>
        <row r="408">
          <cell r="A408" t="str">
            <v>Auto ItalyINSURANCE PREMIUM INCOME</v>
          </cell>
        </row>
        <row r="409">
          <cell r="A409" t="str">
            <v>Auto ItalyINSURANCE INCOME (COMMISSIONS)</v>
          </cell>
        </row>
        <row r="410">
          <cell r="A410" t="str">
            <v>Auto ItalySUNDRY INCOME</v>
          </cell>
        </row>
        <row r="411">
          <cell r="A411" t="str">
            <v>Auto ItalyINTEREST EXPENSE</v>
          </cell>
        </row>
        <row r="412">
          <cell r="A412" t="str">
            <v>Auto ItalyINTEREST EXPENSE REDUCTIONS / BUS SHARING</v>
          </cell>
        </row>
        <row r="413">
          <cell r="A413" t="str">
            <v>Auto ItalyALLOCATED COST OF PREFERRED EQUITY</v>
          </cell>
        </row>
        <row r="414">
          <cell r="A414" t="str">
            <v>Auto ItalySALARIES &amp; BENEFITS</v>
          </cell>
        </row>
        <row r="415">
          <cell r="A415" t="str">
            <v>Auto ItalyLOSSES ON OTHER ASSETS</v>
          </cell>
        </row>
        <row r="416">
          <cell r="A416" t="str">
            <v>Auto ItalyCOST OF GOODS SOLD</v>
          </cell>
        </row>
        <row r="417">
          <cell r="A417" t="str">
            <v>Auto ItalyCOST OF GOODS SOLD - DISTRIBUTION</v>
          </cell>
        </row>
        <row r="418">
          <cell r="A418" t="str">
            <v>Auto ItalyPOSTAGE</v>
          </cell>
        </row>
        <row r="419">
          <cell r="A419" t="str">
            <v>Auto ItalyTELEPHONE</v>
          </cell>
        </row>
        <row r="420">
          <cell r="A420" t="str">
            <v>Auto ItalyCUSTOMER SERVICE / COLLECTIONS</v>
          </cell>
        </row>
        <row r="421">
          <cell r="A421" t="str">
            <v>Auto ItalySTATIONARY - OFFICE SUPPLIES</v>
          </cell>
        </row>
        <row r="422">
          <cell r="A422" t="str">
            <v>Auto ItalyT&amp;L</v>
          </cell>
        </row>
        <row r="423">
          <cell r="A423" t="str">
            <v>Auto ItalyRENTAL - BLDG/FACILITIES</v>
          </cell>
        </row>
        <row r="424">
          <cell r="A424" t="str">
            <v>Auto ItalyRENTAL - FURNITURE/EQUIP</v>
          </cell>
        </row>
        <row r="425">
          <cell r="A425" t="str">
            <v>Auto ItalyRENTAL - COMPUTERS</v>
          </cell>
        </row>
        <row r="426">
          <cell r="A426" t="str">
            <v>Auto ItalyLEASE IN - LEASE OUT</v>
          </cell>
        </row>
        <row r="427">
          <cell r="A427" t="str">
            <v>Auto ItalyFURNITURE / EQUIPMENT / COMPUTER EXP</v>
          </cell>
        </row>
        <row r="428">
          <cell r="A428" t="str">
            <v>Auto ItalySOFTWARE EXPENSE</v>
          </cell>
        </row>
        <row r="429">
          <cell r="A429" t="str">
            <v>Auto ItalyAMORTIZATION OF INTANGIBLES</v>
          </cell>
        </row>
        <row r="430">
          <cell r="A430" t="str">
            <v>Auto ItalyELTO MAINTENANCE</v>
          </cell>
        </row>
        <row r="431">
          <cell r="A431" t="str">
            <v>Auto ItalyELTO OTHER</v>
          </cell>
        </row>
        <row r="432">
          <cell r="A432" t="str">
            <v>Auto ItalyLEGAL</v>
          </cell>
        </row>
        <row r="433">
          <cell r="A433" t="str">
            <v>Auto ItalyADVERTISING</v>
          </cell>
        </row>
        <row r="434">
          <cell r="A434" t="str">
            <v>Auto ItalySALES PROMOTIONS</v>
          </cell>
        </row>
        <row r="435">
          <cell r="A435" t="str">
            <v>Auto ItalyDIRECT MAIL</v>
          </cell>
        </row>
        <row r="436">
          <cell r="A436" t="str">
            <v>Auto ItalyDATA PROCESSING</v>
          </cell>
        </row>
        <row r="437">
          <cell r="A437" t="str">
            <v>Auto ItalyCONSULTING</v>
          </cell>
        </row>
        <row r="438">
          <cell r="A438" t="str">
            <v>Auto ItalyTEMP SERVICES</v>
          </cell>
        </row>
        <row r="439">
          <cell r="A439" t="str">
            <v>Auto ItalyGDC CHARGES</v>
          </cell>
        </row>
        <row r="440">
          <cell r="A440" t="str">
            <v>Auto ItalyTRAINING AND EDUCATION</v>
          </cell>
        </row>
        <row r="441">
          <cell r="A441" t="str">
            <v>Auto ItalyOUTSIDE SERVICES  AND FEES</v>
          </cell>
        </row>
        <row r="442">
          <cell r="A442" t="str">
            <v>Auto ItalySTATE, FOREIGN, LOCAL TAXES</v>
          </cell>
        </row>
        <row r="443">
          <cell r="A443" t="str">
            <v>Auto ItalyS/L TAX - INSURANCE PREMIUMS</v>
          </cell>
        </row>
        <row r="444">
          <cell r="A444" t="str">
            <v>Auto ItalySATELLITE LEASE EXPENSE</v>
          </cell>
        </row>
        <row r="445">
          <cell r="A445" t="str">
            <v>Auto ItalyBUSINESS SHARE EXPENSE</v>
          </cell>
        </row>
        <row r="446">
          <cell r="A446" t="str">
            <v>Auto ItalyINSURANCE AFFILIATE EXPENSE</v>
          </cell>
        </row>
        <row r="447">
          <cell r="A447" t="str">
            <v>Auto ItalyOTHER FACILITY EXPENSE</v>
          </cell>
        </row>
        <row r="448">
          <cell r="A448" t="str">
            <v>Auto ItalyGROSS OP &amp; ADMIN BUS SHARE</v>
          </cell>
        </row>
        <row r="449">
          <cell r="A449" t="str">
            <v>Auto ItalyOTHER EXPENSE</v>
          </cell>
        </row>
        <row r="450">
          <cell r="A450" t="str">
            <v>Auto ItalyGECC INTERCO EXPENSES EXCL GECIS</v>
          </cell>
        </row>
        <row r="451">
          <cell r="A451" t="str">
            <v>Auto ItalyGECIS INTERCO CHARGES</v>
          </cell>
        </row>
        <row r="452">
          <cell r="A452" t="str">
            <v>Auto ItalyLOSS ADJUSTED EXPENSE</v>
          </cell>
        </row>
        <row r="453">
          <cell r="A453" t="str">
            <v>Auto ItalyALL OTHER EXPENSES</v>
          </cell>
        </row>
        <row r="454">
          <cell r="A454" t="str">
            <v>Auto ItalyASSESSMENTS</v>
          </cell>
        </row>
        <row r="455">
          <cell r="A455" t="str">
            <v>Auto ItalyFAS 91</v>
          </cell>
        </row>
        <row r="456">
          <cell r="A456" t="str">
            <v>Auto ItalyGOODWILL AMORTIZATION</v>
          </cell>
        </row>
        <row r="457">
          <cell r="A457" t="str">
            <v>Auto ItalyDEPRECIATION EXPENSE</v>
          </cell>
        </row>
        <row r="458">
          <cell r="A458" t="str">
            <v>Auto ItalyELTO AMORTIZATION</v>
          </cell>
        </row>
        <row r="459">
          <cell r="A459" t="str">
            <v>Auto ItalyINSURANCE LOSSES AND BENEFITS</v>
          </cell>
        </row>
        <row r="460">
          <cell r="A460" t="str">
            <v>Auto ItalyWRITE OFFS</v>
          </cell>
        </row>
        <row r="461">
          <cell r="A461" t="str">
            <v>Auto ItalyRESERVE CHANGE</v>
          </cell>
        </row>
        <row r="462">
          <cell r="A462" t="str">
            <v>Auto ItalyMINORITY INTEREST</v>
          </cell>
        </row>
        <row r="463">
          <cell r="A463" t="str">
            <v>Auto ItalyINCOME TAXES</v>
          </cell>
        </row>
        <row r="464">
          <cell r="A464" t="str">
            <v>Auto ItalyCUMULATIVE TRANSITION ADJUSTMENT</v>
          </cell>
        </row>
        <row r="465">
          <cell r="A465" t="str">
            <v>Auto ItalyASIA PACIFIC NI DIVIDEND</v>
          </cell>
        </row>
        <row r="466">
          <cell r="A466" t="str">
            <v>Auto ItalyNet Income</v>
          </cell>
        </row>
        <row r="467">
          <cell r="A467" t="str">
            <v>Auto ItalySubPart F</v>
          </cell>
        </row>
        <row r="468">
          <cell r="A468" t="str">
            <v>Auto ItalyAssets</v>
          </cell>
        </row>
        <row r="469">
          <cell r="A469" t="str">
            <v>Auto ItalyEnding Net Investment (ENI) incl Asia</v>
          </cell>
        </row>
        <row r="470">
          <cell r="A470" t="str">
            <v>Auto ItalyANR YTD</v>
          </cell>
        </row>
        <row r="471">
          <cell r="A471" t="str">
            <v>Auto ItalyASA YTD</v>
          </cell>
        </row>
        <row r="472">
          <cell r="A472" t="str">
            <v>Auto ItalyANI YTD incl Asia - 5 pt</v>
          </cell>
        </row>
        <row r="473">
          <cell r="A473" t="str">
            <v>Auto ItalyOff Balance Sheet Assets</v>
          </cell>
        </row>
        <row r="474">
          <cell r="A474" t="str">
            <v>Auto ItalyJV Receivables</v>
          </cell>
        </row>
        <row r="475">
          <cell r="A475" t="str">
            <v>Auto Italy30+ DELINQUENCY $</v>
          </cell>
        </row>
        <row r="476">
          <cell r="A476" t="str">
            <v>Auto Italy90+ DELINQUENCY $</v>
          </cell>
        </row>
        <row r="477">
          <cell r="A477" t="str">
            <v>Auto ItalyTemporary Staff</v>
          </cell>
        </row>
        <row r="478">
          <cell r="A478" t="str">
            <v>Auto ItalyContractors</v>
          </cell>
        </row>
        <row r="479">
          <cell r="A479" t="str">
            <v>Auto ItalyOutsourced to LCC</v>
          </cell>
        </row>
        <row r="480">
          <cell r="A480" t="str">
            <v>Auto ItalyTotal Headcount</v>
          </cell>
        </row>
        <row r="481">
          <cell r="A481" t="str">
            <v>Auto ItalyTotal Workforce</v>
          </cell>
        </row>
        <row r="482">
          <cell r="A482" t="str">
            <v>Auto ItalyTotal Earned Revenue</v>
          </cell>
        </row>
        <row r="483">
          <cell r="A483" t="str">
            <v>Auto ItalyOrdinary Gains - PreTax</v>
          </cell>
        </row>
        <row r="484">
          <cell r="A484" t="str">
            <v>Auto ItalyOrdinary Gains - AfterTax</v>
          </cell>
        </row>
        <row r="485">
          <cell r="A485" t="str">
            <v>Auto ItalyTotal Volume</v>
          </cell>
        </row>
        <row r="486">
          <cell r="A486" t="str">
            <v>Auto ItalyTOTAL # ACTIVE ACCOUNTS</v>
          </cell>
        </row>
        <row r="487">
          <cell r="A487" t="str">
            <v>Auto PortugalTOTAL FINANCING RECEIVABLES</v>
          </cell>
        </row>
        <row r="488">
          <cell r="A488" t="str">
            <v>Auto PortugalRECEIVABLE RESERVES</v>
          </cell>
        </row>
        <row r="489">
          <cell r="A489" t="str">
            <v>Auto PortugalCASH</v>
          </cell>
        </row>
        <row r="490">
          <cell r="A490" t="str">
            <v>Auto PortugalINVESTMENT SECURITIES</v>
          </cell>
        </row>
        <row r="491">
          <cell r="A491" t="str">
            <v>Auto PortugalINV IN NON CONSOL AFFILIATES</v>
          </cell>
        </row>
        <row r="492">
          <cell r="A492" t="str">
            <v>Auto PortugalINVESTMENT IN JOINT VENTURE</v>
          </cell>
        </row>
        <row r="493">
          <cell r="A493" t="str">
            <v>Auto PortugalALL OTHER RECEIVABLES (NON-FINANCING)</v>
          </cell>
        </row>
        <row r="494">
          <cell r="A494" t="str">
            <v>Auto PortugalELTO (NET)</v>
          </cell>
        </row>
        <row r="495">
          <cell r="A495" t="str">
            <v>Auto PortugalGOODWILL</v>
          </cell>
        </row>
        <row r="496">
          <cell r="A496" t="str">
            <v>Auto PortugalOTHER ASSETS</v>
          </cell>
        </row>
        <row r="497">
          <cell r="A497" t="str">
            <v>Auto PortugalACCOUNTS PAYABLE</v>
          </cell>
        </row>
        <row r="498">
          <cell r="A498" t="str">
            <v>Auto PortugalDEFERRED INCOME TAXES</v>
          </cell>
        </row>
        <row r="499">
          <cell r="A499" t="str">
            <v>Auto PortugalWRITE-OFF (MEMO)</v>
          </cell>
        </row>
        <row r="500">
          <cell r="A500" t="str">
            <v>Auto PortugalINSURANCE RESERVES AND ANNUITY BENEFITS</v>
          </cell>
        </row>
        <row r="501">
          <cell r="A501" t="str">
            <v>Auto PortugalALL OTHER NON DEBT LIABILITIES</v>
          </cell>
        </row>
        <row r="502">
          <cell r="A502" t="str">
            <v>Auto PortugalMINORITY INTEREST (BS)</v>
          </cell>
        </row>
        <row r="503">
          <cell r="A503" t="str">
            <v>Auto PortugalASIA PACIFIC ENI DIVIDEND</v>
          </cell>
        </row>
        <row r="504">
          <cell r="A504" t="str">
            <v>Auto PortugalFINANCING INCOME</v>
          </cell>
        </row>
        <row r="505">
          <cell r="A505" t="str">
            <v>Auto PortugalINSURANCE PREMIUM INCOME</v>
          </cell>
        </row>
        <row r="506">
          <cell r="A506" t="str">
            <v>Auto PortugalINSURANCE INCOME (COMMISSIONS)</v>
          </cell>
        </row>
        <row r="507">
          <cell r="A507" t="str">
            <v>Auto PortugalSUNDRY INCOME</v>
          </cell>
        </row>
        <row r="508">
          <cell r="A508" t="str">
            <v>Auto PortugalINTEREST EXPENSE</v>
          </cell>
        </row>
        <row r="509">
          <cell r="A509" t="str">
            <v>Auto PortugalINTEREST EXPENSE REDUCTIONS / BUS SHARING</v>
          </cell>
        </row>
        <row r="510">
          <cell r="A510" t="str">
            <v>Auto PortugalALLOCATED COST OF PREFERRED EQUITY</v>
          </cell>
        </row>
        <row r="511">
          <cell r="A511" t="str">
            <v>Auto PortugalSALARIES &amp; BENEFITS</v>
          </cell>
        </row>
        <row r="512">
          <cell r="A512" t="str">
            <v>Auto PortugalLOSSES ON OTHER ASSETS</v>
          </cell>
        </row>
        <row r="513">
          <cell r="A513" t="str">
            <v>Auto PortugalCOST OF GOODS SOLD</v>
          </cell>
        </row>
        <row r="514">
          <cell r="A514" t="str">
            <v>Auto PortugalCOST OF GOODS SOLD - DISTRIBUTION</v>
          </cell>
        </row>
        <row r="515">
          <cell r="A515" t="str">
            <v>Auto PortugalPOSTAGE</v>
          </cell>
        </row>
        <row r="516">
          <cell r="A516" t="str">
            <v>Auto PortugalTELEPHONE</v>
          </cell>
        </row>
        <row r="517">
          <cell r="A517" t="str">
            <v>Auto PortugalCUSTOMER SERVICE / COLLECTIONS</v>
          </cell>
        </row>
        <row r="518">
          <cell r="A518" t="str">
            <v>Auto PortugalSTATIONARY - OFFICE SUPPLIES</v>
          </cell>
        </row>
        <row r="519">
          <cell r="A519" t="str">
            <v>Auto PortugalT&amp;L</v>
          </cell>
        </row>
        <row r="520">
          <cell r="A520" t="str">
            <v>Auto PortugalRENTAL - BLDG/FACILITIES</v>
          </cell>
        </row>
        <row r="521">
          <cell r="A521" t="str">
            <v>Auto PortugalRENTAL - FURNITURE/EQUIP</v>
          </cell>
        </row>
        <row r="522">
          <cell r="A522" t="str">
            <v>Auto PortugalRENTAL - COMPUTERS</v>
          </cell>
        </row>
        <row r="523">
          <cell r="A523" t="str">
            <v>Auto PortugalLEASE IN - LEASE OUT</v>
          </cell>
        </row>
        <row r="524">
          <cell r="A524" t="str">
            <v>Auto PortugalFURNITURE / EQUIPMENT / COMPUTER EXP</v>
          </cell>
        </row>
        <row r="525">
          <cell r="A525" t="str">
            <v>Auto PortugalSOFTWARE EXPENSE</v>
          </cell>
        </row>
        <row r="526">
          <cell r="A526" t="str">
            <v>Auto PortugalAMORTIZATION OF INTANGIBLES</v>
          </cell>
        </row>
        <row r="527">
          <cell r="A527" t="str">
            <v>Auto PortugalELTO MAINTENANCE</v>
          </cell>
        </row>
        <row r="528">
          <cell r="A528" t="str">
            <v>Auto PortugalELTO OTHER</v>
          </cell>
        </row>
        <row r="529">
          <cell r="A529" t="str">
            <v>Auto PortugalLEGAL</v>
          </cell>
        </row>
        <row r="530">
          <cell r="A530" t="str">
            <v>Auto PortugalADVERTISING</v>
          </cell>
        </row>
        <row r="531">
          <cell r="A531" t="str">
            <v>Auto PortugalSALES PROMOTIONS</v>
          </cell>
        </row>
        <row r="532">
          <cell r="A532" t="str">
            <v>Auto PortugalDIRECT MAIL</v>
          </cell>
        </row>
        <row r="533">
          <cell r="A533" t="str">
            <v>Auto PortugalDATA PROCESSING</v>
          </cell>
        </row>
        <row r="534">
          <cell r="A534" t="str">
            <v>Auto PortugalCONSULTING</v>
          </cell>
        </row>
        <row r="535">
          <cell r="A535" t="str">
            <v>Auto PortugalTEMP SERVICES</v>
          </cell>
        </row>
        <row r="536">
          <cell r="A536" t="str">
            <v>Auto PortugalGDC CHARGES</v>
          </cell>
        </row>
        <row r="537">
          <cell r="A537" t="str">
            <v>Auto PortugalTRAINING AND EDUCATION</v>
          </cell>
        </row>
        <row r="538">
          <cell r="A538" t="str">
            <v>Auto PortugalOUTSIDE SERVICES  AND FEES</v>
          </cell>
        </row>
        <row r="539">
          <cell r="A539" t="str">
            <v>Auto PortugalSTATE, FOREIGN, LOCAL TAXES</v>
          </cell>
        </row>
        <row r="540">
          <cell r="A540" t="str">
            <v>Auto PortugalS/L TAX - INSURANCE PREMIUMS</v>
          </cell>
        </row>
        <row r="541">
          <cell r="A541" t="str">
            <v>Auto PortugalSATELLITE LEASE EXPENSE</v>
          </cell>
        </row>
        <row r="542">
          <cell r="A542" t="str">
            <v>Auto PortugalBUSINESS SHARE EXPENSE</v>
          </cell>
        </row>
        <row r="543">
          <cell r="A543" t="str">
            <v>Auto PortugalINSURANCE AFFILIATE EXPENSE</v>
          </cell>
        </row>
        <row r="544">
          <cell r="A544" t="str">
            <v>Auto PortugalOTHER FACILITY EXPENSE</v>
          </cell>
        </row>
        <row r="545">
          <cell r="A545" t="str">
            <v>Auto PortugalGROSS OP &amp; ADMIN BUS SHARE</v>
          </cell>
        </row>
        <row r="546">
          <cell r="A546" t="str">
            <v>Auto PortugalOTHER EXPENSE</v>
          </cell>
        </row>
        <row r="547">
          <cell r="A547" t="str">
            <v>Auto PortugalGECC INTERCO EXPENSES EXCL GECIS</v>
          </cell>
        </row>
        <row r="548">
          <cell r="A548" t="str">
            <v>Auto PortugalGECIS INTERCO CHARGES</v>
          </cell>
        </row>
        <row r="549">
          <cell r="A549" t="str">
            <v>Auto PortugalLOSS ADJUSTED EXPENSE</v>
          </cell>
        </row>
        <row r="550">
          <cell r="A550" t="str">
            <v>Auto PortugalALL OTHER EXPENSES</v>
          </cell>
        </row>
        <row r="551">
          <cell r="A551" t="str">
            <v>Auto PortugalASSESSMENTS</v>
          </cell>
        </row>
        <row r="552">
          <cell r="A552" t="str">
            <v>Auto PortugalFAS 91</v>
          </cell>
        </row>
        <row r="553">
          <cell r="A553" t="str">
            <v>Auto PortugalGOODWILL AMORTIZATION</v>
          </cell>
        </row>
        <row r="554">
          <cell r="A554" t="str">
            <v>Auto PortugalDEPRECIATION EXPENSE</v>
          </cell>
        </row>
        <row r="555">
          <cell r="A555" t="str">
            <v>Auto PortugalELTO AMORTIZATION</v>
          </cell>
        </row>
        <row r="556">
          <cell r="A556" t="str">
            <v>Auto PortugalINSURANCE LOSSES AND BENEFITS</v>
          </cell>
        </row>
        <row r="557">
          <cell r="A557" t="str">
            <v>Auto PortugalWRITE OFFS</v>
          </cell>
        </row>
        <row r="558">
          <cell r="A558" t="str">
            <v>Auto PortugalRESERVE CHANGE</v>
          </cell>
        </row>
        <row r="559">
          <cell r="A559" t="str">
            <v>Auto PortugalMINORITY INTEREST</v>
          </cell>
        </row>
        <row r="560">
          <cell r="A560" t="str">
            <v>Auto PortugalINCOME TAXES</v>
          </cell>
        </row>
        <row r="561">
          <cell r="A561" t="str">
            <v>Auto PortugalCUMULATIVE TRANSITION ADJUSTMENT</v>
          </cell>
        </row>
        <row r="562">
          <cell r="A562" t="str">
            <v>Auto PortugalASIA PACIFIC NI DIVIDEND</v>
          </cell>
        </row>
        <row r="563">
          <cell r="A563" t="str">
            <v>Auto PortugalNet Income</v>
          </cell>
        </row>
        <row r="564">
          <cell r="A564" t="str">
            <v>Auto PortugalSubPart F</v>
          </cell>
        </row>
        <row r="565">
          <cell r="A565" t="str">
            <v>Auto PortugalAssets</v>
          </cell>
        </row>
        <row r="566">
          <cell r="A566" t="str">
            <v>Auto PortugalEnding Net Investment (ENI) incl Asia</v>
          </cell>
        </row>
        <row r="567">
          <cell r="A567" t="str">
            <v>Auto PortugalANR YTD</v>
          </cell>
        </row>
        <row r="568">
          <cell r="A568" t="str">
            <v>Auto PortugalASA YTD</v>
          </cell>
        </row>
        <row r="569">
          <cell r="A569" t="str">
            <v>Auto PortugalANI YTD incl Asia - 5 pt</v>
          </cell>
        </row>
        <row r="570">
          <cell r="A570" t="str">
            <v>Auto PortugalOff Balance Sheet Assets</v>
          </cell>
        </row>
        <row r="571">
          <cell r="A571" t="str">
            <v>Auto PortugalJV Receivables</v>
          </cell>
        </row>
        <row r="572">
          <cell r="A572" t="str">
            <v>Auto Portugal30+ DELINQUENCY $</v>
          </cell>
        </row>
        <row r="573">
          <cell r="A573" t="str">
            <v>Auto Portugal90+ DELINQUENCY $</v>
          </cell>
        </row>
        <row r="574">
          <cell r="A574" t="str">
            <v>Auto PortugalTemporary Staff</v>
          </cell>
        </row>
        <row r="575">
          <cell r="A575" t="str">
            <v>Auto PortugalContractors</v>
          </cell>
        </row>
        <row r="576">
          <cell r="A576" t="str">
            <v>Auto PortugalOutsourced to LCC</v>
          </cell>
        </row>
        <row r="577">
          <cell r="A577" t="str">
            <v>Auto PortugalTotal Headcount</v>
          </cell>
        </row>
        <row r="578">
          <cell r="A578" t="str">
            <v>Auto PortugalTotal Workforce</v>
          </cell>
        </row>
        <row r="579">
          <cell r="A579" t="str">
            <v>Auto PortugalTotal Earned Revenue</v>
          </cell>
        </row>
        <row r="580">
          <cell r="A580" t="str">
            <v>Auto PortugalOrdinary Gains - PreTax</v>
          </cell>
        </row>
        <row r="581">
          <cell r="A581" t="str">
            <v>Auto PortugalOrdinary Gains - AfterTax</v>
          </cell>
        </row>
        <row r="582">
          <cell r="A582" t="str">
            <v>Auto PortugalTotal Volume</v>
          </cell>
        </row>
        <row r="583">
          <cell r="A583" t="str">
            <v>Auto PortugalTOTAL # ACTIVE ACCOUNTS</v>
          </cell>
        </row>
        <row r="584">
          <cell r="A584" t="str">
            <v>Auto SpainTOTAL FINANCING RECEIVABLES</v>
          </cell>
        </row>
        <row r="585">
          <cell r="A585" t="str">
            <v>Auto SpainRECEIVABLE RESERVES</v>
          </cell>
        </row>
        <row r="586">
          <cell r="A586" t="str">
            <v>Auto SpainCASH</v>
          </cell>
        </row>
        <row r="587">
          <cell r="A587" t="str">
            <v>Auto SpainINVESTMENT SECURITIES</v>
          </cell>
        </row>
        <row r="588">
          <cell r="A588" t="str">
            <v>Auto SpainINV IN NON CONSOL AFFILIATES</v>
          </cell>
        </row>
        <row r="589">
          <cell r="A589" t="str">
            <v>Auto SpainINVESTMENT IN JOINT VENTURE</v>
          </cell>
        </row>
        <row r="590">
          <cell r="A590" t="str">
            <v>Auto SpainALL OTHER RECEIVABLES (NON-FINANCING)</v>
          </cell>
        </row>
        <row r="591">
          <cell r="A591" t="str">
            <v>Auto SpainELTO (NET)</v>
          </cell>
        </row>
        <row r="592">
          <cell r="A592" t="str">
            <v>Auto SpainGOODWILL</v>
          </cell>
        </row>
        <row r="593">
          <cell r="A593" t="str">
            <v>Auto SpainOTHER ASSETS</v>
          </cell>
        </row>
        <row r="594">
          <cell r="A594" t="str">
            <v>Auto SpainACCOUNTS PAYABLE</v>
          </cell>
        </row>
        <row r="595">
          <cell r="A595" t="str">
            <v>Auto SpainDEFERRED INCOME TAXES</v>
          </cell>
        </row>
        <row r="596">
          <cell r="A596" t="str">
            <v>Auto SpainWRITE-OFF (MEMO)</v>
          </cell>
        </row>
        <row r="597">
          <cell r="A597" t="str">
            <v>Auto SpainINSURANCE RESERVES AND ANNUITY BENEFITS</v>
          </cell>
        </row>
        <row r="598">
          <cell r="A598" t="str">
            <v>Auto SpainALL OTHER NON DEBT LIABILITIES</v>
          </cell>
        </row>
        <row r="599">
          <cell r="A599" t="str">
            <v>Auto SpainMINORITY INTEREST (BS)</v>
          </cell>
        </row>
        <row r="600">
          <cell r="A600" t="str">
            <v>Auto SpainASIA PACIFIC ENI DIVIDEND</v>
          </cell>
        </row>
        <row r="601">
          <cell r="A601" t="str">
            <v>Auto SpainFINANCING INCOME</v>
          </cell>
        </row>
        <row r="602">
          <cell r="A602" t="str">
            <v>Auto SpainINSURANCE PREMIUM INCOME</v>
          </cell>
        </row>
        <row r="603">
          <cell r="A603" t="str">
            <v>Auto SpainINSURANCE INCOME (COMMISSIONS)</v>
          </cell>
        </row>
        <row r="604">
          <cell r="A604" t="str">
            <v>Auto SpainSUNDRY INCOME</v>
          </cell>
        </row>
        <row r="605">
          <cell r="A605" t="str">
            <v>Auto SpainINTEREST EXPENSE</v>
          </cell>
        </row>
        <row r="606">
          <cell r="A606" t="str">
            <v>Auto SpainINTEREST EXPENSE REDUCTIONS / BUS SHARING</v>
          </cell>
        </row>
        <row r="607">
          <cell r="A607" t="str">
            <v>Auto SpainALLOCATED COST OF PREFERRED EQUITY</v>
          </cell>
        </row>
        <row r="608">
          <cell r="A608" t="str">
            <v>Auto SpainSALARIES &amp; BENEFITS</v>
          </cell>
        </row>
        <row r="609">
          <cell r="A609" t="str">
            <v>Auto SpainLOSSES ON OTHER ASSETS</v>
          </cell>
        </row>
        <row r="610">
          <cell r="A610" t="str">
            <v>Auto SpainCOST OF GOODS SOLD</v>
          </cell>
        </row>
        <row r="611">
          <cell r="A611" t="str">
            <v>Auto SpainCOST OF GOODS SOLD - DISTRIBUTION</v>
          </cell>
        </row>
        <row r="612">
          <cell r="A612" t="str">
            <v>Auto SpainPOSTAGE</v>
          </cell>
        </row>
        <row r="613">
          <cell r="A613" t="str">
            <v>Auto SpainTELEPHONE</v>
          </cell>
        </row>
        <row r="614">
          <cell r="A614" t="str">
            <v>Auto SpainCUSTOMER SERVICE / COLLECTIONS</v>
          </cell>
        </row>
        <row r="615">
          <cell r="A615" t="str">
            <v>Auto SpainSTATIONARY - OFFICE SUPPLIES</v>
          </cell>
        </row>
        <row r="616">
          <cell r="A616" t="str">
            <v>Auto SpainT&amp;L</v>
          </cell>
        </row>
        <row r="617">
          <cell r="A617" t="str">
            <v>Auto SpainRENTAL - BLDG/FACILITIES</v>
          </cell>
        </row>
        <row r="618">
          <cell r="A618" t="str">
            <v>Auto SpainRENTAL - FURNITURE/EQUIP</v>
          </cell>
        </row>
        <row r="619">
          <cell r="A619" t="str">
            <v>Auto SpainRENTAL - COMPUTERS</v>
          </cell>
        </row>
        <row r="620">
          <cell r="A620" t="str">
            <v>Auto SpainLEASE IN - LEASE OUT</v>
          </cell>
        </row>
        <row r="621">
          <cell r="A621" t="str">
            <v>Auto SpainFURNITURE / EQUIPMENT / COMPUTER EXP</v>
          </cell>
        </row>
        <row r="622">
          <cell r="A622" t="str">
            <v>Auto SpainSOFTWARE EXPENSE</v>
          </cell>
        </row>
        <row r="623">
          <cell r="A623" t="str">
            <v>Auto SpainAMORTIZATION OF INTANGIBLES</v>
          </cell>
        </row>
        <row r="624">
          <cell r="A624" t="str">
            <v>Auto SpainELTO MAINTENANCE</v>
          </cell>
        </row>
        <row r="625">
          <cell r="A625" t="str">
            <v>Auto SpainELTO OTHER</v>
          </cell>
        </row>
        <row r="626">
          <cell r="A626" t="str">
            <v>Auto SpainLEGAL</v>
          </cell>
        </row>
        <row r="627">
          <cell r="A627" t="str">
            <v>Auto SpainADVERTISING</v>
          </cell>
        </row>
        <row r="628">
          <cell r="A628" t="str">
            <v>Auto SpainSALES PROMOTIONS</v>
          </cell>
        </row>
        <row r="629">
          <cell r="A629" t="str">
            <v>Auto SpainDIRECT MAIL</v>
          </cell>
        </row>
        <row r="630">
          <cell r="A630" t="str">
            <v>Auto SpainDATA PROCESSING</v>
          </cell>
        </row>
        <row r="631">
          <cell r="A631" t="str">
            <v>Auto SpainCONSULTING</v>
          </cell>
        </row>
        <row r="632">
          <cell r="A632" t="str">
            <v>Auto SpainTEMP SERVICES</v>
          </cell>
        </row>
        <row r="633">
          <cell r="A633" t="str">
            <v>Auto SpainGDC CHARGES</v>
          </cell>
        </row>
        <row r="634">
          <cell r="A634" t="str">
            <v>Auto SpainTRAINING AND EDUCATION</v>
          </cell>
        </row>
        <row r="635">
          <cell r="A635" t="str">
            <v>Auto SpainOUTSIDE SERVICES  AND FEES</v>
          </cell>
        </row>
        <row r="636">
          <cell r="A636" t="str">
            <v>Auto SpainSTATE, FOREIGN, LOCAL TAXES</v>
          </cell>
        </row>
        <row r="637">
          <cell r="A637" t="str">
            <v>Auto SpainS/L TAX - INSURANCE PREMIUMS</v>
          </cell>
        </row>
        <row r="638">
          <cell r="A638" t="str">
            <v>Auto SpainSATELLITE LEASE EXPENSE</v>
          </cell>
        </row>
        <row r="639">
          <cell r="A639" t="str">
            <v>Auto SpainBUSINESS SHARE EXPENSE</v>
          </cell>
        </row>
        <row r="640">
          <cell r="A640" t="str">
            <v>Auto SpainINSURANCE AFFILIATE EXPENSE</v>
          </cell>
        </row>
        <row r="641">
          <cell r="A641" t="str">
            <v>Auto SpainOTHER FACILITY EXPENSE</v>
          </cell>
        </row>
        <row r="642">
          <cell r="A642" t="str">
            <v>Auto SpainGROSS OP &amp; ADMIN BUS SHARE</v>
          </cell>
        </row>
        <row r="643">
          <cell r="A643" t="str">
            <v>Auto SpainOTHER EXPENSE</v>
          </cell>
        </row>
        <row r="644">
          <cell r="A644" t="str">
            <v>Auto SpainGECC INTERCO EXPENSES EXCL GECIS</v>
          </cell>
        </row>
        <row r="645">
          <cell r="A645" t="str">
            <v>Auto SpainGECIS INTERCO CHARGES</v>
          </cell>
        </row>
        <row r="646">
          <cell r="A646" t="str">
            <v>Auto SpainLOSS ADJUSTED EXPENSE</v>
          </cell>
        </row>
        <row r="647">
          <cell r="A647" t="str">
            <v>Auto SpainALL OTHER EXPENSES</v>
          </cell>
        </row>
        <row r="648">
          <cell r="A648" t="str">
            <v>Auto SpainASSESSMENTS</v>
          </cell>
        </row>
        <row r="649">
          <cell r="A649" t="str">
            <v>Auto SpainFAS 91</v>
          </cell>
        </row>
        <row r="650">
          <cell r="A650" t="str">
            <v>Auto SpainGOODWILL AMORTIZATION</v>
          </cell>
        </row>
        <row r="651">
          <cell r="A651" t="str">
            <v>Auto SpainDEPRECIATION EXPENSE</v>
          </cell>
        </row>
        <row r="652">
          <cell r="A652" t="str">
            <v>Auto SpainELTO AMORTIZATION</v>
          </cell>
        </row>
        <row r="653">
          <cell r="A653" t="str">
            <v>Auto SpainINSURANCE LOSSES AND BENEFITS</v>
          </cell>
        </row>
        <row r="654">
          <cell r="A654" t="str">
            <v>Auto SpainWRITE OFFS</v>
          </cell>
        </row>
        <row r="655">
          <cell r="A655" t="str">
            <v>Auto SpainRESERVE CHANGE</v>
          </cell>
        </row>
        <row r="656">
          <cell r="A656" t="str">
            <v>Auto SpainMINORITY INTEREST</v>
          </cell>
        </row>
        <row r="657">
          <cell r="A657" t="str">
            <v>Auto SpainINCOME TAXES</v>
          </cell>
        </row>
        <row r="658">
          <cell r="A658" t="str">
            <v>Auto SpainCUMULATIVE TRANSITION ADJUSTMENT</v>
          </cell>
        </row>
        <row r="659">
          <cell r="A659" t="str">
            <v>Auto SpainASIA PACIFIC NI DIVIDEND</v>
          </cell>
        </row>
        <row r="660">
          <cell r="A660" t="str">
            <v>Auto SpainNet Income</v>
          </cell>
        </row>
        <row r="661">
          <cell r="A661" t="str">
            <v>Auto SpainSubPart F</v>
          </cell>
        </row>
        <row r="662">
          <cell r="A662" t="str">
            <v>Auto SpainAssets</v>
          </cell>
        </row>
        <row r="663">
          <cell r="A663" t="str">
            <v>Auto SpainEnding Net Investment (ENI) incl Asia</v>
          </cell>
        </row>
        <row r="664">
          <cell r="A664" t="str">
            <v>Auto SpainANR YTD</v>
          </cell>
        </row>
        <row r="665">
          <cell r="A665" t="str">
            <v>Auto SpainASA YTD</v>
          </cell>
        </row>
        <row r="666">
          <cell r="A666" t="str">
            <v>Auto SpainANI YTD incl Asia - 5 pt</v>
          </cell>
        </row>
        <row r="667">
          <cell r="A667" t="str">
            <v>Auto SpainOff Balance Sheet Assets</v>
          </cell>
        </row>
        <row r="668">
          <cell r="A668" t="str">
            <v>Auto SpainJV Receivables</v>
          </cell>
        </row>
        <row r="669">
          <cell r="A669" t="str">
            <v>Auto Spain30+ DELINQUENCY $</v>
          </cell>
        </row>
        <row r="670">
          <cell r="A670" t="str">
            <v>Auto Spain90+ DELINQUENCY $</v>
          </cell>
        </row>
        <row r="671">
          <cell r="A671" t="str">
            <v>Auto SpainTemporary Staff</v>
          </cell>
        </row>
        <row r="672">
          <cell r="A672" t="str">
            <v>Auto SpainContractors</v>
          </cell>
        </row>
        <row r="673">
          <cell r="A673" t="str">
            <v>Auto SpainOutsourced to LCC</v>
          </cell>
        </row>
        <row r="674">
          <cell r="A674" t="str">
            <v>Auto SpainTotal Headcount</v>
          </cell>
        </row>
        <row r="675">
          <cell r="A675" t="str">
            <v>Auto SpainTotal Workforce</v>
          </cell>
        </row>
        <row r="676">
          <cell r="A676" t="str">
            <v>Auto SpainTotal Earned Revenue</v>
          </cell>
        </row>
        <row r="677">
          <cell r="A677" t="str">
            <v>Auto SpainOrdinary Gains - PreTax</v>
          </cell>
        </row>
        <row r="678">
          <cell r="A678" t="str">
            <v>Auto SpainOrdinary Gains - AfterTax</v>
          </cell>
        </row>
        <row r="679">
          <cell r="A679" t="str">
            <v>Auto SpainTotal Volume</v>
          </cell>
        </row>
        <row r="680">
          <cell r="A680" t="str">
            <v>Auto SpainTOTAL # ACTIVE ACCOUNTS</v>
          </cell>
        </row>
        <row r="681">
          <cell r="A681" t="str">
            <v>Auto UKTOTAL FINANCING RECEIVABLES</v>
          </cell>
        </row>
        <row r="682">
          <cell r="A682" t="str">
            <v>Auto UKRECEIVABLE RESERVES</v>
          </cell>
        </row>
        <row r="683">
          <cell r="A683" t="str">
            <v>Auto UKCASH</v>
          </cell>
        </row>
        <row r="684">
          <cell r="A684" t="str">
            <v>Auto UKINVESTMENT SECURITIES</v>
          </cell>
        </row>
        <row r="685">
          <cell r="A685" t="str">
            <v>Auto UKINV IN NON CONSOL AFFILIATES</v>
          </cell>
        </row>
        <row r="686">
          <cell r="A686" t="str">
            <v>Auto UKINVESTMENT IN JOINT VENTURE</v>
          </cell>
        </row>
        <row r="687">
          <cell r="A687" t="str">
            <v>Auto UKALL OTHER RECEIVABLES (NON-FINANCING)</v>
          </cell>
        </row>
        <row r="688">
          <cell r="A688" t="str">
            <v>Auto UKELTO (NET)</v>
          </cell>
        </row>
        <row r="689">
          <cell r="A689" t="str">
            <v>Auto UKGOODWILL</v>
          </cell>
        </row>
        <row r="690">
          <cell r="A690" t="str">
            <v>Auto UKOTHER ASSETS</v>
          </cell>
        </row>
        <row r="691">
          <cell r="A691" t="str">
            <v>Auto UKACCOUNTS PAYABLE</v>
          </cell>
        </row>
        <row r="692">
          <cell r="A692" t="str">
            <v>Auto UKDEFERRED INCOME TAXES</v>
          </cell>
        </row>
        <row r="693">
          <cell r="A693" t="str">
            <v>Auto UKWRITE-OFF (MEMO)</v>
          </cell>
        </row>
        <row r="694">
          <cell r="A694" t="str">
            <v>Auto UKINSURANCE RESERVES AND ANNUITY BENEFITS</v>
          </cell>
        </row>
        <row r="695">
          <cell r="A695" t="str">
            <v>Auto UKALL OTHER NON DEBT LIABILITIES</v>
          </cell>
        </row>
        <row r="696">
          <cell r="A696" t="str">
            <v>Auto UKMINORITY INTEREST (BS)</v>
          </cell>
        </row>
        <row r="697">
          <cell r="A697" t="str">
            <v>Auto UKASIA PACIFIC ENI DIVIDEND</v>
          </cell>
        </row>
        <row r="698">
          <cell r="A698" t="str">
            <v>Auto UKFINANCING INCOME</v>
          </cell>
        </row>
        <row r="699">
          <cell r="A699" t="str">
            <v>Auto UKINSURANCE PREMIUM INCOME</v>
          </cell>
        </row>
        <row r="700">
          <cell r="A700" t="str">
            <v>Auto UKINSURANCE INCOME (COMMISSIONS)</v>
          </cell>
        </row>
        <row r="701">
          <cell r="A701" t="str">
            <v>Auto UKSUNDRY INCOME</v>
          </cell>
        </row>
        <row r="702">
          <cell r="A702" t="str">
            <v>Auto UKINTEREST EXPENSE</v>
          </cell>
        </row>
        <row r="703">
          <cell r="A703" t="str">
            <v>Auto UKINTEREST EXPENSE REDUCTIONS / BUS SHARING</v>
          </cell>
        </row>
        <row r="704">
          <cell r="A704" t="str">
            <v>Auto UKALLOCATED COST OF PREFERRED EQUITY</v>
          </cell>
        </row>
        <row r="705">
          <cell r="A705" t="str">
            <v>Auto UKSALARIES &amp; BENEFITS</v>
          </cell>
        </row>
        <row r="706">
          <cell r="A706" t="str">
            <v>Auto UKLOSSES ON OTHER ASSETS</v>
          </cell>
        </row>
        <row r="707">
          <cell r="A707" t="str">
            <v>Auto UKCOST OF GOODS SOLD</v>
          </cell>
        </row>
        <row r="708">
          <cell r="A708" t="str">
            <v>Auto UKCOST OF GOODS SOLD - DISTRIBUTION</v>
          </cell>
        </row>
        <row r="709">
          <cell r="A709" t="str">
            <v>Auto UKPOSTAGE</v>
          </cell>
        </row>
        <row r="710">
          <cell r="A710" t="str">
            <v>Auto UKTELEPHONE</v>
          </cell>
        </row>
        <row r="711">
          <cell r="A711" t="str">
            <v>Auto UKCUSTOMER SERVICE / COLLECTIONS</v>
          </cell>
        </row>
        <row r="712">
          <cell r="A712" t="str">
            <v>Auto UKSTATIONARY - OFFICE SUPPLIES</v>
          </cell>
        </row>
        <row r="713">
          <cell r="A713" t="str">
            <v>Auto UKT&amp;L</v>
          </cell>
        </row>
        <row r="714">
          <cell r="A714" t="str">
            <v>Auto UKRENTAL - BLDG/FACILITIES</v>
          </cell>
        </row>
        <row r="715">
          <cell r="A715" t="str">
            <v>Auto UKRENTAL - FURNITURE/EQUIP</v>
          </cell>
        </row>
        <row r="716">
          <cell r="A716" t="str">
            <v>Auto UKRENTAL - COMPUTERS</v>
          </cell>
        </row>
        <row r="717">
          <cell r="A717" t="str">
            <v>Auto UKLEASE IN - LEASE OUT</v>
          </cell>
        </row>
        <row r="718">
          <cell r="A718" t="str">
            <v>Auto UKFURNITURE / EQUIPMENT / COMPUTER EXP</v>
          </cell>
        </row>
        <row r="719">
          <cell r="A719" t="str">
            <v>Auto UKSOFTWARE EXPENSE</v>
          </cell>
        </row>
        <row r="720">
          <cell r="A720" t="str">
            <v>Auto UKAMORTIZATION OF INTANGIBLES</v>
          </cell>
        </row>
        <row r="721">
          <cell r="A721" t="str">
            <v>Auto UKELTO MAINTENANCE</v>
          </cell>
        </row>
        <row r="722">
          <cell r="A722" t="str">
            <v>Auto UKELTO OTHER</v>
          </cell>
        </row>
        <row r="723">
          <cell r="A723" t="str">
            <v>Auto UKLEGAL</v>
          </cell>
        </row>
        <row r="724">
          <cell r="A724" t="str">
            <v>Auto UKADVERTISING</v>
          </cell>
        </row>
        <row r="725">
          <cell r="A725" t="str">
            <v>Auto UKSALES PROMOTIONS</v>
          </cell>
        </row>
        <row r="726">
          <cell r="A726" t="str">
            <v>Auto UKDIRECT MAIL</v>
          </cell>
        </row>
        <row r="727">
          <cell r="A727" t="str">
            <v>Auto UKDATA PROCESSING</v>
          </cell>
        </row>
        <row r="728">
          <cell r="A728" t="str">
            <v>Auto UKCONSULTING</v>
          </cell>
        </row>
        <row r="729">
          <cell r="A729" t="str">
            <v>Auto UKTEMP SERVICES</v>
          </cell>
        </row>
        <row r="730">
          <cell r="A730" t="str">
            <v>Auto UKGDC CHARGES</v>
          </cell>
        </row>
        <row r="731">
          <cell r="A731" t="str">
            <v>Auto UKTRAINING AND EDUCATION</v>
          </cell>
        </row>
        <row r="732">
          <cell r="A732" t="str">
            <v>Auto UKOUTSIDE SERVICES  AND FEES</v>
          </cell>
        </row>
        <row r="733">
          <cell r="A733" t="str">
            <v>Auto UKSTATE, FOREIGN, LOCAL TAXES</v>
          </cell>
        </row>
        <row r="734">
          <cell r="A734" t="str">
            <v>Auto UKS/L TAX - INSURANCE PREMIUMS</v>
          </cell>
        </row>
        <row r="735">
          <cell r="A735" t="str">
            <v>Auto UKSATELLITE LEASE EXPENSE</v>
          </cell>
        </row>
        <row r="736">
          <cell r="A736" t="str">
            <v>Auto UKBUSINESS SHARE EXPENSE</v>
          </cell>
        </row>
        <row r="737">
          <cell r="A737" t="str">
            <v>Auto UKINSURANCE AFFILIATE EXPENSE</v>
          </cell>
        </row>
        <row r="738">
          <cell r="A738" t="str">
            <v>Auto UKOTHER FACILITY EXPENSE</v>
          </cell>
        </row>
        <row r="739">
          <cell r="A739" t="str">
            <v>Auto UKGROSS OP &amp; ADMIN BUS SHARE</v>
          </cell>
        </row>
        <row r="740">
          <cell r="A740" t="str">
            <v>Auto UKOTHER EXPENSE</v>
          </cell>
        </row>
        <row r="741">
          <cell r="A741" t="str">
            <v>Auto UKGECC INTERCO EXPENSES EXCL GECIS</v>
          </cell>
        </row>
        <row r="742">
          <cell r="A742" t="str">
            <v>Auto UKGECIS INTERCO CHARGES</v>
          </cell>
        </row>
        <row r="743">
          <cell r="A743" t="str">
            <v>Auto UKLOSS ADJUSTED EXPENSE</v>
          </cell>
        </row>
        <row r="744">
          <cell r="A744" t="str">
            <v>Auto UKALL OTHER EXPENSES</v>
          </cell>
        </row>
        <row r="745">
          <cell r="A745" t="str">
            <v>Auto UKASSESSMENTS</v>
          </cell>
        </row>
        <row r="746">
          <cell r="A746" t="str">
            <v>Auto UKFAS 91</v>
          </cell>
        </row>
        <row r="747">
          <cell r="A747" t="str">
            <v>Auto UKGOODWILL AMORTIZATION</v>
          </cell>
        </row>
        <row r="748">
          <cell r="A748" t="str">
            <v>Auto UKDEPRECIATION EXPENSE</v>
          </cell>
        </row>
        <row r="749">
          <cell r="A749" t="str">
            <v>Auto UKELTO AMORTIZATION</v>
          </cell>
        </row>
        <row r="750">
          <cell r="A750" t="str">
            <v>Auto UKINSURANCE LOSSES AND BENEFITS</v>
          </cell>
        </row>
        <row r="751">
          <cell r="A751" t="str">
            <v>Auto UKWRITE OFFS</v>
          </cell>
        </row>
        <row r="752">
          <cell r="A752" t="str">
            <v>Auto UKRESERVE CHANGE</v>
          </cell>
        </row>
        <row r="753">
          <cell r="A753" t="str">
            <v>Auto UKMINORITY INTEREST</v>
          </cell>
        </row>
        <row r="754">
          <cell r="A754" t="str">
            <v>Auto UKINCOME TAXES</v>
          </cell>
        </row>
        <row r="755">
          <cell r="A755" t="str">
            <v>Auto UKCUMULATIVE TRANSITION ADJUSTMENT</v>
          </cell>
        </row>
        <row r="756">
          <cell r="A756" t="str">
            <v>Auto UKASIA PACIFIC NI DIVIDEND</v>
          </cell>
        </row>
        <row r="757">
          <cell r="A757" t="str">
            <v>Auto UKNet Income</v>
          </cell>
        </row>
        <row r="758">
          <cell r="A758" t="str">
            <v>Auto UKSubPart F</v>
          </cell>
        </row>
        <row r="759">
          <cell r="A759" t="str">
            <v>Auto UKAssets</v>
          </cell>
        </row>
        <row r="760">
          <cell r="A760" t="str">
            <v>Auto UKEnding Net Investment (ENI) incl Asia</v>
          </cell>
        </row>
        <row r="761">
          <cell r="A761" t="str">
            <v>Auto UKANR YTD</v>
          </cell>
        </row>
        <row r="762">
          <cell r="A762" t="str">
            <v>Auto UKASA YTD</v>
          </cell>
        </row>
        <row r="763">
          <cell r="A763" t="str">
            <v>Auto UKANI YTD incl Asia - 5 pt</v>
          </cell>
        </row>
        <row r="764">
          <cell r="A764" t="str">
            <v>Auto UKOff Balance Sheet Assets</v>
          </cell>
        </row>
        <row r="765">
          <cell r="A765" t="str">
            <v>Auto UKJV Receivables</v>
          </cell>
        </row>
        <row r="766">
          <cell r="A766" t="str">
            <v>Auto UK30+ DELINQUENCY $</v>
          </cell>
        </row>
        <row r="767">
          <cell r="A767" t="str">
            <v>Auto UK90+ DELINQUENCY $</v>
          </cell>
        </row>
        <row r="768">
          <cell r="A768" t="str">
            <v>Auto UKTemporary Staff</v>
          </cell>
        </row>
        <row r="769">
          <cell r="A769" t="str">
            <v>Auto UKContractors</v>
          </cell>
        </row>
        <row r="770">
          <cell r="A770" t="str">
            <v>Auto UKOutsourced to LCC</v>
          </cell>
        </row>
        <row r="771">
          <cell r="A771" t="str">
            <v>Auto UKTotal Headcount</v>
          </cell>
        </row>
        <row r="772">
          <cell r="A772" t="str">
            <v>Auto UKTotal Workforce</v>
          </cell>
        </row>
        <row r="773">
          <cell r="A773" t="str">
            <v>Auto UKTotal Earned Revenue</v>
          </cell>
        </row>
        <row r="774">
          <cell r="A774" t="str">
            <v>Auto UKOrdinary Gains - PreTax</v>
          </cell>
        </row>
        <row r="775">
          <cell r="A775" t="str">
            <v>Auto UKOrdinary Gains - AfterTax</v>
          </cell>
        </row>
        <row r="776">
          <cell r="A776" t="str">
            <v>Auto UKTotal Volume</v>
          </cell>
        </row>
        <row r="777">
          <cell r="A777" t="str">
            <v>Auto UKTOTAL # ACTIVE ACCOUNTS</v>
          </cell>
        </row>
        <row r="778">
          <cell r="A778" t="str">
            <v>BrazilTOTAL FINANCING RECEIVABLES</v>
          </cell>
        </row>
        <row r="779">
          <cell r="A779" t="str">
            <v>BrazilRECEIVABLE RESERVES</v>
          </cell>
        </row>
        <row r="780">
          <cell r="A780" t="str">
            <v>BrazilCASH</v>
          </cell>
        </row>
        <row r="781">
          <cell r="A781" t="str">
            <v>BrazilINVESTMENT SECURITIES</v>
          </cell>
        </row>
        <row r="782">
          <cell r="A782" t="str">
            <v>BrazilINV IN NON CONSOL AFFILIATES</v>
          </cell>
        </row>
        <row r="783">
          <cell r="A783" t="str">
            <v>BrazilINVESTMENT IN JOINT VENTURE</v>
          </cell>
        </row>
        <row r="784">
          <cell r="A784" t="str">
            <v>BrazilALL OTHER RECEIVABLES (NON-FINANCING)</v>
          </cell>
        </row>
        <row r="785">
          <cell r="A785" t="str">
            <v>BrazilELTO (NET)</v>
          </cell>
        </row>
        <row r="786">
          <cell r="A786" t="str">
            <v>BrazilGOODWILL</v>
          </cell>
        </row>
        <row r="787">
          <cell r="A787" t="str">
            <v>BrazilOTHER ASSETS</v>
          </cell>
        </row>
        <row r="788">
          <cell r="A788" t="str">
            <v>BrazilACCOUNTS PAYABLE</v>
          </cell>
        </row>
        <row r="789">
          <cell r="A789" t="str">
            <v>BrazilDEFERRED INCOME TAXES</v>
          </cell>
        </row>
        <row r="790">
          <cell r="A790" t="str">
            <v>BrazilWRITE-OFF (MEMO)</v>
          </cell>
        </row>
        <row r="791">
          <cell r="A791" t="str">
            <v>BrazilINSURANCE RESERVES AND ANNUITY BENEFITS</v>
          </cell>
        </row>
        <row r="792">
          <cell r="A792" t="str">
            <v>BrazilALL OTHER NON DEBT LIABILITIES</v>
          </cell>
        </row>
        <row r="793">
          <cell r="A793" t="str">
            <v>BrazilMINORITY INTEREST (BS)</v>
          </cell>
        </row>
        <row r="794">
          <cell r="A794" t="str">
            <v>BrazilASIA PACIFIC ENI DIVIDEND</v>
          </cell>
        </row>
        <row r="795">
          <cell r="A795" t="str">
            <v>BrazilFINANCING INCOME</v>
          </cell>
        </row>
        <row r="796">
          <cell r="A796" t="str">
            <v>BrazilINSURANCE PREMIUM INCOME</v>
          </cell>
        </row>
        <row r="797">
          <cell r="A797" t="str">
            <v>BrazilINSURANCE INCOME (COMMISSIONS)</v>
          </cell>
        </row>
        <row r="798">
          <cell r="A798" t="str">
            <v>BrazilSUNDRY INCOME</v>
          </cell>
        </row>
        <row r="799">
          <cell r="A799" t="str">
            <v>BrazilINTEREST EXPENSE</v>
          </cell>
        </row>
        <row r="800">
          <cell r="A800" t="str">
            <v>BrazilINTEREST EXPENSE REDUCTIONS / BUS SHARING</v>
          </cell>
        </row>
        <row r="801">
          <cell r="A801" t="str">
            <v>BrazilALLOCATED COST OF PREFERRED EQUITY</v>
          </cell>
        </row>
        <row r="802">
          <cell r="A802" t="str">
            <v>BrazilSALARIES &amp; BENEFITS</v>
          </cell>
        </row>
        <row r="803">
          <cell r="A803" t="str">
            <v>BrazilLOSSES ON OTHER ASSETS</v>
          </cell>
        </row>
        <row r="804">
          <cell r="A804" t="str">
            <v>BrazilCOST OF GOODS SOLD</v>
          </cell>
        </row>
        <row r="805">
          <cell r="A805" t="str">
            <v>BrazilCOST OF GOODS SOLD - DISTRIBUTION</v>
          </cell>
        </row>
        <row r="806">
          <cell r="A806" t="str">
            <v>BrazilPOSTAGE</v>
          </cell>
        </row>
        <row r="807">
          <cell r="A807" t="str">
            <v>BrazilTELEPHONE</v>
          </cell>
        </row>
        <row r="808">
          <cell r="A808" t="str">
            <v>BrazilCUSTOMER SERVICE / COLLECTIONS</v>
          </cell>
        </row>
        <row r="809">
          <cell r="A809" t="str">
            <v>BrazilSTATIONARY - OFFICE SUPPLIES</v>
          </cell>
        </row>
        <row r="810">
          <cell r="A810" t="str">
            <v>BrazilT&amp;L</v>
          </cell>
        </row>
        <row r="811">
          <cell r="A811" t="str">
            <v>BrazilRENTAL - BLDG/FACILITIES</v>
          </cell>
        </row>
        <row r="812">
          <cell r="A812" t="str">
            <v>BrazilRENTAL - FURNITURE/EQUIP</v>
          </cell>
        </row>
        <row r="813">
          <cell r="A813" t="str">
            <v>BrazilRENTAL - COMPUTERS</v>
          </cell>
        </row>
        <row r="814">
          <cell r="A814" t="str">
            <v>BrazilLEASE IN - LEASE OUT</v>
          </cell>
        </row>
        <row r="815">
          <cell r="A815" t="str">
            <v>BrazilFURNITURE / EQUIPMENT / COMPUTER EXP</v>
          </cell>
        </row>
        <row r="816">
          <cell r="A816" t="str">
            <v>BrazilSOFTWARE EXPENSE</v>
          </cell>
        </row>
        <row r="817">
          <cell r="A817" t="str">
            <v>BrazilAMORTIZATION OF INTANGIBLES</v>
          </cell>
        </row>
        <row r="818">
          <cell r="A818" t="str">
            <v>BrazilELTO MAINTENANCE</v>
          </cell>
        </row>
        <row r="819">
          <cell r="A819" t="str">
            <v>BrazilELTO OTHER</v>
          </cell>
        </row>
        <row r="820">
          <cell r="A820" t="str">
            <v>BrazilLEGAL</v>
          </cell>
        </row>
        <row r="821">
          <cell r="A821" t="str">
            <v>BrazilADVERTISING</v>
          </cell>
        </row>
        <row r="822">
          <cell r="A822" t="str">
            <v>BrazilSALES PROMOTIONS</v>
          </cell>
        </row>
        <row r="823">
          <cell r="A823" t="str">
            <v>BrazilDIRECT MAIL</v>
          </cell>
        </row>
        <row r="824">
          <cell r="A824" t="str">
            <v>BrazilDATA PROCESSING</v>
          </cell>
        </row>
        <row r="825">
          <cell r="A825" t="str">
            <v>BrazilCONSULTING</v>
          </cell>
        </row>
        <row r="826">
          <cell r="A826" t="str">
            <v>BrazilTEMP SERVICES</v>
          </cell>
        </row>
        <row r="827">
          <cell r="A827" t="str">
            <v>BrazilGDC CHARGES</v>
          </cell>
        </row>
        <row r="828">
          <cell r="A828" t="str">
            <v>BrazilTRAINING AND EDUCATION</v>
          </cell>
        </row>
        <row r="829">
          <cell r="A829" t="str">
            <v>BrazilOUTSIDE SERVICES  AND FEES</v>
          </cell>
        </row>
        <row r="830">
          <cell r="A830" t="str">
            <v>BrazilSTATE, FOREIGN, LOCAL TAXES</v>
          </cell>
        </row>
        <row r="831">
          <cell r="A831" t="str">
            <v>BrazilS/L TAX - INSURANCE PREMIUMS</v>
          </cell>
        </row>
        <row r="832">
          <cell r="A832" t="str">
            <v>BrazilSATELLITE LEASE EXPENSE</v>
          </cell>
        </row>
        <row r="833">
          <cell r="A833" t="str">
            <v>BrazilBUSINESS SHARE EXPENSE</v>
          </cell>
        </row>
        <row r="834">
          <cell r="A834" t="str">
            <v>BrazilINSURANCE AFFILIATE EXPENSE</v>
          </cell>
        </row>
        <row r="835">
          <cell r="A835" t="str">
            <v>BrazilOTHER FACILITY EXPENSE</v>
          </cell>
        </row>
        <row r="836">
          <cell r="A836" t="str">
            <v>BrazilGROSS OP &amp; ADMIN BUS SHARE</v>
          </cell>
        </row>
        <row r="837">
          <cell r="A837" t="str">
            <v>BrazilOTHER EXPENSE</v>
          </cell>
        </row>
        <row r="838">
          <cell r="A838" t="str">
            <v>BrazilGECC INTERCO EXPENSES EXCL GECIS</v>
          </cell>
        </row>
        <row r="839">
          <cell r="A839" t="str">
            <v>BrazilGECIS INTERCO CHARGES</v>
          </cell>
        </row>
        <row r="840">
          <cell r="A840" t="str">
            <v>BrazilLOSS ADJUSTED EXPENSE</v>
          </cell>
        </row>
        <row r="841">
          <cell r="A841" t="str">
            <v>BrazilALL OTHER EXPENSES</v>
          </cell>
        </row>
        <row r="842">
          <cell r="A842" t="str">
            <v>BrazilASSESSMENTS</v>
          </cell>
        </row>
        <row r="843">
          <cell r="A843" t="str">
            <v>BrazilFAS 91</v>
          </cell>
        </row>
        <row r="844">
          <cell r="A844" t="str">
            <v>BrazilGOODWILL AMORTIZATION</v>
          </cell>
        </row>
        <row r="845">
          <cell r="A845" t="str">
            <v>BrazilDEPRECIATION EXPENSE</v>
          </cell>
        </row>
        <row r="846">
          <cell r="A846" t="str">
            <v>BrazilELTO AMORTIZATION</v>
          </cell>
        </row>
        <row r="847">
          <cell r="A847" t="str">
            <v>BrazilINSURANCE LOSSES AND BENEFITS</v>
          </cell>
        </row>
        <row r="848">
          <cell r="A848" t="str">
            <v>BrazilWRITE OFFS</v>
          </cell>
        </row>
        <row r="849">
          <cell r="A849" t="str">
            <v>BrazilRESERVE CHANGE</v>
          </cell>
        </row>
        <row r="850">
          <cell r="A850" t="str">
            <v>BrazilMINORITY INTEREST</v>
          </cell>
        </row>
        <row r="851">
          <cell r="A851" t="str">
            <v>BrazilINCOME TAXES</v>
          </cell>
        </row>
        <row r="852">
          <cell r="A852" t="str">
            <v>BrazilCUMULATIVE TRANSITION ADJUSTMENT</v>
          </cell>
        </row>
        <row r="853">
          <cell r="A853" t="str">
            <v>BrazilASIA PACIFIC NI DIVIDEND</v>
          </cell>
        </row>
        <row r="854">
          <cell r="A854" t="str">
            <v>BrazilNet Income</v>
          </cell>
        </row>
        <row r="855">
          <cell r="A855" t="str">
            <v>BrazilSubPart F</v>
          </cell>
        </row>
        <row r="856">
          <cell r="A856" t="str">
            <v>BrazilAssets</v>
          </cell>
        </row>
        <row r="857">
          <cell r="A857" t="str">
            <v>BrazilEnding Net Investment (ENI) incl Asia</v>
          </cell>
        </row>
        <row r="858">
          <cell r="A858" t="str">
            <v>BrazilANR YTD</v>
          </cell>
        </row>
        <row r="859">
          <cell r="A859" t="str">
            <v>BrazilASA YTD</v>
          </cell>
        </row>
        <row r="860">
          <cell r="A860" t="str">
            <v>BrazilANI YTD incl Asia - 5 pt</v>
          </cell>
        </row>
        <row r="861">
          <cell r="A861" t="str">
            <v>BrazilOff Balance Sheet Assets</v>
          </cell>
        </row>
        <row r="862">
          <cell r="A862" t="str">
            <v>BrazilJV Receivables</v>
          </cell>
        </row>
        <row r="863">
          <cell r="A863" t="str">
            <v>Brazil30+ DELINQUENCY $</v>
          </cell>
        </row>
        <row r="864">
          <cell r="A864" t="str">
            <v>Brazil90+ DELINQUENCY $</v>
          </cell>
        </row>
        <row r="865">
          <cell r="A865" t="str">
            <v>BrazilTemporary Staff</v>
          </cell>
        </row>
        <row r="866">
          <cell r="A866" t="str">
            <v>BrazilContractors</v>
          </cell>
        </row>
        <row r="867">
          <cell r="A867" t="str">
            <v>BrazilOutsourced to LCC</v>
          </cell>
        </row>
        <row r="868">
          <cell r="A868" t="str">
            <v>BrazilTotal Headcount</v>
          </cell>
        </row>
        <row r="869">
          <cell r="A869" t="str">
            <v>BrazilTotal Workforce</v>
          </cell>
        </row>
        <row r="870">
          <cell r="A870" t="str">
            <v>BrazilTotal Earned Revenue</v>
          </cell>
        </row>
        <row r="871">
          <cell r="A871" t="str">
            <v>BrazilOrdinary Gains - PreTax</v>
          </cell>
        </row>
        <row r="872">
          <cell r="A872" t="str">
            <v>BrazilOrdinary Gains - AfterTax</v>
          </cell>
        </row>
        <row r="873">
          <cell r="A873" t="str">
            <v>BrazilTotal Volume</v>
          </cell>
        </row>
        <row r="874">
          <cell r="A874" t="str">
            <v>BrazilTOTAL # ACTIVE ACCOUNTS</v>
          </cell>
        </row>
        <row r="875">
          <cell r="A875" t="str">
            <v>Budapest BankTOTAL FINANCING RECEIVABLES</v>
          </cell>
        </row>
        <row r="876">
          <cell r="A876" t="str">
            <v>Budapest BankRECEIVABLE RESERVES</v>
          </cell>
        </row>
        <row r="877">
          <cell r="A877" t="str">
            <v>Budapest BankCASH</v>
          </cell>
        </row>
        <row r="878">
          <cell r="A878" t="str">
            <v>Budapest BankINVESTMENT SECURITIES</v>
          </cell>
        </row>
        <row r="879">
          <cell r="A879" t="str">
            <v>Budapest BankINV IN NON CONSOL AFFILIATES</v>
          </cell>
        </row>
        <row r="880">
          <cell r="A880" t="str">
            <v>Budapest BankINVESTMENT IN JOINT VENTURE</v>
          </cell>
        </row>
        <row r="881">
          <cell r="A881" t="str">
            <v>Budapest BankALL OTHER RECEIVABLES (NON-FINANCING)</v>
          </cell>
        </row>
        <row r="882">
          <cell r="A882" t="str">
            <v>Budapest BankELTO (NET)</v>
          </cell>
        </row>
        <row r="883">
          <cell r="A883" t="str">
            <v>Budapest BankGOODWILL</v>
          </cell>
        </row>
        <row r="884">
          <cell r="A884" t="str">
            <v>Budapest BankOTHER ASSETS</v>
          </cell>
        </row>
        <row r="885">
          <cell r="A885" t="str">
            <v>Budapest BankACCOUNTS PAYABLE</v>
          </cell>
        </row>
        <row r="886">
          <cell r="A886" t="str">
            <v>Budapest BankDEFERRED INCOME TAXES</v>
          </cell>
        </row>
        <row r="887">
          <cell r="A887" t="str">
            <v>Budapest BankWRITE-OFF (MEMO)</v>
          </cell>
        </row>
        <row r="888">
          <cell r="A888" t="str">
            <v>Budapest BankINSURANCE RESERVES AND ANNUITY BENEFITS</v>
          </cell>
        </row>
        <row r="889">
          <cell r="A889" t="str">
            <v>Budapest BankALL OTHER NON DEBT LIABILITIES</v>
          </cell>
        </row>
        <row r="890">
          <cell r="A890" t="str">
            <v>Budapest BankMINORITY INTEREST (BS)</v>
          </cell>
        </row>
        <row r="891">
          <cell r="A891" t="str">
            <v>Budapest BankASIA PACIFIC ENI DIVIDEND</v>
          </cell>
        </row>
        <row r="892">
          <cell r="A892" t="str">
            <v>Budapest BankFINANCING INCOME</v>
          </cell>
        </row>
        <row r="893">
          <cell r="A893" t="str">
            <v>Budapest BankINSURANCE PREMIUM INCOME</v>
          </cell>
        </row>
        <row r="894">
          <cell r="A894" t="str">
            <v>Budapest BankINSURANCE INCOME (COMMISSIONS)</v>
          </cell>
        </row>
        <row r="895">
          <cell r="A895" t="str">
            <v>Budapest BankSUNDRY INCOME</v>
          </cell>
        </row>
        <row r="896">
          <cell r="A896" t="str">
            <v>Budapest BankINTEREST EXPENSE</v>
          </cell>
        </row>
        <row r="897">
          <cell r="A897" t="str">
            <v>Budapest BankINTEREST EXPENSE REDUCTIONS / BUS SHARING</v>
          </cell>
        </row>
        <row r="898">
          <cell r="A898" t="str">
            <v>Budapest BankALLOCATED COST OF PREFERRED EQUITY</v>
          </cell>
        </row>
        <row r="899">
          <cell r="A899" t="str">
            <v>Budapest BankSALARIES &amp; BENEFITS</v>
          </cell>
        </row>
        <row r="900">
          <cell r="A900" t="str">
            <v>Budapest BankLOSSES ON OTHER ASSETS</v>
          </cell>
        </row>
        <row r="901">
          <cell r="A901" t="str">
            <v>Budapest BankCOST OF GOODS SOLD</v>
          </cell>
        </row>
        <row r="902">
          <cell r="A902" t="str">
            <v>Budapest BankCOST OF GOODS SOLD - DISTRIBUTION</v>
          </cell>
        </row>
        <row r="903">
          <cell r="A903" t="str">
            <v>Budapest BankPOSTAGE</v>
          </cell>
        </row>
        <row r="904">
          <cell r="A904" t="str">
            <v>Budapest BankTELEPHONE</v>
          </cell>
        </row>
        <row r="905">
          <cell r="A905" t="str">
            <v>Budapest BankCUSTOMER SERVICE / COLLECTIONS</v>
          </cell>
        </row>
        <row r="906">
          <cell r="A906" t="str">
            <v>Budapest BankSTATIONARY - OFFICE SUPPLIES</v>
          </cell>
        </row>
        <row r="907">
          <cell r="A907" t="str">
            <v>Budapest BankT&amp;L</v>
          </cell>
        </row>
        <row r="908">
          <cell r="A908" t="str">
            <v>Budapest BankRENTAL - BLDG/FACILITIES</v>
          </cell>
        </row>
        <row r="909">
          <cell r="A909" t="str">
            <v>Budapest BankRENTAL - FURNITURE/EQUIP</v>
          </cell>
        </row>
        <row r="910">
          <cell r="A910" t="str">
            <v>Budapest BankRENTAL - COMPUTERS</v>
          </cell>
        </row>
        <row r="911">
          <cell r="A911" t="str">
            <v>Budapest BankLEASE IN - LEASE OUT</v>
          </cell>
        </row>
        <row r="912">
          <cell r="A912" t="str">
            <v>Budapest BankFURNITURE / EQUIPMENT / COMPUTER EXP</v>
          </cell>
        </row>
        <row r="913">
          <cell r="A913" t="str">
            <v>Budapest BankSOFTWARE EXPENSE</v>
          </cell>
        </row>
        <row r="914">
          <cell r="A914" t="str">
            <v>Budapest BankAMORTIZATION OF INTANGIBLES</v>
          </cell>
        </row>
        <row r="915">
          <cell r="A915" t="str">
            <v>Budapest BankELTO MAINTENANCE</v>
          </cell>
        </row>
        <row r="916">
          <cell r="A916" t="str">
            <v>Budapest BankELTO OTHER</v>
          </cell>
        </row>
        <row r="917">
          <cell r="A917" t="str">
            <v>Budapest BankLEGAL</v>
          </cell>
        </row>
        <row r="918">
          <cell r="A918" t="str">
            <v>Budapest BankADVERTISING</v>
          </cell>
        </row>
        <row r="919">
          <cell r="A919" t="str">
            <v>Budapest BankSALES PROMOTIONS</v>
          </cell>
        </row>
        <row r="920">
          <cell r="A920" t="str">
            <v>Budapest BankDIRECT MAIL</v>
          </cell>
        </row>
        <row r="921">
          <cell r="A921" t="str">
            <v>Budapest BankDATA PROCESSING</v>
          </cell>
        </row>
        <row r="922">
          <cell r="A922" t="str">
            <v>Budapest BankCONSULTING</v>
          </cell>
        </row>
        <row r="923">
          <cell r="A923" t="str">
            <v>Budapest BankTEMP SERVICES</v>
          </cell>
        </row>
        <row r="924">
          <cell r="A924" t="str">
            <v>Budapest BankGDC CHARGES</v>
          </cell>
        </row>
        <row r="925">
          <cell r="A925" t="str">
            <v>Budapest BankTRAINING AND EDUCATION</v>
          </cell>
        </row>
        <row r="926">
          <cell r="A926" t="str">
            <v>Budapest BankOUTSIDE SERVICES  AND FEES</v>
          </cell>
        </row>
        <row r="927">
          <cell r="A927" t="str">
            <v>Budapest BankSTATE, FOREIGN, LOCAL TAXES</v>
          </cell>
        </row>
        <row r="928">
          <cell r="A928" t="str">
            <v>Budapest BankS/L TAX - INSURANCE PREMIUMS</v>
          </cell>
        </row>
        <row r="929">
          <cell r="A929" t="str">
            <v>Budapest BankSATELLITE LEASE EXPENSE</v>
          </cell>
        </row>
        <row r="930">
          <cell r="A930" t="str">
            <v>Budapest BankBUSINESS SHARE EXPENSE</v>
          </cell>
        </row>
        <row r="931">
          <cell r="A931" t="str">
            <v>Budapest BankINSURANCE AFFILIATE EXPENSE</v>
          </cell>
        </row>
        <row r="932">
          <cell r="A932" t="str">
            <v>Budapest BankOTHER FACILITY EXPENSE</v>
          </cell>
        </row>
        <row r="933">
          <cell r="A933" t="str">
            <v>Budapest BankGROSS OP &amp; ADMIN BUS SHARE</v>
          </cell>
        </row>
        <row r="934">
          <cell r="A934" t="str">
            <v>Budapest BankOTHER EXPENSE</v>
          </cell>
        </row>
        <row r="935">
          <cell r="A935" t="str">
            <v>Budapest BankGECC INTERCO EXPENSES EXCL GECIS</v>
          </cell>
        </row>
        <row r="936">
          <cell r="A936" t="str">
            <v>Budapest BankGECIS INTERCO CHARGES</v>
          </cell>
        </row>
        <row r="937">
          <cell r="A937" t="str">
            <v>Budapest BankLOSS ADJUSTED EXPENSE</v>
          </cell>
        </row>
        <row r="938">
          <cell r="A938" t="str">
            <v>Budapest BankALL OTHER EXPENSES</v>
          </cell>
        </row>
        <row r="939">
          <cell r="A939" t="str">
            <v>Budapest BankASSESSMENTS</v>
          </cell>
        </row>
        <row r="940">
          <cell r="A940" t="str">
            <v>Budapest BankFAS 91</v>
          </cell>
        </row>
        <row r="941">
          <cell r="A941" t="str">
            <v>Budapest BankGOODWILL AMORTIZATION</v>
          </cell>
        </row>
        <row r="942">
          <cell r="A942" t="str">
            <v>Budapest BankDEPRECIATION EXPENSE</v>
          </cell>
        </row>
        <row r="943">
          <cell r="A943" t="str">
            <v>Budapest BankELTO AMORTIZATION</v>
          </cell>
        </row>
        <row r="944">
          <cell r="A944" t="str">
            <v>Budapest BankINSURANCE LOSSES AND BENEFITS</v>
          </cell>
        </row>
        <row r="945">
          <cell r="A945" t="str">
            <v>Budapest BankWRITE OFFS</v>
          </cell>
        </row>
        <row r="946">
          <cell r="A946" t="str">
            <v>Budapest BankRESERVE CHANGE</v>
          </cell>
        </row>
        <row r="947">
          <cell r="A947" t="str">
            <v>Budapest BankMINORITY INTEREST</v>
          </cell>
        </row>
        <row r="948">
          <cell r="A948" t="str">
            <v>Budapest BankINCOME TAXES</v>
          </cell>
        </row>
        <row r="949">
          <cell r="A949" t="str">
            <v>Budapest BankCUMULATIVE TRANSITION ADJUSTMENT</v>
          </cell>
        </row>
        <row r="950">
          <cell r="A950" t="str">
            <v>Budapest BankASIA PACIFIC NI DIVIDEND</v>
          </cell>
        </row>
        <row r="951">
          <cell r="A951" t="str">
            <v>Budapest BankNet Income</v>
          </cell>
        </row>
        <row r="952">
          <cell r="A952" t="str">
            <v>Budapest BankSubPart F</v>
          </cell>
        </row>
        <row r="953">
          <cell r="A953" t="str">
            <v>Budapest BankAssets</v>
          </cell>
        </row>
        <row r="954">
          <cell r="A954" t="str">
            <v>Budapest BankEnding Net Investment (ENI) incl Asia</v>
          </cell>
        </row>
        <row r="955">
          <cell r="A955" t="str">
            <v>Budapest BankANR YTD</v>
          </cell>
        </row>
        <row r="956">
          <cell r="A956" t="str">
            <v>Budapest BankASA YTD</v>
          </cell>
        </row>
        <row r="957">
          <cell r="A957" t="str">
            <v>Budapest BankANI YTD incl Asia - 5 pt</v>
          </cell>
        </row>
        <row r="958">
          <cell r="A958" t="str">
            <v>Budapest BankOff Balance Sheet Assets</v>
          </cell>
        </row>
        <row r="959">
          <cell r="A959" t="str">
            <v>Budapest BankJV Receivables</v>
          </cell>
        </row>
        <row r="960">
          <cell r="A960" t="str">
            <v>Budapest Bank30+ DELINQUENCY $</v>
          </cell>
        </row>
        <row r="961">
          <cell r="A961" t="str">
            <v>Budapest Bank90+ DELINQUENCY $</v>
          </cell>
        </row>
        <row r="962">
          <cell r="A962" t="str">
            <v>Budapest BankTemporary Staff</v>
          </cell>
        </row>
        <row r="963">
          <cell r="A963" t="str">
            <v>Budapest BankContractors</v>
          </cell>
        </row>
        <row r="964">
          <cell r="A964" t="str">
            <v>Budapest BankOutsourced to LCC</v>
          </cell>
        </row>
        <row r="965">
          <cell r="A965" t="str">
            <v>Budapest BankTotal Headcount</v>
          </cell>
        </row>
        <row r="966">
          <cell r="A966" t="str">
            <v>Budapest BankTotal Workforce</v>
          </cell>
        </row>
        <row r="967">
          <cell r="A967" t="str">
            <v>Budapest BankTotal Earned Revenue</v>
          </cell>
        </row>
        <row r="968">
          <cell r="A968" t="str">
            <v>Budapest BankOrdinary Gains - PreTax</v>
          </cell>
        </row>
        <row r="969">
          <cell r="A969" t="str">
            <v>Budapest BankOrdinary Gains - AfterTax</v>
          </cell>
        </row>
        <row r="970">
          <cell r="A970" t="str">
            <v>Budapest BankTotal Volume</v>
          </cell>
        </row>
        <row r="971">
          <cell r="A971" t="str">
            <v>Budapest BankTOTAL # ACTIVE ACCOUNTS</v>
          </cell>
        </row>
        <row r="972">
          <cell r="A972" t="str">
            <v>Business Shares UKTOTAL FINANCING RECEIVABLES</v>
          </cell>
        </row>
        <row r="973">
          <cell r="A973" t="str">
            <v>Business Shares UKRECEIVABLE RESERVES</v>
          </cell>
        </row>
        <row r="974">
          <cell r="A974" t="str">
            <v>Business Shares UKCASH</v>
          </cell>
        </row>
        <row r="975">
          <cell r="A975" t="str">
            <v>Business Shares UKINVESTMENT SECURITIES</v>
          </cell>
        </row>
        <row r="976">
          <cell r="A976" t="str">
            <v>Business Shares UKINV IN NON CONSOL AFFILIATES</v>
          </cell>
        </row>
        <row r="977">
          <cell r="A977" t="str">
            <v>Business Shares UKINVESTMENT IN JOINT VENTURE</v>
          </cell>
        </row>
        <row r="978">
          <cell r="A978" t="str">
            <v>Business Shares UKALL OTHER RECEIVABLES (NON-FINANCING)</v>
          </cell>
        </row>
        <row r="979">
          <cell r="A979" t="str">
            <v>Business Shares UKELTO (NET)</v>
          </cell>
        </row>
        <row r="980">
          <cell r="A980" t="str">
            <v>Business Shares UKGOODWILL</v>
          </cell>
        </row>
        <row r="981">
          <cell r="A981" t="str">
            <v>Business Shares UKOTHER ASSETS</v>
          </cell>
        </row>
        <row r="982">
          <cell r="A982" t="str">
            <v>Business Shares UKACCOUNTS PAYABLE</v>
          </cell>
        </row>
        <row r="983">
          <cell r="A983" t="str">
            <v>Business Shares UKDEFERRED INCOME TAXES</v>
          </cell>
        </row>
        <row r="984">
          <cell r="A984" t="str">
            <v>Business Shares UKWRITE-OFF (MEMO)</v>
          </cell>
        </row>
        <row r="985">
          <cell r="A985" t="str">
            <v>Business Shares UKINSURANCE RESERVES AND ANNUITY BENEFITS</v>
          </cell>
        </row>
        <row r="986">
          <cell r="A986" t="str">
            <v>Business Shares UKALL OTHER NON DEBT LIABILITIES</v>
          </cell>
        </row>
        <row r="987">
          <cell r="A987" t="str">
            <v>Business Shares UKMINORITY INTEREST (BS)</v>
          </cell>
        </row>
        <row r="988">
          <cell r="A988" t="str">
            <v>Business Shares UKASIA PACIFIC ENI DIVIDEND</v>
          </cell>
        </row>
        <row r="989">
          <cell r="A989" t="str">
            <v>Business Shares UKFINANCING INCOME</v>
          </cell>
        </row>
        <row r="990">
          <cell r="A990" t="str">
            <v>Business Shares UKINSURANCE PREMIUM INCOME</v>
          </cell>
        </row>
        <row r="991">
          <cell r="A991" t="str">
            <v>Business Shares UKINSURANCE INCOME (COMMISSIONS)</v>
          </cell>
        </row>
        <row r="992">
          <cell r="A992" t="str">
            <v>Business Shares UKSUNDRY INCOME</v>
          </cell>
        </row>
        <row r="993">
          <cell r="A993" t="str">
            <v>Business Shares UKINTEREST EXPENSE</v>
          </cell>
        </row>
        <row r="994">
          <cell r="A994" t="str">
            <v>Business Shares UKINTEREST EXPENSE REDUCTIONS / BUS SHARING</v>
          </cell>
        </row>
        <row r="995">
          <cell r="A995" t="str">
            <v>Business Shares UKALLOCATED COST OF PREFERRED EQUITY</v>
          </cell>
        </row>
        <row r="996">
          <cell r="A996" t="str">
            <v>Business Shares UKSALARIES &amp; BENEFITS</v>
          </cell>
        </row>
        <row r="997">
          <cell r="A997" t="str">
            <v>Business Shares UKLOSSES ON OTHER ASSETS</v>
          </cell>
        </row>
        <row r="998">
          <cell r="A998" t="str">
            <v>Business Shares UKCOST OF GOODS SOLD</v>
          </cell>
        </row>
        <row r="999">
          <cell r="A999" t="str">
            <v>Business Shares UKCOST OF GOODS SOLD - DISTRIBUTION</v>
          </cell>
        </row>
        <row r="1000">
          <cell r="A1000" t="str">
            <v>Business Shares UKPOSTAGE</v>
          </cell>
        </row>
        <row r="1001">
          <cell r="A1001" t="str">
            <v>Business Shares UKTELEPHONE</v>
          </cell>
        </row>
        <row r="1002">
          <cell r="A1002" t="str">
            <v>Business Shares UKCUSTOMER SERVICE / COLLECTIONS</v>
          </cell>
        </row>
        <row r="1003">
          <cell r="A1003" t="str">
            <v>Business Shares UKSTATIONARY - OFFICE SUPPLIES</v>
          </cell>
        </row>
        <row r="1004">
          <cell r="A1004" t="str">
            <v>Business Shares UKT&amp;L</v>
          </cell>
        </row>
        <row r="1005">
          <cell r="A1005" t="str">
            <v>Business Shares UKRENTAL - BLDG/FACILITIES</v>
          </cell>
        </row>
        <row r="1006">
          <cell r="A1006" t="str">
            <v>Business Shares UKRENTAL - FURNITURE/EQUIP</v>
          </cell>
        </row>
        <row r="1007">
          <cell r="A1007" t="str">
            <v>Business Shares UKRENTAL - COMPUTERS</v>
          </cell>
        </row>
        <row r="1008">
          <cell r="A1008" t="str">
            <v>Business Shares UKLEASE IN - LEASE OUT</v>
          </cell>
        </row>
        <row r="1009">
          <cell r="A1009" t="str">
            <v>Business Shares UKFURNITURE / EQUIPMENT / COMPUTER EXP</v>
          </cell>
        </row>
        <row r="1010">
          <cell r="A1010" t="str">
            <v>Business Shares UKSOFTWARE EXPENSE</v>
          </cell>
        </row>
        <row r="1011">
          <cell r="A1011" t="str">
            <v>Business Shares UKAMORTIZATION OF INTANGIBLES</v>
          </cell>
        </row>
        <row r="1012">
          <cell r="A1012" t="str">
            <v>Business Shares UKELTO MAINTENANCE</v>
          </cell>
        </row>
        <row r="1013">
          <cell r="A1013" t="str">
            <v>Business Shares UKELTO OTHER</v>
          </cell>
        </row>
        <row r="1014">
          <cell r="A1014" t="str">
            <v>Business Shares UKLEGAL</v>
          </cell>
        </row>
        <row r="1015">
          <cell r="A1015" t="str">
            <v>Business Shares UKADVERTISING</v>
          </cell>
        </row>
        <row r="1016">
          <cell r="A1016" t="str">
            <v>Business Shares UKSALES PROMOTIONS</v>
          </cell>
        </row>
        <row r="1017">
          <cell r="A1017" t="str">
            <v>Business Shares UKDIRECT MAIL</v>
          </cell>
        </row>
        <row r="1018">
          <cell r="A1018" t="str">
            <v>Business Shares UKDATA PROCESSING</v>
          </cell>
        </row>
        <row r="1019">
          <cell r="A1019" t="str">
            <v>Business Shares UKCONSULTING</v>
          </cell>
        </row>
        <row r="1020">
          <cell r="A1020" t="str">
            <v>Business Shares UKTEMP SERVICES</v>
          </cell>
        </row>
        <row r="1021">
          <cell r="A1021" t="str">
            <v>Business Shares UKGDC CHARGES</v>
          </cell>
        </row>
        <row r="1022">
          <cell r="A1022" t="str">
            <v>Business Shares UKTRAINING AND EDUCATION</v>
          </cell>
        </row>
        <row r="1023">
          <cell r="A1023" t="str">
            <v>Business Shares UKOUTSIDE SERVICES  AND FEES</v>
          </cell>
        </row>
        <row r="1024">
          <cell r="A1024" t="str">
            <v>Business Shares UKSTATE, FOREIGN, LOCAL TAXES</v>
          </cell>
        </row>
        <row r="1025">
          <cell r="A1025" t="str">
            <v>Business Shares UKS/L TAX - INSURANCE PREMIUMS</v>
          </cell>
        </row>
        <row r="1026">
          <cell r="A1026" t="str">
            <v>Business Shares UKSATELLITE LEASE EXPENSE</v>
          </cell>
        </row>
        <row r="1027">
          <cell r="A1027" t="str">
            <v>Business Shares UKBUSINESS SHARE EXPENSE</v>
          </cell>
        </row>
        <row r="1028">
          <cell r="A1028" t="str">
            <v>Business Shares UKINSURANCE AFFILIATE EXPENSE</v>
          </cell>
        </row>
        <row r="1029">
          <cell r="A1029" t="str">
            <v>Business Shares UKOTHER FACILITY EXPENSE</v>
          </cell>
        </row>
        <row r="1030">
          <cell r="A1030" t="str">
            <v>Business Shares UKGROSS OP &amp; ADMIN BUS SHARE</v>
          </cell>
        </row>
        <row r="1031">
          <cell r="A1031" t="str">
            <v>Business Shares UKOTHER EXPENSE</v>
          </cell>
        </row>
        <row r="1032">
          <cell r="A1032" t="str">
            <v>Business Shares UKGECC INTERCO EXPENSES EXCL GECIS</v>
          </cell>
        </row>
        <row r="1033">
          <cell r="A1033" t="str">
            <v>Business Shares UKGECIS INTERCO CHARGES</v>
          </cell>
        </row>
        <row r="1034">
          <cell r="A1034" t="str">
            <v>Business Shares UKLOSS ADJUSTED EXPENSE</v>
          </cell>
        </row>
        <row r="1035">
          <cell r="A1035" t="str">
            <v>Business Shares UKALL OTHER EXPENSES</v>
          </cell>
        </row>
        <row r="1036">
          <cell r="A1036" t="str">
            <v>Business Shares UKASSESSMENTS</v>
          </cell>
        </row>
        <row r="1037">
          <cell r="A1037" t="str">
            <v>Business Shares UKFAS 91</v>
          </cell>
        </row>
        <row r="1038">
          <cell r="A1038" t="str">
            <v>Business Shares UKGOODWILL AMORTIZATION</v>
          </cell>
        </row>
        <row r="1039">
          <cell r="A1039" t="str">
            <v>Business Shares UKDEPRECIATION EXPENSE</v>
          </cell>
        </row>
        <row r="1040">
          <cell r="A1040" t="str">
            <v>Business Shares UKELTO AMORTIZATION</v>
          </cell>
        </row>
        <row r="1041">
          <cell r="A1041" t="str">
            <v>Business Shares UKINSURANCE LOSSES AND BENEFITS</v>
          </cell>
        </row>
        <row r="1042">
          <cell r="A1042" t="str">
            <v>Business Shares UKWRITE OFFS</v>
          </cell>
        </row>
        <row r="1043">
          <cell r="A1043" t="str">
            <v>Business Shares UKRESERVE CHANGE</v>
          </cell>
        </row>
        <row r="1044">
          <cell r="A1044" t="str">
            <v>Business Shares UKMINORITY INTEREST</v>
          </cell>
        </row>
        <row r="1045">
          <cell r="A1045" t="str">
            <v>Business Shares UKINCOME TAXES</v>
          </cell>
        </row>
        <row r="1046">
          <cell r="A1046" t="str">
            <v>Business Shares UKCUMULATIVE TRANSITION ADJUSTMENT</v>
          </cell>
        </row>
        <row r="1047">
          <cell r="A1047" t="str">
            <v>Business Shares UKASIA PACIFIC NI DIVIDEND</v>
          </cell>
        </row>
        <row r="1048">
          <cell r="A1048" t="str">
            <v>Business Shares UKNet Income</v>
          </cell>
        </row>
        <row r="1049">
          <cell r="A1049" t="str">
            <v>Business Shares UKSubPart F</v>
          </cell>
        </row>
        <row r="1050">
          <cell r="A1050" t="str">
            <v>Business Shares UKAssets</v>
          </cell>
        </row>
        <row r="1051">
          <cell r="A1051" t="str">
            <v>Business Shares UKEnding Net Investment (ENI) incl Asia</v>
          </cell>
        </row>
        <row r="1052">
          <cell r="A1052" t="str">
            <v>Business Shares UKANR YTD</v>
          </cell>
        </row>
        <row r="1053">
          <cell r="A1053" t="str">
            <v>Business Shares UKASA YTD</v>
          </cell>
        </row>
        <row r="1054">
          <cell r="A1054" t="str">
            <v>Business Shares UKANI YTD incl Asia - 5 pt</v>
          </cell>
        </row>
        <row r="1055">
          <cell r="A1055" t="str">
            <v>Business Shares UKOff Balance Sheet Assets</v>
          </cell>
        </row>
        <row r="1056">
          <cell r="A1056" t="str">
            <v>Business Shares UKJV Receivables</v>
          </cell>
        </row>
        <row r="1057">
          <cell r="A1057" t="str">
            <v>Business Shares UK30+ DELINQUENCY $</v>
          </cell>
        </row>
        <row r="1058">
          <cell r="A1058" t="str">
            <v>Business Shares UK90+ DELINQUENCY $</v>
          </cell>
        </row>
        <row r="1059">
          <cell r="A1059" t="str">
            <v>Business Shares UKTemporary Staff</v>
          </cell>
        </row>
        <row r="1060">
          <cell r="A1060" t="str">
            <v>Business Shares UKContractors</v>
          </cell>
        </row>
        <row r="1061">
          <cell r="A1061" t="str">
            <v>Business Shares UKOutsourced to LCC</v>
          </cell>
        </row>
        <row r="1062">
          <cell r="A1062" t="str">
            <v>Business Shares UKTotal Headcount</v>
          </cell>
        </row>
        <row r="1063">
          <cell r="A1063" t="str">
            <v>Business Shares UKTotal Workforce</v>
          </cell>
        </row>
        <row r="1064">
          <cell r="A1064" t="str">
            <v>Business Shares UKTotal Earned Revenue</v>
          </cell>
        </row>
        <row r="1065">
          <cell r="A1065" t="str">
            <v>Business Shares UKOrdinary Gains - PreTax</v>
          </cell>
        </row>
        <row r="1066">
          <cell r="A1066" t="str">
            <v>Business Shares UKOrdinary Gains - AfterTax</v>
          </cell>
        </row>
        <row r="1067">
          <cell r="A1067" t="str">
            <v>Business Shares UKTotal Volume</v>
          </cell>
        </row>
        <row r="1068">
          <cell r="A1068" t="str">
            <v>Business Shares UKTOTAL # ACTIVE ACCOUNTS</v>
          </cell>
        </row>
        <row r="1069">
          <cell r="A1069" t="str">
            <v>ChinaTOTAL FINANCING RECEIVABLES</v>
          </cell>
        </row>
        <row r="1070">
          <cell r="A1070" t="str">
            <v>ChinaRECEIVABLE RESERVES</v>
          </cell>
        </row>
        <row r="1071">
          <cell r="A1071" t="str">
            <v>ChinaCASH</v>
          </cell>
        </row>
        <row r="1072">
          <cell r="A1072" t="str">
            <v>ChinaINVESTMENT SECURITIES</v>
          </cell>
        </row>
        <row r="1073">
          <cell r="A1073" t="str">
            <v>ChinaINV IN NON CONSOL AFFILIATES</v>
          </cell>
        </row>
        <row r="1074">
          <cell r="A1074" t="str">
            <v>ChinaINVESTMENT IN JOINT VENTURE</v>
          </cell>
        </row>
        <row r="1075">
          <cell r="A1075" t="str">
            <v>ChinaALL OTHER RECEIVABLES (NON-FINANCING)</v>
          </cell>
        </row>
        <row r="1076">
          <cell r="A1076" t="str">
            <v>ChinaELTO (NET)</v>
          </cell>
        </row>
        <row r="1077">
          <cell r="A1077" t="str">
            <v>ChinaGOODWILL</v>
          </cell>
        </row>
        <row r="1078">
          <cell r="A1078" t="str">
            <v>ChinaOTHER ASSETS</v>
          </cell>
        </row>
        <row r="1079">
          <cell r="A1079" t="str">
            <v>ChinaACCOUNTS PAYABLE</v>
          </cell>
        </row>
        <row r="1080">
          <cell r="A1080" t="str">
            <v>ChinaDEFERRED INCOME TAXES</v>
          </cell>
        </row>
        <row r="1081">
          <cell r="A1081" t="str">
            <v>ChinaWRITE-OFF (MEMO)</v>
          </cell>
        </row>
        <row r="1082">
          <cell r="A1082" t="str">
            <v>ChinaINSURANCE RESERVES AND ANNUITY BENEFITS</v>
          </cell>
        </row>
        <row r="1083">
          <cell r="A1083" t="str">
            <v>ChinaALL OTHER NON DEBT LIABILITIES</v>
          </cell>
        </row>
        <row r="1084">
          <cell r="A1084" t="str">
            <v>ChinaMINORITY INTEREST (BS)</v>
          </cell>
        </row>
        <row r="1085">
          <cell r="A1085" t="str">
            <v>ChinaASIA PACIFIC ENI DIVIDEND</v>
          </cell>
        </row>
        <row r="1086">
          <cell r="A1086" t="str">
            <v>ChinaFINANCING INCOME</v>
          </cell>
        </row>
        <row r="1087">
          <cell r="A1087" t="str">
            <v>ChinaINSURANCE PREMIUM INCOME</v>
          </cell>
        </row>
        <row r="1088">
          <cell r="A1088" t="str">
            <v>ChinaINSURANCE INCOME (COMMISSIONS)</v>
          </cell>
        </row>
        <row r="1089">
          <cell r="A1089" t="str">
            <v>ChinaSUNDRY INCOME</v>
          </cell>
        </row>
        <row r="1090">
          <cell r="A1090" t="str">
            <v>ChinaINTEREST EXPENSE</v>
          </cell>
        </row>
        <row r="1091">
          <cell r="A1091" t="str">
            <v>ChinaINTEREST EXPENSE REDUCTIONS / BUS SHARING</v>
          </cell>
        </row>
        <row r="1092">
          <cell r="A1092" t="str">
            <v>ChinaALLOCATED COST OF PREFERRED EQUITY</v>
          </cell>
        </row>
        <row r="1093">
          <cell r="A1093" t="str">
            <v>ChinaSALARIES &amp; BENEFITS</v>
          </cell>
        </row>
        <row r="1094">
          <cell r="A1094" t="str">
            <v>ChinaLOSSES ON OTHER ASSETS</v>
          </cell>
        </row>
        <row r="1095">
          <cell r="A1095" t="str">
            <v>ChinaCOST OF GOODS SOLD</v>
          </cell>
        </row>
        <row r="1096">
          <cell r="A1096" t="str">
            <v>ChinaCOST OF GOODS SOLD - DISTRIBUTION</v>
          </cell>
        </row>
        <row r="1097">
          <cell r="A1097" t="str">
            <v>ChinaPOSTAGE</v>
          </cell>
        </row>
        <row r="1098">
          <cell r="A1098" t="str">
            <v>ChinaTELEPHONE</v>
          </cell>
        </row>
        <row r="1099">
          <cell r="A1099" t="str">
            <v>ChinaCUSTOMER SERVICE / COLLECTIONS</v>
          </cell>
        </row>
        <row r="1100">
          <cell r="A1100" t="str">
            <v>ChinaSTATIONARY - OFFICE SUPPLIES</v>
          </cell>
        </row>
        <row r="1101">
          <cell r="A1101" t="str">
            <v>ChinaT&amp;L</v>
          </cell>
        </row>
        <row r="1102">
          <cell r="A1102" t="str">
            <v>ChinaRENTAL - BLDG/FACILITIES</v>
          </cell>
        </row>
        <row r="1103">
          <cell r="A1103" t="str">
            <v>ChinaRENTAL - FURNITURE/EQUIP</v>
          </cell>
        </row>
        <row r="1104">
          <cell r="A1104" t="str">
            <v>ChinaRENTAL - COMPUTERS</v>
          </cell>
        </row>
        <row r="1105">
          <cell r="A1105" t="str">
            <v>ChinaLEASE IN - LEASE OUT</v>
          </cell>
        </row>
        <row r="1106">
          <cell r="A1106" t="str">
            <v>ChinaFURNITURE / EQUIPMENT / COMPUTER EXP</v>
          </cell>
        </row>
        <row r="1107">
          <cell r="A1107" t="str">
            <v>ChinaSOFTWARE EXPENSE</v>
          </cell>
        </row>
        <row r="1108">
          <cell r="A1108" t="str">
            <v>ChinaAMORTIZATION OF INTANGIBLES</v>
          </cell>
        </row>
        <row r="1109">
          <cell r="A1109" t="str">
            <v>ChinaELTO MAINTENANCE</v>
          </cell>
        </row>
        <row r="1110">
          <cell r="A1110" t="str">
            <v>ChinaELTO OTHER</v>
          </cell>
        </row>
        <row r="1111">
          <cell r="A1111" t="str">
            <v>ChinaLEGAL</v>
          </cell>
        </row>
        <row r="1112">
          <cell r="A1112" t="str">
            <v>ChinaADVERTISING</v>
          </cell>
        </row>
        <row r="1113">
          <cell r="A1113" t="str">
            <v>ChinaSALES PROMOTIONS</v>
          </cell>
        </row>
        <row r="1114">
          <cell r="A1114" t="str">
            <v>ChinaDIRECT MAIL</v>
          </cell>
        </row>
        <row r="1115">
          <cell r="A1115" t="str">
            <v>ChinaDATA PROCESSING</v>
          </cell>
        </row>
        <row r="1116">
          <cell r="A1116" t="str">
            <v>ChinaCONSULTING</v>
          </cell>
        </row>
        <row r="1117">
          <cell r="A1117" t="str">
            <v>ChinaTEMP SERVICES</v>
          </cell>
        </row>
        <row r="1118">
          <cell r="A1118" t="str">
            <v>ChinaGDC CHARGES</v>
          </cell>
        </row>
        <row r="1119">
          <cell r="A1119" t="str">
            <v>ChinaTRAINING AND EDUCATION</v>
          </cell>
        </row>
        <row r="1120">
          <cell r="A1120" t="str">
            <v>ChinaOUTSIDE SERVICES  AND FEES</v>
          </cell>
        </row>
        <row r="1121">
          <cell r="A1121" t="str">
            <v>ChinaSTATE, FOREIGN, LOCAL TAXES</v>
          </cell>
        </row>
        <row r="1122">
          <cell r="A1122" t="str">
            <v>ChinaS/L TAX - INSURANCE PREMIUMS</v>
          </cell>
        </row>
        <row r="1123">
          <cell r="A1123" t="str">
            <v>ChinaSATELLITE LEASE EXPENSE</v>
          </cell>
        </row>
        <row r="1124">
          <cell r="A1124" t="str">
            <v>ChinaBUSINESS SHARE EXPENSE</v>
          </cell>
        </row>
        <row r="1125">
          <cell r="A1125" t="str">
            <v>ChinaINSURANCE AFFILIATE EXPENSE</v>
          </cell>
        </row>
        <row r="1126">
          <cell r="A1126" t="str">
            <v>ChinaOTHER FACILITY EXPENSE</v>
          </cell>
        </row>
        <row r="1127">
          <cell r="A1127" t="str">
            <v>ChinaGROSS OP &amp; ADMIN BUS SHARE</v>
          </cell>
        </row>
        <row r="1128">
          <cell r="A1128" t="str">
            <v>ChinaOTHER EXPENSE</v>
          </cell>
        </row>
        <row r="1129">
          <cell r="A1129" t="str">
            <v>ChinaGECC INTERCO EXPENSES EXCL GECIS</v>
          </cell>
        </row>
        <row r="1130">
          <cell r="A1130" t="str">
            <v>ChinaGECIS INTERCO CHARGES</v>
          </cell>
        </row>
        <row r="1131">
          <cell r="A1131" t="str">
            <v>ChinaLOSS ADJUSTED EXPENSE</v>
          </cell>
        </row>
        <row r="1132">
          <cell r="A1132" t="str">
            <v>ChinaALL OTHER EXPENSES</v>
          </cell>
        </row>
        <row r="1133">
          <cell r="A1133" t="str">
            <v>ChinaASSESSMENTS</v>
          </cell>
        </row>
        <row r="1134">
          <cell r="A1134" t="str">
            <v>ChinaFAS 91</v>
          </cell>
        </row>
        <row r="1135">
          <cell r="A1135" t="str">
            <v>ChinaGOODWILL AMORTIZATION</v>
          </cell>
        </row>
        <row r="1136">
          <cell r="A1136" t="str">
            <v>ChinaDEPRECIATION EXPENSE</v>
          </cell>
        </row>
        <row r="1137">
          <cell r="A1137" t="str">
            <v>ChinaELTO AMORTIZATION</v>
          </cell>
        </row>
        <row r="1138">
          <cell r="A1138" t="str">
            <v>ChinaINSURANCE LOSSES AND BENEFITS</v>
          </cell>
        </row>
        <row r="1139">
          <cell r="A1139" t="str">
            <v>ChinaWRITE OFFS</v>
          </cell>
        </row>
        <row r="1140">
          <cell r="A1140" t="str">
            <v>ChinaRESERVE CHANGE</v>
          </cell>
        </row>
        <row r="1141">
          <cell r="A1141" t="str">
            <v>ChinaMINORITY INTEREST</v>
          </cell>
        </row>
        <row r="1142">
          <cell r="A1142" t="str">
            <v>ChinaINCOME TAXES</v>
          </cell>
        </row>
        <row r="1143">
          <cell r="A1143" t="str">
            <v>ChinaCUMULATIVE TRANSITION ADJUSTMENT</v>
          </cell>
        </row>
        <row r="1144">
          <cell r="A1144" t="str">
            <v>ChinaASIA PACIFIC NI DIVIDEND</v>
          </cell>
        </row>
        <row r="1145">
          <cell r="A1145" t="str">
            <v>ChinaNet Income</v>
          </cell>
        </row>
        <row r="1146">
          <cell r="A1146" t="str">
            <v>ChinaSubPart F</v>
          </cell>
        </row>
        <row r="1147">
          <cell r="A1147" t="str">
            <v>ChinaAssets</v>
          </cell>
        </row>
        <row r="1148">
          <cell r="A1148" t="str">
            <v>ChinaEnding Net Investment (ENI) incl Asia</v>
          </cell>
        </row>
        <row r="1149">
          <cell r="A1149" t="str">
            <v>ChinaANR YTD</v>
          </cell>
        </row>
        <row r="1150">
          <cell r="A1150" t="str">
            <v>ChinaASA YTD</v>
          </cell>
        </row>
        <row r="1151">
          <cell r="A1151" t="str">
            <v>ChinaANI YTD incl Asia - 5 pt</v>
          </cell>
        </row>
        <row r="1152">
          <cell r="A1152" t="str">
            <v>ChinaOff Balance Sheet Assets</v>
          </cell>
        </row>
        <row r="1153">
          <cell r="A1153" t="str">
            <v>ChinaJV Receivables</v>
          </cell>
        </row>
        <row r="1154">
          <cell r="A1154" t="str">
            <v>China30+ DELINQUENCY $</v>
          </cell>
        </row>
        <row r="1155">
          <cell r="A1155" t="str">
            <v>China90+ DELINQUENCY $</v>
          </cell>
        </row>
        <row r="1156">
          <cell r="A1156" t="str">
            <v>ChinaTemporary Staff</v>
          </cell>
        </row>
        <row r="1157">
          <cell r="A1157" t="str">
            <v>ChinaContractors</v>
          </cell>
        </row>
        <row r="1158">
          <cell r="A1158" t="str">
            <v>ChinaOutsourced to LCC</v>
          </cell>
        </row>
        <row r="1159">
          <cell r="A1159" t="str">
            <v>ChinaTotal Headcount</v>
          </cell>
        </row>
        <row r="1160">
          <cell r="A1160" t="str">
            <v>ChinaTotal Workforce</v>
          </cell>
        </row>
        <row r="1161">
          <cell r="A1161" t="str">
            <v>ChinaTotal Earned Revenue</v>
          </cell>
        </row>
        <row r="1162">
          <cell r="A1162" t="str">
            <v>ChinaOrdinary Gains - PreTax</v>
          </cell>
        </row>
        <row r="1163">
          <cell r="A1163" t="str">
            <v>ChinaOrdinary Gains - AfterTax</v>
          </cell>
        </row>
        <row r="1164">
          <cell r="A1164" t="str">
            <v>ChinaTotal Volume</v>
          </cell>
        </row>
        <row r="1165">
          <cell r="A1165" t="str">
            <v>ChinaTOTAL # ACTIVE ACCOUNTS</v>
          </cell>
        </row>
        <row r="1166">
          <cell r="A1166" t="str">
            <v>Czech RepublicTOTAL FINANCING RECEIVABLES</v>
          </cell>
        </row>
        <row r="1167">
          <cell r="A1167" t="str">
            <v>Czech RepublicRECEIVABLE RESERVES</v>
          </cell>
        </row>
        <row r="1168">
          <cell r="A1168" t="str">
            <v>Czech RepublicCASH</v>
          </cell>
        </row>
        <row r="1169">
          <cell r="A1169" t="str">
            <v>Czech RepublicINVESTMENT SECURITIES</v>
          </cell>
        </row>
        <row r="1170">
          <cell r="A1170" t="str">
            <v>Czech RepublicINV IN NON CONSOL AFFILIATES</v>
          </cell>
        </row>
        <row r="1171">
          <cell r="A1171" t="str">
            <v>Czech RepublicINVESTMENT IN JOINT VENTURE</v>
          </cell>
        </row>
        <row r="1172">
          <cell r="A1172" t="str">
            <v>Czech RepublicALL OTHER RECEIVABLES (NON-FINANCING)</v>
          </cell>
        </row>
        <row r="1173">
          <cell r="A1173" t="str">
            <v>Czech RepublicELTO (NET)</v>
          </cell>
        </row>
        <row r="1174">
          <cell r="A1174" t="str">
            <v>Czech RepublicGOODWILL</v>
          </cell>
        </row>
        <row r="1175">
          <cell r="A1175" t="str">
            <v>Czech RepublicOTHER ASSETS</v>
          </cell>
        </row>
        <row r="1176">
          <cell r="A1176" t="str">
            <v>Czech RepublicACCOUNTS PAYABLE</v>
          </cell>
        </row>
        <row r="1177">
          <cell r="A1177" t="str">
            <v>Czech RepublicDEFERRED INCOME TAXES</v>
          </cell>
        </row>
        <row r="1178">
          <cell r="A1178" t="str">
            <v>Czech RepublicWRITE-OFF (MEMO)</v>
          </cell>
        </row>
        <row r="1179">
          <cell r="A1179" t="str">
            <v>Czech RepublicINSURANCE RESERVES AND ANNUITY BENEFITS</v>
          </cell>
        </row>
        <row r="1180">
          <cell r="A1180" t="str">
            <v>Czech RepublicALL OTHER NON DEBT LIABILITIES</v>
          </cell>
        </row>
        <row r="1181">
          <cell r="A1181" t="str">
            <v>Czech RepublicMINORITY INTEREST (BS)</v>
          </cell>
        </row>
        <row r="1182">
          <cell r="A1182" t="str">
            <v>Czech RepublicASIA PACIFIC ENI DIVIDEND</v>
          </cell>
        </row>
        <row r="1183">
          <cell r="A1183" t="str">
            <v>Czech RepublicFINANCING INCOME</v>
          </cell>
        </row>
        <row r="1184">
          <cell r="A1184" t="str">
            <v>Czech RepublicINSURANCE PREMIUM INCOME</v>
          </cell>
        </row>
        <row r="1185">
          <cell r="A1185" t="str">
            <v>Czech RepublicINSURANCE INCOME (COMMISSIONS)</v>
          </cell>
        </row>
        <row r="1186">
          <cell r="A1186" t="str">
            <v>Czech RepublicSUNDRY INCOME</v>
          </cell>
        </row>
        <row r="1187">
          <cell r="A1187" t="str">
            <v>Czech RepublicINTEREST EXPENSE</v>
          </cell>
        </row>
        <row r="1188">
          <cell r="A1188" t="str">
            <v>Czech RepublicINTEREST EXPENSE REDUCTIONS / BUS SHARING</v>
          </cell>
        </row>
        <row r="1189">
          <cell r="A1189" t="str">
            <v>Czech RepublicALLOCATED COST OF PREFERRED EQUITY</v>
          </cell>
        </row>
        <row r="1190">
          <cell r="A1190" t="str">
            <v>Czech RepublicSALARIES &amp; BENEFITS</v>
          </cell>
        </row>
        <row r="1191">
          <cell r="A1191" t="str">
            <v>Czech RepublicLOSSES ON OTHER ASSETS</v>
          </cell>
        </row>
        <row r="1192">
          <cell r="A1192" t="str">
            <v>Czech RepublicCOST OF GOODS SOLD</v>
          </cell>
        </row>
        <row r="1193">
          <cell r="A1193" t="str">
            <v>Czech RepublicCOST OF GOODS SOLD - DISTRIBUTION</v>
          </cell>
        </row>
        <row r="1194">
          <cell r="A1194" t="str">
            <v>Czech RepublicPOSTAGE</v>
          </cell>
        </row>
        <row r="1195">
          <cell r="A1195" t="str">
            <v>Czech RepublicTELEPHONE</v>
          </cell>
        </row>
        <row r="1196">
          <cell r="A1196" t="str">
            <v>Czech RepublicCUSTOMER SERVICE / COLLECTIONS</v>
          </cell>
        </row>
        <row r="1197">
          <cell r="A1197" t="str">
            <v>Czech RepublicSTATIONARY - OFFICE SUPPLIES</v>
          </cell>
        </row>
        <row r="1198">
          <cell r="A1198" t="str">
            <v>Czech RepublicT&amp;L</v>
          </cell>
        </row>
        <row r="1199">
          <cell r="A1199" t="str">
            <v>Czech RepublicRENTAL - BLDG/FACILITIES</v>
          </cell>
        </row>
        <row r="1200">
          <cell r="A1200" t="str">
            <v>Czech RepublicRENTAL - FURNITURE/EQUIP</v>
          </cell>
        </row>
        <row r="1201">
          <cell r="A1201" t="str">
            <v>Czech RepublicRENTAL - COMPUTERS</v>
          </cell>
        </row>
        <row r="1202">
          <cell r="A1202" t="str">
            <v>Czech RepublicLEASE IN - LEASE OUT</v>
          </cell>
        </row>
        <row r="1203">
          <cell r="A1203" t="str">
            <v>Czech RepublicFURNITURE / EQUIPMENT / COMPUTER EXP</v>
          </cell>
        </row>
        <row r="1204">
          <cell r="A1204" t="str">
            <v>Czech RepublicSOFTWARE EXPENSE</v>
          </cell>
        </row>
        <row r="1205">
          <cell r="A1205" t="str">
            <v>Czech RepublicAMORTIZATION OF INTANGIBLES</v>
          </cell>
        </row>
        <row r="1206">
          <cell r="A1206" t="str">
            <v>Czech RepublicELTO MAINTENANCE</v>
          </cell>
        </row>
        <row r="1207">
          <cell r="A1207" t="str">
            <v>Czech RepublicELTO OTHER</v>
          </cell>
        </row>
        <row r="1208">
          <cell r="A1208" t="str">
            <v>Czech RepublicLEGAL</v>
          </cell>
        </row>
        <row r="1209">
          <cell r="A1209" t="str">
            <v>Czech RepublicADVERTISING</v>
          </cell>
        </row>
        <row r="1210">
          <cell r="A1210" t="str">
            <v>Czech RepublicSALES PROMOTIONS</v>
          </cell>
        </row>
        <row r="1211">
          <cell r="A1211" t="str">
            <v>Czech RepublicDIRECT MAIL</v>
          </cell>
        </row>
        <row r="1212">
          <cell r="A1212" t="str">
            <v>Czech RepublicDATA PROCESSING</v>
          </cell>
        </row>
        <row r="1213">
          <cell r="A1213" t="str">
            <v>Czech RepublicCONSULTING</v>
          </cell>
        </row>
        <row r="1214">
          <cell r="A1214" t="str">
            <v>Czech RepublicTEMP SERVICES</v>
          </cell>
        </row>
        <row r="1215">
          <cell r="A1215" t="str">
            <v>Czech RepublicGDC CHARGES</v>
          </cell>
        </row>
        <row r="1216">
          <cell r="A1216" t="str">
            <v>Czech RepublicTRAINING AND EDUCATION</v>
          </cell>
        </row>
        <row r="1217">
          <cell r="A1217" t="str">
            <v>Czech RepublicOUTSIDE SERVICES  AND FEES</v>
          </cell>
        </row>
        <row r="1218">
          <cell r="A1218" t="str">
            <v>Czech RepublicSTATE, FOREIGN, LOCAL TAXES</v>
          </cell>
        </row>
        <row r="1219">
          <cell r="A1219" t="str">
            <v>Czech RepublicS/L TAX - INSURANCE PREMIUMS</v>
          </cell>
        </row>
        <row r="1220">
          <cell r="A1220" t="str">
            <v>Czech RepublicSATELLITE LEASE EXPENSE</v>
          </cell>
        </row>
        <row r="1221">
          <cell r="A1221" t="str">
            <v>Czech RepublicBUSINESS SHARE EXPENSE</v>
          </cell>
        </row>
        <row r="1222">
          <cell r="A1222" t="str">
            <v>Czech RepublicINSURANCE AFFILIATE EXPENSE</v>
          </cell>
        </row>
        <row r="1223">
          <cell r="A1223" t="str">
            <v>Czech RepublicOTHER FACILITY EXPENSE</v>
          </cell>
        </row>
        <row r="1224">
          <cell r="A1224" t="str">
            <v>Czech RepublicGROSS OP &amp; ADMIN BUS SHARE</v>
          </cell>
        </row>
        <row r="1225">
          <cell r="A1225" t="str">
            <v>Czech RepublicOTHER EXPENSE</v>
          </cell>
        </row>
        <row r="1226">
          <cell r="A1226" t="str">
            <v>Czech RepublicGECC INTERCO EXPENSES EXCL GECIS</v>
          </cell>
        </row>
        <row r="1227">
          <cell r="A1227" t="str">
            <v>Czech RepublicGECIS INTERCO CHARGES</v>
          </cell>
        </row>
        <row r="1228">
          <cell r="A1228" t="str">
            <v>Czech RepublicLOSS ADJUSTED EXPENSE</v>
          </cell>
        </row>
        <row r="1229">
          <cell r="A1229" t="str">
            <v>Czech RepublicALL OTHER EXPENSES</v>
          </cell>
        </row>
        <row r="1230">
          <cell r="A1230" t="str">
            <v>Czech RepublicASSESSMENTS</v>
          </cell>
        </row>
        <row r="1231">
          <cell r="A1231" t="str">
            <v>Czech RepublicFAS 91</v>
          </cell>
        </row>
        <row r="1232">
          <cell r="A1232" t="str">
            <v>Czech RepublicGOODWILL AMORTIZATION</v>
          </cell>
        </row>
        <row r="1233">
          <cell r="A1233" t="str">
            <v>Czech RepublicDEPRECIATION EXPENSE</v>
          </cell>
        </row>
        <row r="1234">
          <cell r="A1234" t="str">
            <v>Czech RepublicELTO AMORTIZATION</v>
          </cell>
        </row>
        <row r="1235">
          <cell r="A1235" t="str">
            <v>Czech RepublicINSURANCE LOSSES AND BENEFITS</v>
          </cell>
        </row>
        <row r="1236">
          <cell r="A1236" t="str">
            <v>Czech RepublicWRITE OFFS</v>
          </cell>
        </row>
        <row r="1237">
          <cell r="A1237" t="str">
            <v>Czech RepublicRESERVE CHANGE</v>
          </cell>
        </row>
        <row r="1238">
          <cell r="A1238" t="str">
            <v>Czech RepublicMINORITY INTEREST</v>
          </cell>
        </row>
        <row r="1239">
          <cell r="A1239" t="str">
            <v>Czech RepublicINCOME TAXES</v>
          </cell>
        </row>
        <row r="1240">
          <cell r="A1240" t="str">
            <v>Czech RepublicCUMULATIVE TRANSITION ADJUSTMENT</v>
          </cell>
        </row>
        <row r="1241">
          <cell r="A1241" t="str">
            <v>Czech RepublicASIA PACIFIC NI DIVIDEND</v>
          </cell>
        </row>
        <row r="1242">
          <cell r="A1242" t="str">
            <v>Czech RepublicNet Income</v>
          </cell>
        </row>
        <row r="1243">
          <cell r="A1243" t="str">
            <v>Czech RepublicSubPart F</v>
          </cell>
        </row>
        <row r="1244">
          <cell r="A1244" t="str">
            <v>Czech RepublicAssets</v>
          </cell>
        </row>
        <row r="1245">
          <cell r="A1245" t="str">
            <v>Czech RepublicEnding Net Investment (ENI) incl Asia</v>
          </cell>
        </row>
        <row r="1246">
          <cell r="A1246" t="str">
            <v>Czech RepublicANR YTD</v>
          </cell>
        </row>
        <row r="1247">
          <cell r="A1247" t="str">
            <v>Czech RepublicASA YTD</v>
          </cell>
        </row>
        <row r="1248">
          <cell r="A1248" t="str">
            <v>Czech RepublicANI YTD incl Asia - 5 pt</v>
          </cell>
        </row>
        <row r="1249">
          <cell r="A1249" t="str">
            <v>Czech RepublicOff Balance Sheet Assets</v>
          </cell>
        </row>
        <row r="1250">
          <cell r="A1250" t="str">
            <v>Czech RepublicJV Receivables</v>
          </cell>
        </row>
        <row r="1251">
          <cell r="A1251" t="str">
            <v>Czech Republic30+ DELINQUENCY $</v>
          </cell>
        </row>
        <row r="1252">
          <cell r="A1252" t="str">
            <v>Czech Republic90+ DELINQUENCY $</v>
          </cell>
        </row>
        <row r="1253">
          <cell r="A1253" t="str">
            <v>Czech RepublicTemporary Staff</v>
          </cell>
        </row>
        <row r="1254">
          <cell r="A1254" t="str">
            <v>Czech RepublicContractors</v>
          </cell>
        </row>
        <row r="1255">
          <cell r="A1255" t="str">
            <v>Czech RepublicOutsourced to LCC</v>
          </cell>
        </row>
        <row r="1256">
          <cell r="A1256" t="str">
            <v>Czech RepublicTotal Headcount</v>
          </cell>
        </row>
        <row r="1257">
          <cell r="A1257" t="str">
            <v>Czech RepublicTotal Workforce</v>
          </cell>
        </row>
        <row r="1258">
          <cell r="A1258" t="str">
            <v>Czech RepublicTotal Earned Revenue</v>
          </cell>
        </row>
        <row r="1259">
          <cell r="A1259" t="str">
            <v>Czech RepublicOrdinary Gains - PreTax</v>
          </cell>
        </row>
        <row r="1260">
          <cell r="A1260" t="str">
            <v>Czech RepublicOrdinary Gains - AfterTax</v>
          </cell>
        </row>
        <row r="1261">
          <cell r="A1261" t="str">
            <v>Czech RepublicTotal Volume</v>
          </cell>
        </row>
        <row r="1262">
          <cell r="A1262" t="str">
            <v>Czech RepublicTOTAL # ACTIVE ACCOUNTS</v>
          </cell>
        </row>
        <row r="1263">
          <cell r="A1263" t="str">
            <v>DenmarkTOTAL FINANCING RECEIVABLES</v>
          </cell>
        </row>
        <row r="1264">
          <cell r="A1264" t="str">
            <v>DenmarkRECEIVABLE RESERVES</v>
          </cell>
        </row>
        <row r="1265">
          <cell r="A1265" t="str">
            <v>DenmarkCASH</v>
          </cell>
        </row>
        <row r="1266">
          <cell r="A1266" t="str">
            <v>DenmarkINVESTMENT SECURITIES</v>
          </cell>
        </row>
        <row r="1267">
          <cell r="A1267" t="str">
            <v>DenmarkINV IN NON CONSOL AFFILIATES</v>
          </cell>
        </row>
        <row r="1268">
          <cell r="A1268" t="str">
            <v>DenmarkINVESTMENT IN JOINT VENTURE</v>
          </cell>
        </row>
        <row r="1269">
          <cell r="A1269" t="str">
            <v>DenmarkALL OTHER RECEIVABLES (NON-FINANCING)</v>
          </cell>
        </row>
        <row r="1270">
          <cell r="A1270" t="str">
            <v>DenmarkELTO (NET)</v>
          </cell>
        </row>
        <row r="1271">
          <cell r="A1271" t="str">
            <v>DenmarkGOODWILL</v>
          </cell>
        </row>
        <row r="1272">
          <cell r="A1272" t="str">
            <v>DenmarkOTHER ASSETS</v>
          </cell>
        </row>
        <row r="1273">
          <cell r="A1273" t="str">
            <v>DenmarkACCOUNTS PAYABLE</v>
          </cell>
        </row>
        <row r="1274">
          <cell r="A1274" t="str">
            <v>DenmarkDEFERRED INCOME TAXES</v>
          </cell>
        </row>
        <row r="1275">
          <cell r="A1275" t="str">
            <v>DenmarkWRITE-OFF (MEMO)</v>
          </cell>
        </row>
        <row r="1276">
          <cell r="A1276" t="str">
            <v>DenmarkINSURANCE RESERVES AND ANNUITY BENEFITS</v>
          </cell>
        </row>
        <row r="1277">
          <cell r="A1277" t="str">
            <v>DenmarkALL OTHER NON DEBT LIABILITIES</v>
          </cell>
        </row>
        <row r="1278">
          <cell r="A1278" t="str">
            <v>DenmarkMINORITY INTEREST (BS)</v>
          </cell>
        </row>
        <row r="1279">
          <cell r="A1279" t="str">
            <v>DenmarkASIA PACIFIC ENI DIVIDEND</v>
          </cell>
        </row>
        <row r="1280">
          <cell r="A1280" t="str">
            <v>DenmarkFINANCING INCOME</v>
          </cell>
        </row>
        <row r="1281">
          <cell r="A1281" t="str">
            <v>DenmarkINSURANCE PREMIUM INCOME</v>
          </cell>
        </row>
        <row r="1282">
          <cell r="A1282" t="str">
            <v>DenmarkINSURANCE INCOME (COMMISSIONS)</v>
          </cell>
        </row>
        <row r="1283">
          <cell r="A1283" t="str">
            <v>DenmarkSUNDRY INCOME</v>
          </cell>
        </row>
        <row r="1284">
          <cell r="A1284" t="str">
            <v>DenmarkINTEREST EXPENSE</v>
          </cell>
        </row>
        <row r="1285">
          <cell r="A1285" t="str">
            <v>DenmarkINTEREST EXPENSE REDUCTIONS / BUS SHARING</v>
          </cell>
        </row>
        <row r="1286">
          <cell r="A1286" t="str">
            <v>DenmarkALLOCATED COST OF PREFERRED EQUITY</v>
          </cell>
        </row>
        <row r="1287">
          <cell r="A1287" t="str">
            <v>DenmarkSALARIES &amp; BENEFITS</v>
          </cell>
        </row>
        <row r="1288">
          <cell r="A1288" t="str">
            <v>DenmarkLOSSES ON OTHER ASSETS</v>
          </cell>
        </row>
        <row r="1289">
          <cell r="A1289" t="str">
            <v>DenmarkCOST OF GOODS SOLD</v>
          </cell>
        </row>
        <row r="1290">
          <cell r="A1290" t="str">
            <v>DenmarkCOST OF GOODS SOLD - DISTRIBUTION</v>
          </cell>
        </row>
        <row r="1291">
          <cell r="A1291" t="str">
            <v>DenmarkPOSTAGE</v>
          </cell>
        </row>
        <row r="1292">
          <cell r="A1292" t="str">
            <v>DenmarkTELEPHONE</v>
          </cell>
        </row>
        <row r="1293">
          <cell r="A1293" t="str">
            <v>DenmarkCUSTOMER SERVICE / COLLECTIONS</v>
          </cell>
        </row>
        <row r="1294">
          <cell r="A1294" t="str">
            <v>DenmarkSTATIONARY - OFFICE SUPPLIES</v>
          </cell>
        </row>
        <row r="1295">
          <cell r="A1295" t="str">
            <v>DenmarkT&amp;L</v>
          </cell>
        </row>
        <row r="1296">
          <cell r="A1296" t="str">
            <v>DenmarkRENTAL - BLDG/FACILITIES</v>
          </cell>
        </row>
        <row r="1297">
          <cell r="A1297" t="str">
            <v>DenmarkRENTAL - FURNITURE/EQUIP</v>
          </cell>
        </row>
        <row r="1298">
          <cell r="A1298" t="str">
            <v>DenmarkRENTAL - COMPUTERS</v>
          </cell>
        </row>
        <row r="1299">
          <cell r="A1299" t="str">
            <v>DenmarkLEASE IN - LEASE OUT</v>
          </cell>
        </row>
        <row r="1300">
          <cell r="A1300" t="str">
            <v>DenmarkFURNITURE / EQUIPMENT / COMPUTER EXP</v>
          </cell>
        </row>
        <row r="1301">
          <cell r="A1301" t="str">
            <v>DenmarkSOFTWARE EXPENSE</v>
          </cell>
        </row>
        <row r="1302">
          <cell r="A1302" t="str">
            <v>DenmarkAMORTIZATION OF INTANGIBLES</v>
          </cell>
        </row>
        <row r="1303">
          <cell r="A1303" t="str">
            <v>DenmarkELTO MAINTENANCE</v>
          </cell>
        </row>
        <row r="1304">
          <cell r="A1304" t="str">
            <v>DenmarkELTO OTHER</v>
          </cell>
        </row>
        <row r="1305">
          <cell r="A1305" t="str">
            <v>DenmarkLEGAL</v>
          </cell>
        </row>
        <row r="1306">
          <cell r="A1306" t="str">
            <v>DenmarkADVERTISING</v>
          </cell>
        </row>
        <row r="1307">
          <cell r="A1307" t="str">
            <v>DenmarkSALES PROMOTIONS</v>
          </cell>
        </row>
        <row r="1308">
          <cell r="A1308" t="str">
            <v>DenmarkDIRECT MAIL</v>
          </cell>
        </row>
        <row r="1309">
          <cell r="A1309" t="str">
            <v>DenmarkDATA PROCESSING</v>
          </cell>
        </row>
        <row r="1310">
          <cell r="A1310" t="str">
            <v>DenmarkCONSULTING</v>
          </cell>
        </row>
        <row r="1311">
          <cell r="A1311" t="str">
            <v>DenmarkTEMP SERVICES</v>
          </cell>
        </row>
        <row r="1312">
          <cell r="A1312" t="str">
            <v>DenmarkGDC CHARGES</v>
          </cell>
        </row>
        <row r="1313">
          <cell r="A1313" t="str">
            <v>DenmarkTRAINING AND EDUCATION</v>
          </cell>
        </row>
        <row r="1314">
          <cell r="A1314" t="str">
            <v>DenmarkOUTSIDE SERVICES  AND FEES</v>
          </cell>
        </row>
        <row r="1315">
          <cell r="A1315" t="str">
            <v>DenmarkSTATE, FOREIGN, LOCAL TAXES</v>
          </cell>
        </row>
        <row r="1316">
          <cell r="A1316" t="str">
            <v>DenmarkS/L TAX - INSURANCE PREMIUMS</v>
          </cell>
        </row>
        <row r="1317">
          <cell r="A1317" t="str">
            <v>DenmarkSATELLITE LEASE EXPENSE</v>
          </cell>
        </row>
        <row r="1318">
          <cell r="A1318" t="str">
            <v>DenmarkBUSINESS SHARE EXPENSE</v>
          </cell>
        </row>
        <row r="1319">
          <cell r="A1319" t="str">
            <v>DenmarkINSURANCE AFFILIATE EXPENSE</v>
          </cell>
        </row>
        <row r="1320">
          <cell r="A1320" t="str">
            <v>DenmarkOTHER FACILITY EXPENSE</v>
          </cell>
        </row>
        <row r="1321">
          <cell r="A1321" t="str">
            <v>DenmarkGROSS OP &amp; ADMIN BUS SHARE</v>
          </cell>
        </row>
        <row r="1322">
          <cell r="A1322" t="str">
            <v>DenmarkOTHER EXPENSE</v>
          </cell>
        </row>
        <row r="1323">
          <cell r="A1323" t="str">
            <v>DenmarkGECC INTERCO EXPENSES EXCL GECIS</v>
          </cell>
        </row>
        <row r="1324">
          <cell r="A1324" t="str">
            <v>DenmarkGECIS INTERCO CHARGES</v>
          </cell>
        </row>
        <row r="1325">
          <cell r="A1325" t="str">
            <v>DenmarkLOSS ADJUSTED EXPENSE</v>
          </cell>
        </row>
        <row r="1326">
          <cell r="A1326" t="str">
            <v>DenmarkALL OTHER EXPENSES</v>
          </cell>
        </row>
        <row r="1327">
          <cell r="A1327" t="str">
            <v>DenmarkASSESSMENTS</v>
          </cell>
        </row>
        <row r="1328">
          <cell r="A1328" t="str">
            <v>DenmarkFAS 91</v>
          </cell>
        </row>
        <row r="1329">
          <cell r="A1329" t="str">
            <v>DenmarkGOODWILL AMORTIZATION</v>
          </cell>
        </row>
        <row r="1330">
          <cell r="A1330" t="str">
            <v>DenmarkDEPRECIATION EXPENSE</v>
          </cell>
        </row>
        <row r="1331">
          <cell r="A1331" t="str">
            <v>DenmarkELTO AMORTIZATION</v>
          </cell>
        </row>
        <row r="1332">
          <cell r="A1332" t="str">
            <v>DenmarkINSURANCE LOSSES AND BENEFITS</v>
          </cell>
        </row>
        <row r="1333">
          <cell r="A1333" t="str">
            <v>DenmarkWRITE OFFS</v>
          </cell>
        </row>
        <row r="1334">
          <cell r="A1334" t="str">
            <v>DenmarkRESERVE CHANGE</v>
          </cell>
        </row>
        <row r="1335">
          <cell r="A1335" t="str">
            <v>DenmarkMINORITY INTEREST</v>
          </cell>
        </row>
        <row r="1336">
          <cell r="A1336" t="str">
            <v>DenmarkINCOME TAXES</v>
          </cell>
        </row>
        <row r="1337">
          <cell r="A1337" t="str">
            <v>DenmarkCUMULATIVE TRANSITION ADJUSTMENT</v>
          </cell>
        </row>
        <row r="1338">
          <cell r="A1338" t="str">
            <v>DenmarkASIA PACIFIC NI DIVIDEND</v>
          </cell>
        </row>
        <row r="1339">
          <cell r="A1339" t="str">
            <v>DenmarkNet Income</v>
          </cell>
        </row>
        <row r="1340">
          <cell r="A1340" t="str">
            <v>DenmarkSubPart F</v>
          </cell>
        </row>
        <row r="1341">
          <cell r="A1341" t="str">
            <v>DenmarkAssets</v>
          </cell>
        </row>
        <row r="1342">
          <cell r="A1342" t="str">
            <v>DenmarkEnding Net Investment (ENI) incl Asia</v>
          </cell>
        </row>
        <row r="1343">
          <cell r="A1343" t="str">
            <v>DenmarkANR YTD</v>
          </cell>
        </row>
        <row r="1344">
          <cell r="A1344" t="str">
            <v>DenmarkASA YTD</v>
          </cell>
        </row>
        <row r="1345">
          <cell r="A1345" t="str">
            <v>DenmarkANI YTD incl Asia - 5 pt</v>
          </cell>
        </row>
        <row r="1346">
          <cell r="A1346" t="str">
            <v>DenmarkOff Balance Sheet Assets</v>
          </cell>
        </row>
        <row r="1347">
          <cell r="A1347" t="str">
            <v>DenmarkJV Receivables</v>
          </cell>
        </row>
        <row r="1348">
          <cell r="A1348" t="str">
            <v>Denmark30+ DELINQUENCY $</v>
          </cell>
        </row>
        <row r="1349">
          <cell r="A1349" t="str">
            <v>Denmark90+ DELINQUENCY $</v>
          </cell>
        </row>
        <row r="1350">
          <cell r="A1350" t="str">
            <v>DenmarkTemporary Staff</v>
          </cell>
        </row>
        <row r="1351">
          <cell r="A1351" t="str">
            <v>DenmarkContractors</v>
          </cell>
        </row>
        <row r="1352">
          <cell r="A1352" t="str">
            <v>DenmarkOutsourced to LCC</v>
          </cell>
        </row>
        <row r="1353">
          <cell r="A1353" t="str">
            <v>DenmarkTotal Headcount</v>
          </cell>
        </row>
        <row r="1354">
          <cell r="A1354" t="str">
            <v>DenmarkTotal Workforce</v>
          </cell>
        </row>
        <row r="1355">
          <cell r="A1355" t="str">
            <v>DenmarkTotal Earned Revenue</v>
          </cell>
        </row>
        <row r="1356">
          <cell r="A1356" t="str">
            <v>DenmarkOrdinary Gains - PreTax</v>
          </cell>
        </row>
        <row r="1357">
          <cell r="A1357" t="str">
            <v>DenmarkOrdinary Gains - AfterTax</v>
          </cell>
        </row>
        <row r="1358">
          <cell r="A1358" t="str">
            <v>DenmarkTotal Volume</v>
          </cell>
        </row>
        <row r="1359">
          <cell r="A1359" t="str">
            <v>DenmarkTOTAL # ACTIVE ACCOUNTS</v>
          </cell>
        </row>
        <row r="1360">
          <cell r="A1360" t="str">
            <v>DOMsTOTAL FINANCING RECEIVABLES</v>
          </cell>
        </row>
        <row r="1361">
          <cell r="A1361" t="str">
            <v>DOMsRECEIVABLE RESERVES</v>
          </cell>
        </row>
        <row r="1362">
          <cell r="A1362" t="str">
            <v>DOMsCASH</v>
          </cell>
        </row>
        <row r="1363">
          <cell r="A1363" t="str">
            <v>DOMsINVESTMENT SECURITIES</v>
          </cell>
        </row>
        <row r="1364">
          <cell r="A1364" t="str">
            <v>DOMsINV IN NON CONSOL AFFILIATES</v>
          </cell>
        </row>
        <row r="1365">
          <cell r="A1365" t="str">
            <v>DOMsINVESTMENT IN JOINT VENTURE</v>
          </cell>
        </row>
        <row r="1366">
          <cell r="A1366" t="str">
            <v>DOMsALL OTHER RECEIVABLES (NON-FINANCING)</v>
          </cell>
        </row>
        <row r="1367">
          <cell r="A1367" t="str">
            <v>DOMsELTO (NET)</v>
          </cell>
        </row>
        <row r="1368">
          <cell r="A1368" t="str">
            <v>DOMsGOODWILL</v>
          </cell>
        </row>
        <row r="1369">
          <cell r="A1369" t="str">
            <v>DOMsOTHER ASSETS</v>
          </cell>
        </row>
        <row r="1370">
          <cell r="A1370" t="str">
            <v>DOMsACCOUNTS PAYABLE</v>
          </cell>
        </row>
        <row r="1371">
          <cell r="A1371" t="str">
            <v>DOMsDEFERRED INCOME TAXES</v>
          </cell>
        </row>
        <row r="1372">
          <cell r="A1372" t="str">
            <v>DOMsWRITE-OFF (MEMO)</v>
          </cell>
        </row>
        <row r="1373">
          <cell r="A1373" t="str">
            <v>DOMsINSURANCE RESERVES AND ANNUITY BENEFITS</v>
          </cell>
        </row>
        <row r="1374">
          <cell r="A1374" t="str">
            <v>DOMsALL OTHER NON DEBT LIABILITIES</v>
          </cell>
        </row>
        <row r="1375">
          <cell r="A1375" t="str">
            <v>DOMsMINORITY INTEREST (BS)</v>
          </cell>
        </row>
        <row r="1376">
          <cell r="A1376" t="str">
            <v>DOMsASIA PACIFIC ENI DIVIDEND</v>
          </cell>
        </row>
        <row r="1377">
          <cell r="A1377" t="str">
            <v>DOMsFINANCING INCOME</v>
          </cell>
        </row>
        <row r="1378">
          <cell r="A1378" t="str">
            <v>DOMsINSURANCE PREMIUM INCOME</v>
          </cell>
        </row>
        <row r="1379">
          <cell r="A1379" t="str">
            <v>DOMsINSURANCE INCOME (COMMISSIONS)</v>
          </cell>
        </row>
        <row r="1380">
          <cell r="A1380" t="str">
            <v>DOMsSUNDRY INCOME</v>
          </cell>
        </row>
        <row r="1381">
          <cell r="A1381" t="str">
            <v>DOMsINTEREST EXPENSE</v>
          </cell>
        </row>
        <row r="1382">
          <cell r="A1382" t="str">
            <v>DOMsINTEREST EXPENSE REDUCTIONS / BUS SHARING</v>
          </cell>
        </row>
        <row r="1383">
          <cell r="A1383" t="str">
            <v>DOMsALLOCATED COST OF PREFERRED EQUITY</v>
          </cell>
        </row>
        <row r="1384">
          <cell r="A1384" t="str">
            <v>DOMsSALARIES &amp; BENEFITS</v>
          </cell>
        </row>
        <row r="1385">
          <cell r="A1385" t="str">
            <v>DOMsLOSSES ON OTHER ASSETS</v>
          </cell>
        </row>
        <row r="1386">
          <cell r="A1386" t="str">
            <v>DOMsCOST OF GOODS SOLD</v>
          </cell>
        </row>
        <row r="1387">
          <cell r="A1387" t="str">
            <v>DOMsCOST OF GOODS SOLD - DISTRIBUTION</v>
          </cell>
        </row>
        <row r="1388">
          <cell r="A1388" t="str">
            <v>DOMsPOSTAGE</v>
          </cell>
        </row>
        <row r="1389">
          <cell r="A1389" t="str">
            <v>DOMsTELEPHONE</v>
          </cell>
        </row>
        <row r="1390">
          <cell r="A1390" t="str">
            <v>DOMsCUSTOMER SERVICE / COLLECTIONS</v>
          </cell>
        </row>
        <row r="1391">
          <cell r="A1391" t="str">
            <v>DOMsSTATIONARY - OFFICE SUPPLIES</v>
          </cell>
        </row>
        <row r="1392">
          <cell r="A1392" t="str">
            <v>DOMsT&amp;L</v>
          </cell>
        </row>
        <row r="1393">
          <cell r="A1393" t="str">
            <v>DOMsRENTAL - BLDG/FACILITIES</v>
          </cell>
        </row>
        <row r="1394">
          <cell r="A1394" t="str">
            <v>DOMsRENTAL - FURNITURE/EQUIP</v>
          </cell>
        </row>
        <row r="1395">
          <cell r="A1395" t="str">
            <v>DOMsRENTAL - COMPUTERS</v>
          </cell>
        </row>
        <row r="1396">
          <cell r="A1396" t="str">
            <v>DOMsLEASE IN - LEASE OUT</v>
          </cell>
        </row>
        <row r="1397">
          <cell r="A1397" t="str">
            <v>DOMsFURNITURE / EQUIPMENT / COMPUTER EXP</v>
          </cell>
        </row>
        <row r="1398">
          <cell r="A1398" t="str">
            <v>DOMsSOFTWARE EXPENSE</v>
          </cell>
        </row>
        <row r="1399">
          <cell r="A1399" t="str">
            <v>DOMsAMORTIZATION OF INTANGIBLES</v>
          </cell>
        </row>
        <row r="1400">
          <cell r="A1400" t="str">
            <v>DOMsELTO MAINTENANCE</v>
          </cell>
        </row>
        <row r="1401">
          <cell r="A1401" t="str">
            <v>DOMsELTO OTHER</v>
          </cell>
        </row>
        <row r="1402">
          <cell r="A1402" t="str">
            <v>DOMsLEGAL</v>
          </cell>
        </row>
        <row r="1403">
          <cell r="A1403" t="str">
            <v>DOMsADVERTISING</v>
          </cell>
        </row>
        <row r="1404">
          <cell r="A1404" t="str">
            <v>DOMsSALES PROMOTIONS</v>
          </cell>
        </row>
        <row r="1405">
          <cell r="A1405" t="str">
            <v>DOMsDIRECT MAIL</v>
          </cell>
        </row>
        <row r="1406">
          <cell r="A1406" t="str">
            <v>DOMsDATA PROCESSING</v>
          </cell>
        </row>
        <row r="1407">
          <cell r="A1407" t="str">
            <v>DOMsCONSULTING</v>
          </cell>
        </row>
        <row r="1408">
          <cell r="A1408" t="str">
            <v>DOMsTEMP SERVICES</v>
          </cell>
        </row>
        <row r="1409">
          <cell r="A1409" t="str">
            <v>DOMsGDC CHARGES</v>
          </cell>
        </row>
        <row r="1410">
          <cell r="A1410" t="str">
            <v>DOMsTRAINING AND EDUCATION</v>
          </cell>
        </row>
        <row r="1411">
          <cell r="A1411" t="str">
            <v>DOMsOUTSIDE SERVICES  AND FEES</v>
          </cell>
        </row>
        <row r="1412">
          <cell r="A1412" t="str">
            <v>DOMsSTATE, FOREIGN, LOCAL TAXES</v>
          </cell>
        </row>
        <row r="1413">
          <cell r="A1413" t="str">
            <v>DOMsS/L TAX - INSURANCE PREMIUMS</v>
          </cell>
        </row>
        <row r="1414">
          <cell r="A1414" t="str">
            <v>DOMsSATELLITE LEASE EXPENSE</v>
          </cell>
        </row>
        <row r="1415">
          <cell r="A1415" t="str">
            <v>DOMsBUSINESS SHARE EXPENSE</v>
          </cell>
        </row>
        <row r="1416">
          <cell r="A1416" t="str">
            <v>DOMsINSURANCE AFFILIATE EXPENSE</v>
          </cell>
        </row>
        <row r="1417">
          <cell r="A1417" t="str">
            <v>DOMsOTHER FACILITY EXPENSE</v>
          </cell>
        </row>
        <row r="1418">
          <cell r="A1418" t="str">
            <v>DOMsGROSS OP &amp; ADMIN BUS SHARE</v>
          </cell>
        </row>
        <row r="1419">
          <cell r="A1419" t="str">
            <v>DOMsOTHER EXPENSE</v>
          </cell>
        </row>
        <row r="1420">
          <cell r="A1420" t="str">
            <v>DOMsGECC INTERCO EXPENSES EXCL GECIS</v>
          </cell>
        </row>
        <row r="1421">
          <cell r="A1421" t="str">
            <v>DOMsGECIS INTERCO CHARGES</v>
          </cell>
        </row>
        <row r="1422">
          <cell r="A1422" t="str">
            <v>DOMsLOSS ADJUSTED EXPENSE</v>
          </cell>
        </row>
        <row r="1423">
          <cell r="A1423" t="str">
            <v>DOMsALL OTHER EXPENSES</v>
          </cell>
        </row>
        <row r="1424">
          <cell r="A1424" t="str">
            <v>DOMsASSESSMENTS</v>
          </cell>
        </row>
        <row r="1425">
          <cell r="A1425" t="str">
            <v>DOMsFAS 91</v>
          </cell>
        </row>
        <row r="1426">
          <cell r="A1426" t="str">
            <v>DOMsGOODWILL AMORTIZATION</v>
          </cell>
        </row>
        <row r="1427">
          <cell r="A1427" t="str">
            <v>DOMsDEPRECIATION EXPENSE</v>
          </cell>
        </row>
        <row r="1428">
          <cell r="A1428" t="str">
            <v>DOMsELTO AMORTIZATION</v>
          </cell>
        </row>
        <row r="1429">
          <cell r="A1429" t="str">
            <v>DOMsINSURANCE LOSSES AND BENEFITS</v>
          </cell>
        </row>
        <row r="1430">
          <cell r="A1430" t="str">
            <v>DOMsWRITE OFFS</v>
          </cell>
        </row>
        <row r="1431">
          <cell r="A1431" t="str">
            <v>DOMsRESERVE CHANGE</v>
          </cell>
        </row>
        <row r="1432">
          <cell r="A1432" t="str">
            <v>DOMsMINORITY INTEREST</v>
          </cell>
        </row>
        <row r="1433">
          <cell r="A1433" t="str">
            <v>DOMsINCOME TAXES</v>
          </cell>
        </row>
        <row r="1434">
          <cell r="A1434" t="str">
            <v>DOMsCUMULATIVE TRANSITION ADJUSTMENT</v>
          </cell>
        </row>
        <row r="1435">
          <cell r="A1435" t="str">
            <v>DOMsASIA PACIFIC NI DIVIDEND</v>
          </cell>
        </row>
        <row r="1436">
          <cell r="A1436" t="str">
            <v>DOMsNet Income</v>
          </cell>
        </row>
        <row r="1437">
          <cell r="A1437" t="str">
            <v>DOMsSubPart F</v>
          </cell>
        </row>
        <row r="1438">
          <cell r="A1438" t="str">
            <v>DOMsAssets</v>
          </cell>
        </row>
        <row r="1439">
          <cell r="A1439" t="str">
            <v>DOMsEnding Net Investment (ENI) incl Asia</v>
          </cell>
        </row>
        <row r="1440">
          <cell r="A1440" t="str">
            <v>DOMsANR YTD</v>
          </cell>
        </row>
        <row r="1441">
          <cell r="A1441" t="str">
            <v>DOMsASA YTD</v>
          </cell>
        </row>
        <row r="1442">
          <cell r="A1442" t="str">
            <v>DOMsANI YTD incl Asia - 5 pt</v>
          </cell>
        </row>
        <row r="1443">
          <cell r="A1443" t="str">
            <v>DOMsOff Balance Sheet Assets</v>
          </cell>
        </row>
        <row r="1444">
          <cell r="A1444" t="str">
            <v>DOMsJV Receivables</v>
          </cell>
        </row>
        <row r="1445">
          <cell r="A1445" t="str">
            <v>DOMs30+ DELINQUENCY $</v>
          </cell>
        </row>
        <row r="1446">
          <cell r="A1446" t="str">
            <v>DOMs90+ DELINQUENCY $</v>
          </cell>
        </row>
        <row r="1447">
          <cell r="A1447" t="str">
            <v>DOMsTemporary Staff</v>
          </cell>
        </row>
        <row r="1448">
          <cell r="A1448" t="str">
            <v>DOMsContractors</v>
          </cell>
        </row>
        <row r="1449">
          <cell r="A1449" t="str">
            <v>DOMsOutsourced to LCC</v>
          </cell>
        </row>
        <row r="1450">
          <cell r="A1450" t="str">
            <v>DOMsTotal Headcount</v>
          </cell>
        </row>
        <row r="1451">
          <cell r="A1451" t="str">
            <v>DOMsTotal Workforce</v>
          </cell>
        </row>
        <row r="1452">
          <cell r="A1452" t="str">
            <v>DOMsTotal Earned Revenue</v>
          </cell>
        </row>
        <row r="1453">
          <cell r="A1453" t="str">
            <v>DOMsOrdinary Gains - PreTax</v>
          </cell>
        </row>
        <row r="1454">
          <cell r="A1454" t="str">
            <v>DOMsOrdinary Gains - AfterTax</v>
          </cell>
        </row>
        <row r="1455">
          <cell r="A1455" t="str">
            <v>DOMsTotal Volume</v>
          </cell>
        </row>
        <row r="1456">
          <cell r="A1456" t="str">
            <v>DOMsTOTAL # ACTIVE ACCOUNTS</v>
          </cell>
        </row>
        <row r="1457">
          <cell r="A1457" t="str">
            <v>France GECBTOTAL FINANCING RECEIVABLES</v>
          </cell>
        </row>
        <row r="1458">
          <cell r="A1458" t="str">
            <v>France GECBRECEIVABLE RESERVES</v>
          </cell>
        </row>
        <row r="1459">
          <cell r="A1459" t="str">
            <v>France GECBCASH</v>
          </cell>
        </row>
        <row r="1460">
          <cell r="A1460" t="str">
            <v>France GECBINVESTMENT SECURITIES</v>
          </cell>
        </row>
        <row r="1461">
          <cell r="A1461" t="str">
            <v>France GECBINV IN NON CONSOL AFFILIATES</v>
          </cell>
        </row>
        <row r="1462">
          <cell r="A1462" t="str">
            <v>France GECBINVESTMENT IN JOINT VENTURE</v>
          </cell>
        </row>
        <row r="1463">
          <cell r="A1463" t="str">
            <v>France GECBALL OTHER RECEIVABLES (NON-FINANCING)</v>
          </cell>
        </row>
        <row r="1464">
          <cell r="A1464" t="str">
            <v>France GECBELTO (NET)</v>
          </cell>
        </row>
        <row r="1465">
          <cell r="A1465" t="str">
            <v>France GECBGOODWILL</v>
          </cell>
        </row>
        <row r="1466">
          <cell r="A1466" t="str">
            <v>France GECBOTHER ASSETS</v>
          </cell>
        </row>
        <row r="1467">
          <cell r="A1467" t="str">
            <v>France GECBACCOUNTS PAYABLE</v>
          </cell>
        </row>
        <row r="1468">
          <cell r="A1468" t="str">
            <v>France GECBDEFERRED INCOME TAXES</v>
          </cell>
        </row>
        <row r="1469">
          <cell r="A1469" t="str">
            <v>France GECBWRITE-OFF (MEMO)</v>
          </cell>
        </row>
        <row r="1470">
          <cell r="A1470" t="str">
            <v>France GECBINSURANCE RESERVES AND ANNUITY BENEFITS</v>
          </cell>
        </row>
        <row r="1471">
          <cell r="A1471" t="str">
            <v>France GECBALL OTHER NON DEBT LIABILITIES</v>
          </cell>
        </row>
        <row r="1472">
          <cell r="A1472" t="str">
            <v>France GECBMINORITY INTEREST (BS)</v>
          </cell>
        </row>
        <row r="1473">
          <cell r="A1473" t="str">
            <v>France GECBASIA PACIFIC ENI DIVIDEND</v>
          </cell>
        </row>
        <row r="1474">
          <cell r="A1474" t="str">
            <v>France GECBFINANCING INCOME</v>
          </cell>
        </row>
        <row r="1475">
          <cell r="A1475" t="str">
            <v>France GECBINSURANCE PREMIUM INCOME</v>
          </cell>
        </row>
        <row r="1476">
          <cell r="A1476" t="str">
            <v>France GECBINSURANCE INCOME (COMMISSIONS)</v>
          </cell>
        </row>
        <row r="1477">
          <cell r="A1477" t="str">
            <v>France GECBSUNDRY INCOME</v>
          </cell>
        </row>
        <row r="1478">
          <cell r="A1478" t="str">
            <v>France GECBINTEREST EXPENSE</v>
          </cell>
        </row>
        <row r="1479">
          <cell r="A1479" t="str">
            <v>France GECBINTEREST EXPENSE REDUCTIONS / BUS SHARING</v>
          </cell>
        </row>
        <row r="1480">
          <cell r="A1480" t="str">
            <v>France GECBALLOCATED COST OF PREFERRED EQUITY</v>
          </cell>
        </row>
        <row r="1481">
          <cell r="A1481" t="str">
            <v>France GECBSALARIES &amp; BENEFITS</v>
          </cell>
        </row>
        <row r="1482">
          <cell r="A1482" t="str">
            <v>France GECBLOSSES ON OTHER ASSETS</v>
          </cell>
        </row>
        <row r="1483">
          <cell r="A1483" t="str">
            <v>France GECBCOST OF GOODS SOLD</v>
          </cell>
        </row>
        <row r="1484">
          <cell r="A1484" t="str">
            <v>France GECBCOST OF GOODS SOLD - DISTRIBUTION</v>
          </cell>
        </row>
        <row r="1485">
          <cell r="A1485" t="str">
            <v>France GECBPOSTAGE</v>
          </cell>
        </row>
        <row r="1486">
          <cell r="A1486" t="str">
            <v>France GECBTELEPHONE</v>
          </cell>
        </row>
        <row r="1487">
          <cell r="A1487" t="str">
            <v>France GECBCUSTOMER SERVICE / COLLECTIONS</v>
          </cell>
        </row>
        <row r="1488">
          <cell r="A1488" t="str">
            <v>France GECBSTATIONARY - OFFICE SUPPLIES</v>
          </cell>
        </row>
        <row r="1489">
          <cell r="A1489" t="str">
            <v>France GECBT&amp;L</v>
          </cell>
        </row>
        <row r="1490">
          <cell r="A1490" t="str">
            <v>France GECBRENTAL - BLDG/FACILITIES</v>
          </cell>
        </row>
        <row r="1491">
          <cell r="A1491" t="str">
            <v>France GECBRENTAL - FURNITURE/EQUIP</v>
          </cell>
        </row>
        <row r="1492">
          <cell r="A1492" t="str">
            <v>France GECBRENTAL - COMPUTERS</v>
          </cell>
        </row>
        <row r="1493">
          <cell r="A1493" t="str">
            <v>France GECBLEASE IN - LEASE OUT</v>
          </cell>
        </row>
        <row r="1494">
          <cell r="A1494" t="str">
            <v>France GECBFURNITURE / EQUIPMENT / COMPUTER EXP</v>
          </cell>
        </row>
        <row r="1495">
          <cell r="A1495" t="str">
            <v>France GECBSOFTWARE EXPENSE</v>
          </cell>
        </row>
        <row r="1496">
          <cell r="A1496" t="str">
            <v>France GECBAMORTIZATION OF INTANGIBLES</v>
          </cell>
        </row>
        <row r="1497">
          <cell r="A1497" t="str">
            <v>France GECBELTO MAINTENANCE</v>
          </cell>
        </row>
        <row r="1498">
          <cell r="A1498" t="str">
            <v>France GECBELTO OTHER</v>
          </cell>
        </row>
        <row r="1499">
          <cell r="A1499" t="str">
            <v>France GECBLEGAL</v>
          </cell>
        </row>
        <row r="1500">
          <cell r="A1500" t="str">
            <v>France GECBADVERTISING</v>
          </cell>
        </row>
        <row r="1501">
          <cell r="A1501" t="str">
            <v>France GECBSALES PROMOTIONS</v>
          </cell>
        </row>
        <row r="1502">
          <cell r="A1502" t="str">
            <v>France GECBDIRECT MAIL</v>
          </cell>
        </row>
        <row r="1503">
          <cell r="A1503" t="str">
            <v>France GECBDATA PROCESSING</v>
          </cell>
        </row>
        <row r="1504">
          <cell r="A1504" t="str">
            <v>France GECBCONSULTING</v>
          </cell>
        </row>
        <row r="1505">
          <cell r="A1505" t="str">
            <v>France GECBTEMP SERVICES</v>
          </cell>
        </row>
        <row r="1506">
          <cell r="A1506" t="str">
            <v>France GECBGDC CHARGES</v>
          </cell>
        </row>
        <row r="1507">
          <cell r="A1507" t="str">
            <v>France GECBTRAINING AND EDUCATION</v>
          </cell>
        </row>
        <row r="1508">
          <cell r="A1508" t="str">
            <v>France GECBOUTSIDE SERVICES  AND FEES</v>
          </cell>
        </row>
        <row r="1509">
          <cell r="A1509" t="str">
            <v>France GECBSTATE, FOREIGN, LOCAL TAXES</v>
          </cell>
        </row>
        <row r="1510">
          <cell r="A1510" t="str">
            <v>France GECBS/L TAX - INSURANCE PREMIUMS</v>
          </cell>
        </row>
        <row r="1511">
          <cell r="A1511" t="str">
            <v>France GECBSATELLITE LEASE EXPENSE</v>
          </cell>
        </row>
        <row r="1512">
          <cell r="A1512" t="str">
            <v>France GECBBUSINESS SHARE EXPENSE</v>
          </cell>
        </row>
        <row r="1513">
          <cell r="A1513" t="str">
            <v>France GECBINSURANCE AFFILIATE EXPENSE</v>
          </cell>
        </row>
        <row r="1514">
          <cell r="A1514" t="str">
            <v>France GECBOTHER FACILITY EXPENSE</v>
          </cell>
        </row>
        <row r="1515">
          <cell r="A1515" t="str">
            <v>France GECBGROSS OP &amp; ADMIN BUS SHARE</v>
          </cell>
        </row>
        <row r="1516">
          <cell r="A1516" t="str">
            <v>France GECBOTHER EXPENSE</v>
          </cell>
        </row>
        <row r="1517">
          <cell r="A1517" t="str">
            <v>France GECBGECC INTERCO EXPENSES EXCL GECIS</v>
          </cell>
        </row>
        <row r="1518">
          <cell r="A1518" t="str">
            <v>France GECBGECIS INTERCO CHARGES</v>
          </cell>
        </row>
        <row r="1519">
          <cell r="A1519" t="str">
            <v>France GECBLOSS ADJUSTED EXPENSE</v>
          </cell>
        </row>
        <row r="1520">
          <cell r="A1520" t="str">
            <v>France GECBALL OTHER EXPENSES</v>
          </cell>
        </row>
        <row r="1521">
          <cell r="A1521" t="str">
            <v>France GECBASSESSMENTS</v>
          </cell>
        </row>
        <row r="1522">
          <cell r="A1522" t="str">
            <v>France GECBFAS 91</v>
          </cell>
        </row>
        <row r="1523">
          <cell r="A1523" t="str">
            <v>France GECBGOODWILL AMORTIZATION</v>
          </cell>
        </row>
        <row r="1524">
          <cell r="A1524" t="str">
            <v>France GECBDEPRECIATION EXPENSE</v>
          </cell>
        </row>
        <row r="1525">
          <cell r="A1525" t="str">
            <v>France GECBELTO AMORTIZATION</v>
          </cell>
        </row>
        <row r="1526">
          <cell r="A1526" t="str">
            <v>France GECBINSURANCE LOSSES AND BENEFITS</v>
          </cell>
        </row>
        <row r="1527">
          <cell r="A1527" t="str">
            <v>France GECBWRITE OFFS</v>
          </cell>
        </row>
        <row r="1528">
          <cell r="A1528" t="str">
            <v>France GECBRESERVE CHANGE</v>
          </cell>
        </row>
        <row r="1529">
          <cell r="A1529" t="str">
            <v>France GECBMINORITY INTEREST</v>
          </cell>
        </row>
        <row r="1530">
          <cell r="A1530" t="str">
            <v>France GECBINCOME TAXES</v>
          </cell>
        </row>
        <row r="1531">
          <cell r="A1531" t="str">
            <v>France GECBCUMULATIVE TRANSITION ADJUSTMENT</v>
          </cell>
        </row>
        <row r="1532">
          <cell r="A1532" t="str">
            <v>France GECBASIA PACIFIC NI DIVIDEND</v>
          </cell>
        </row>
        <row r="1533">
          <cell r="A1533" t="str">
            <v>France GECBNet Income</v>
          </cell>
        </row>
        <row r="1534">
          <cell r="A1534" t="str">
            <v>France GECBSubPart F</v>
          </cell>
        </row>
        <row r="1535">
          <cell r="A1535" t="str">
            <v>France GECBAssets</v>
          </cell>
        </row>
        <row r="1536">
          <cell r="A1536" t="str">
            <v>France GECBEnding Net Investment (ENI) incl Asia</v>
          </cell>
        </row>
        <row r="1537">
          <cell r="A1537" t="str">
            <v>France GECBANR YTD</v>
          </cell>
        </row>
        <row r="1538">
          <cell r="A1538" t="str">
            <v>France GECBASA YTD</v>
          </cell>
        </row>
        <row r="1539">
          <cell r="A1539" t="str">
            <v>France GECBANI YTD incl Asia - 5 pt</v>
          </cell>
        </row>
        <row r="1540">
          <cell r="A1540" t="str">
            <v>France GECBOff Balance Sheet Assets</v>
          </cell>
        </row>
        <row r="1541">
          <cell r="A1541" t="str">
            <v>France GECBJV Receivables</v>
          </cell>
        </row>
        <row r="1542">
          <cell r="A1542" t="str">
            <v>France GECB30+ DELINQUENCY $</v>
          </cell>
        </row>
        <row r="1543">
          <cell r="A1543" t="str">
            <v>France GECB90+ DELINQUENCY $</v>
          </cell>
        </row>
        <row r="1544">
          <cell r="A1544" t="str">
            <v>France GECBTemporary Staff</v>
          </cell>
        </row>
        <row r="1545">
          <cell r="A1545" t="str">
            <v>France GECBContractors</v>
          </cell>
        </row>
        <row r="1546">
          <cell r="A1546" t="str">
            <v>France GECBOutsourced to LCC</v>
          </cell>
        </row>
        <row r="1547">
          <cell r="A1547" t="str">
            <v>France GECBTotal Headcount</v>
          </cell>
        </row>
        <row r="1548">
          <cell r="A1548" t="str">
            <v>France GECBTotal Workforce</v>
          </cell>
        </row>
        <row r="1549">
          <cell r="A1549" t="str">
            <v>France GECBTotal Earned Revenue</v>
          </cell>
        </row>
        <row r="1550">
          <cell r="A1550" t="str">
            <v>France GECBOrdinary Gains - PreTax</v>
          </cell>
        </row>
        <row r="1551">
          <cell r="A1551" t="str">
            <v>France GECBOrdinary Gains - AfterTax</v>
          </cell>
        </row>
        <row r="1552">
          <cell r="A1552" t="str">
            <v>France GECBTotal Volume</v>
          </cell>
        </row>
        <row r="1553">
          <cell r="A1553" t="str">
            <v>France GECBTOTAL # ACTIVE ACCOUNTS</v>
          </cell>
        </row>
        <row r="1554">
          <cell r="A1554" t="str">
            <v>GCF UKTOTAL FINANCING RECEIVABLES</v>
          </cell>
        </row>
        <row r="1555">
          <cell r="A1555" t="str">
            <v>GCF UKRECEIVABLE RESERVES</v>
          </cell>
        </row>
        <row r="1556">
          <cell r="A1556" t="str">
            <v>GCF UKCASH</v>
          </cell>
        </row>
        <row r="1557">
          <cell r="A1557" t="str">
            <v>GCF UKINVESTMENT SECURITIES</v>
          </cell>
        </row>
        <row r="1558">
          <cell r="A1558" t="str">
            <v>GCF UKINV IN NON CONSOL AFFILIATES</v>
          </cell>
        </row>
        <row r="1559">
          <cell r="A1559" t="str">
            <v>GCF UKINVESTMENT IN JOINT VENTURE</v>
          </cell>
        </row>
        <row r="1560">
          <cell r="A1560" t="str">
            <v>GCF UKALL OTHER RECEIVABLES (NON-FINANCING)</v>
          </cell>
        </row>
        <row r="1561">
          <cell r="A1561" t="str">
            <v>GCF UKELTO (NET)</v>
          </cell>
        </row>
        <row r="1562">
          <cell r="A1562" t="str">
            <v>GCF UKGOODWILL</v>
          </cell>
        </row>
        <row r="1563">
          <cell r="A1563" t="str">
            <v>GCF UKOTHER ASSETS</v>
          </cell>
        </row>
        <row r="1564">
          <cell r="A1564" t="str">
            <v>GCF UKACCOUNTS PAYABLE</v>
          </cell>
        </row>
        <row r="1565">
          <cell r="A1565" t="str">
            <v>GCF UKDEFERRED INCOME TAXES</v>
          </cell>
        </row>
        <row r="1566">
          <cell r="A1566" t="str">
            <v>GCF UKWRITE-OFF (MEMO)</v>
          </cell>
        </row>
        <row r="1567">
          <cell r="A1567" t="str">
            <v>GCF UKINSURANCE RESERVES AND ANNUITY BENEFITS</v>
          </cell>
        </row>
        <row r="1568">
          <cell r="A1568" t="str">
            <v>GCF UKALL OTHER NON DEBT LIABILITIES</v>
          </cell>
        </row>
        <row r="1569">
          <cell r="A1569" t="str">
            <v>GCF UKMINORITY INTEREST (BS)</v>
          </cell>
        </row>
        <row r="1570">
          <cell r="A1570" t="str">
            <v>GCF UKASIA PACIFIC ENI DIVIDEND</v>
          </cell>
        </row>
        <row r="1571">
          <cell r="A1571" t="str">
            <v>GCF UKFINANCING INCOME</v>
          </cell>
        </row>
        <row r="1572">
          <cell r="A1572" t="str">
            <v>GCF UKINSURANCE PREMIUM INCOME</v>
          </cell>
        </row>
        <row r="1573">
          <cell r="A1573" t="str">
            <v>GCF UKINSURANCE INCOME (COMMISSIONS)</v>
          </cell>
        </row>
        <row r="1574">
          <cell r="A1574" t="str">
            <v>GCF UKSUNDRY INCOME</v>
          </cell>
        </row>
        <row r="1575">
          <cell r="A1575" t="str">
            <v>GCF UKINTEREST EXPENSE</v>
          </cell>
        </row>
        <row r="1576">
          <cell r="A1576" t="str">
            <v>GCF UKINTEREST EXPENSE REDUCTIONS / BUS SHARING</v>
          </cell>
        </row>
        <row r="1577">
          <cell r="A1577" t="str">
            <v>GCF UKALLOCATED COST OF PREFERRED EQUITY</v>
          </cell>
        </row>
        <row r="1578">
          <cell r="A1578" t="str">
            <v>GCF UKSALARIES &amp; BENEFITS</v>
          </cell>
        </row>
        <row r="1579">
          <cell r="A1579" t="str">
            <v>GCF UKLOSSES ON OTHER ASSETS</v>
          </cell>
        </row>
        <row r="1580">
          <cell r="A1580" t="str">
            <v>GCF UKCOST OF GOODS SOLD</v>
          </cell>
        </row>
        <row r="1581">
          <cell r="A1581" t="str">
            <v>GCF UKCOST OF GOODS SOLD - DISTRIBUTION</v>
          </cell>
        </row>
        <row r="1582">
          <cell r="A1582" t="str">
            <v>GCF UKPOSTAGE</v>
          </cell>
        </row>
        <row r="1583">
          <cell r="A1583" t="str">
            <v>GCF UKTELEPHONE</v>
          </cell>
        </row>
        <row r="1584">
          <cell r="A1584" t="str">
            <v>GCF UKCUSTOMER SERVICE / COLLECTIONS</v>
          </cell>
        </row>
        <row r="1585">
          <cell r="A1585" t="str">
            <v>GCF UKSTATIONARY - OFFICE SUPPLIES</v>
          </cell>
        </row>
        <row r="1586">
          <cell r="A1586" t="str">
            <v>GCF UKT&amp;L</v>
          </cell>
        </row>
        <row r="1587">
          <cell r="A1587" t="str">
            <v>GCF UKRENTAL - BLDG/FACILITIES</v>
          </cell>
        </row>
        <row r="1588">
          <cell r="A1588" t="str">
            <v>GCF UKRENTAL - FURNITURE/EQUIP</v>
          </cell>
        </row>
        <row r="1589">
          <cell r="A1589" t="str">
            <v>GCF UKRENTAL - COMPUTERS</v>
          </cell>
        </row>
        <row r="1590">
          <cell r="A1590" t="str">
            <v>GCF UKLEASE IN - LEASE OUT</v>
          </cell>
        </row>
        <row r="1591">
          <cell r="A1591" t="str">
            <v>GCF UKFURNITURE / EQUIPMENT / COMPUTER EXP</v>
          </cell>
        </row>
        <row r="1592">
          <cell r="A1592" t="str">
            <v>GCF UKSOFTWARE EXPENSE</v>
          </cell>
        </row>
        <row r="1593">
          <cell r="A1593" t="str">
            <v>GCF UKAMORTIZATION OF INTANGIBLES</v>
          </cell>
        </row>
        <row r="1594">
          <cell r="A1594" t="str">
            <v>GCF UKELTO MAINTENANCE</v>
          </cell>
        </row>
        <row r="1595">
          <cell r="A1595" t="str">
            <v>GCF UKELTO OTHER</v>
          </cell>
        </row>
        <row r="1596">
          <cell r="A1596" t="str">
            <v>GCF UKLEGAL</v>
          </cell>
        </row>
        <row r="1597">
          <cell r="A1597" t="str">
            <v>GCF UKADVERTISING</v>
          </cell>
        </row>
        <row r="1598">
          <cell r="A1598" t="str">
            <v>GCF UKSALES PROMOTIONS</v>
          </cell>
        </row>
        <row r="1599">
          <cell r="A1599" t="str">
            <v>GCF UKDIRECT MAIL</v>
          </cell>
        </row>
        <row r="1600">
          <cell r="A1600" t="str">
            <v>GCF UKDATA PROCESSING</v>
          </cell>
        </row>
        <row r="1601">
          <cell r="A1601" t="str">
            <v>GCF UKCONSULTING</v>
          </cell>
        </row>
        <row r="1602">
          <cell r="A1602" t="str">
            <v>GCF UKTEMP SERVICES</v>
          </cell>
        </row>
        <row r="1603">
          <cell r="A1603" t="str">
            <v>GCF UKGDC CHARGES</v>
          </cell>
        </row>
        <row r="1604">
          <cell r="A1604" t="str">
            <v>GCF UKTRAINING AND EDUCATION</v>
          </cell>
        </row>
        <row r="1605">
          <cell r="A1605" t="str">
            <v>GCF UKOUTSIDE SERVICES  AND FEES</v>
          </cell>
        </row>
        <row r="1606">
          <cell r="A1606" t="str">
            <v>GCF UKSTATE, FOREIGN, LOCAL TAXES</v>
          </cell>
        </row>
        <row r="1607">
          <cell r="A1607" t="str">
            <v>GCF UKS/L TAX - INSURANCE PREMIUMS</v>
          </cell>
        </row>
        <row r="1608">
          <cell r="A1608" t="str">
            <v>GCF UKSATELLITE LEASE EXPENSE</v>
          </cell>
        </row>
        <row r="1609">
          <cell r="A1609" t="str">
            <v>GCF UKBUSINESS SHARE EXPENSE</v>
          </cell>
        </row>
        <row r="1610">
          <cell r="A1610" t="str">
            <v>GCF UKINSURANCE AFFILIATE EXPENSE</v>
          </cell>
        </row>
        <row r="1611">
          <cell r="A1611" t="str">
            <v>GCF UKOTHER FACILITY EXPENSE</v>
          </cell>
        </row>
        <row r="1612">
          <cell r="A1612" t="str">
            <v>GCF UKGROSS OP &amp; ADMIN BUS SHARE</v>
          </cell>
        </row>
        <row r="1613">
          <cell r="A1613" t="str">
            <v>GCF UKOTHER EXPENSE</v>
          </cell>
        </row>
        <row r="1614">
          <cell r="A1614" t="str">
            <v>GCF UKGECC INTERCO EXPENSES EXCL GECIS</v>
          </cell>
        </row>
        <row r="1615">
          <cell r="A1615" t="str">
            <v>GCF UKGECIS INTERCO CHARGES</v>
          </cell>
        </row>
        <row r="1616">
          <cell r="A1616" t="str">
            <v>GCF UKLOSS ADJUSTED EXPENSE</v>
          </cell>
        </row>
        <row r="1617">
          <cell r="A1617" t="str">
            <v>GCF UKALL OTHER EXPENSES</v>
          </cell>
        </row>
        <row r="1618">
          <cell r="A1618" t="str">
            <v>GCF UKASSESSMENTS</v>
          </cell>
        </row>
        <row r="1619">
          <cell r="A1619" t="str">
            <v>GCF UKFAS 91</v>
          </cell>
        </row>
        <row r="1620">
          <cell r="A1620" t="str">
            <v>GCF UKGOODWILL AMORTIZATION</v>
          </cell>
        </row>
        <row r="1621">
          <cell r="A1621" t="str">
            <v>GCF UKDEPRECIATION EXPENSE</v>
          </cell>
        </row>
        <row r="1622">
          <cell r="A1622" t="str">
            <v>GCF UKELTO AMORTIZATION</v>
          </cell>
        </row>
        <row r="1623">
          <cell r="A1623" t="str">
            <v>GCF UKINSURANCE LOSSES AND BENEFITS</v>
          </cell>
        </row>
        <row r="1624">
          <cell r="A1624" t="str">
            <v>GCF UKWRITE OFFS</v>
          </cell>
        </row>
        <row r="1625">
          <cell r="A1625" t="str">
            <v>GCF UKRESERVE CHANGE</v>
          </cell>
        </row>
        <row r="1626">
          <cell r="A1626" t="str">
            <v>GCF UKMINORITY INTEREST</v>
          </cell>
        </row>
        <row r="1627">
          <cell r="A1627" t="str">
            <v>GCF UKINCOME TAXES</v>
          </cell>
        </row>
        <row r="1628">
          <cell r="A1628" t="str">
            <v>GCF UKCUMULATIVE TRANSITION ADJUSTMENT</v>
          </cell>
        </row>
        <row r="1629">
          <cell r="A1629" t="str">
            <v>GCF UKASIA PACIFIC NI DIVIDEND</v>
          </cell>
        </row>
        <row r="1630">
          <cell r="A1630" t="str">
            <v>GCF UKNet Income</v>
          </cell>
        </row>
        <row r="1631">
          <cell r="A1631" t="str">
            <v>GCF UKSubPart F</v>
          </cell>
        </row>
        <row r="1632">
          <cell r="A1632" t="str">
            <v>GCF UKAssets</v>
          </cell>
        </row>
        <row r="1633">
          <cell r="A1633" t="str">
            <v>GCF UKEnding Net Investment (ENI) incl Asia</v>
          </cell>
        </row>
        <row r="1634">
          <cell r="A1634" t="str">
            <v>GCF UKANR YTD</v>
          </cell>
        </row>
        <row r="1635">
          <cell r="A1635" t="str">
            <v>GCF UKASA YTD</v>
          </cell>
        </row>
        <row r="1636">
          <cell r="A1636" t="str">
            <v>GCF UKANI YTD incl Asia - 5 pt</v>
          </cell>
        </row>
        <row r="1637">
          <cell r="A1637" t="str">
            <v>GCF UKOff Balance Sheet Assets</v>
          </cell>
        </row>
        <row r="1638">
          <cell r="A1638" t="str">
            <v>GCF UKJV Receivables</v>
          </cell>
        </row>
        <row r="1639">
          <cell r="A1639" t="str">
            <v>GCF UK30+ DELINQUENCY $</v>
          </cell>
        </row>
        <row r="1640">
          <cell r="A1640" t="str">
            <v>GCF UK90+ DELINQUENCY $</v>
          </cell>
        </row>
        <row r="1641">
          <cell r="A1641" t="str">
            <v>GCF UKTemporary Staff</v>
          </cell>
        </row>
        <row r="1642">
          <cell r="A1642" t="str">
            <v>GCF UKContractors</v>
          </cell>
        </row>
        <row r="1643">
          <cell r="A1643" t="str">
            <v>GCF UKOutsourced to LCC</v>
          </cell>
        </row>
        <row r="1644">
          <cell r="A1644" t="str">
            <v>GCF UKTotal Headcount</v>
          </cell>
        </row>
        <row r="1645">
          <cell r="A1645" t="str">
            <v>GCF UKTotal Workforce</v>
          </cell>
        </row>
        <row r="1646">
          <cell r="A1646" t="str">
            <v>GCF UKTotal Earned Revenue</v>
          </cell>
        </row>
        <row r="1647">
          <cell r="A1647" t="str">
            <v>GCF UKOrdinary Gains - PreTax</v>
          </cell>
        </row>
        <row r="1648">
          <cell r="A1648" t="str">
            <v>GCF UKOrdinary Gains - AfterTax</v>
          </cell>
        </row>
        <row r="1649">
          <cell r="A1649" t="str">
            <v>GCF UKTotal Volume</v>
          </cell>
        </row>
        <row r="1650">
          <cell r="A1650" t="str">
            <v>GCF UKTOTAL # ACTIVE ACCOUNTS</v>
          </cell>
        </row>
        <row r="1651">
          <cell r="A1651" t="str">
            <v>GECISTOTAL FINANCING RECEIVABLES</v>
          </cell>
        </row>
        <row r="1652">
          <cell r="A1652" t="str">
            <v>GECISRECEIVABLE RESERVES</v>
          </cell>
        </row>
        <row r="1653">
          <cell r="A1653" t="str">
            <v>GECISCASH</v>
          </cell>
        </row>
        <row r="1654">
          <cell r="A1654" t="str">
            <v>GECISINVESTMENT SECURITIES</v>
          </cell>
        </row>
        <row r="1655">
          <cell r="A1655" t="str">
            <v>GECISINV IN NON CONSOL AFFILIATES</v>
          </cell>
        </row>
        <row r="1656">
          <cell r="A1656" t="str">
            <v>GECISINVESTMENT IN JOINT VENTURE</v>
          </cell>
        </row>
        <row r="1657">
          <cell r="A1657" t="str">
            <v>GECISALL OTHER RECEIVABLES (NON-FINANCING)</v>
          </cell>
        </row>
        <row r="1658">
          <cell r="A1658" t="str">
            <v>GECISELTO (NET)</v>
          </cell>
        </row>
        <row r="1659">
          <cell r="A1659" t="str">
            <v>GECISGOODWILL</v>
          </cell>
        </row>
        <row r="1660">
          <cell r="A1660" t="str">
            <v>GECISOTHER ASSETS</v>
          </cell>
        </row>
        <row r="1661">
          <cell r="A1661" t="str">
            <v>GECISACCOUNTS PAYABLE</v>
          </cell>
        </row>
        <row r="1662">
          <cell r="A1662" t="str">
            <v>GECISDEFERRED INCOME TAXES</v>
          </cell>
        </row>
        <row r="1663">
          <cell r="A1663" t="str">
            <v>GECISWRITE-OFF (MEMO)</v>
          </cell>
        </row>
        <row r="1664">
          <cell r="A1664" t="str">
            <v>GECISINSURANCE RESERVES AND ANNUITY BENEFITS</v>
          </cell>
        </row>
        <row r="1665">
          <cell r="A1665" t="str">
            <v>GECISALL OTHER NON DEBT LIABILITIES</v>
          </cell>
        </row>
        <row r="1666">
          <cell r="A1666" t="str">
            <v>GECISMINORITY INTEREST (BS)</v>
          </cell>
        </row>
        <row r="1667">
          <cell r="A1667" t="str">
            <v>GECISASIA PACIFIC ENI DIVIDEND</v>
          </cell>
        </row>
        <row r="1668">
          <cell r="A1668" t="str">
            <v>GECISFINANCING INCOME</v>
          </cell>
        </row>
        <row r="1669">
          <cell r="A1669" t="str">
            <v>GECISINSURANCE PREMIUM INCOME</v>
          </cell>
        </row>
        <row r="1670">
          <cell r="A1670" t="str">
            <v>GECISINSURANCE INCOME (COMMISSIONS)</v>
          </cell>
        </row>
        <row r="1671">
          <cell r="A1671" t="str">
            <v>GECISSUNDRY INCOME</v>
          </cell>
        </row>
        <row r="1672">
          <cell r="A1672" t="str">
            <v>GECISINTEREST EXPENSE</v>
          </cell>
        </row>
        <row r="1673">
          <cell r="A1673" t="str">
            <v>GECISINTEREST EXPENSE REDUCTIONS / BUS SHARING</v>
          </cell>
        </row>
        <row r="1674">
          <cell r="A1674" t="str">
            <v>GECISALLOCATED COST OF PREFERRED EQUITY</v>
          </cell>
        </row>
        <row r="1675">
          <cell r="A1675" t="str">
            <v>GECISSALARIES &amp; BENEFITS</v>
          </cell>
        </row>
        <row r="1676">
          <cell r="A1676" t="str">
            <v>GECISLOSSES ON OTHER ASSETS</v>
          </cell>
        </row>
        <row r="1677">
          <cell r="A1677" t="str">
            <v>GECISCOST OF GOODS SOLD</v>
          </cell>
        </row>
        <row r="1678">
          <cell r="A1678" t="str">
            <v>GECISCOST OF GOODS SOLD - DISTRIBUTION</v>
          </cell>
        </row>
        <row r="1679">
          <cell r="A1679" t="str">
            <v>GECISPOSTAGE</v>
          </cell>
        </row>
        <row r="1680">
          <cell r="A1680" t="str">
            <v>GECISTELEPHONE</v>
          </cell>
        </row>
        <row r="1681">
          <cell r="A1681" t="str">
            <v>GECISCUSTOMER SERVICE / COLLECTIONS</v>
          </cell>
        </row>
        <row r="1682">
          <cell r="A1682" t="str">
            <v>GECISSTATIONARY - OFFICE SUPPLIES</v>
          </cell>
        </row>
        <row r="1683">
          <cell r="A1683" t="str">
            <v>GECIST&amp;L</v>
          </cell>
        </row>
        <row r="1684">
          <cell r="A1684" t="str">
            <v>GECISRENTAL - BLDG/FACILITIES</v>
          </cell>
        </row>
        <row r="1685">
          <cell r="A1685" t="str">
            <v>GECISRENTAL - FURNITURE/EQUIP</v>
          </cell>
        </row>
        <row r="1686">
          <cell r="A1686" t="str">
            <v>GECISRENTAL - COMPUTERS</v>
          </cell>
        </row>
        <row r="1687">
          <cell r="A1687" t="str">
            <v>GECISLEASE IN - LEASE OUT</v>
          </cell>
        </row>
        <row r="1688">
          <cell r="A1688" t="str">
            <v>GECISFURNITURE / EQUIPMENT / COMPUTER EXP</v>
          </cell>
        </row>
        <row r="1689">
          <cell r="A1689" t="str">
            <v>GECISSOFTWARE EXPENSE</v>
          </cell>
        </row>
        <row r="1690">
          <cell r="A1690" t="str">
            <v>GECISAMORTIZATION OF INTANGIBLES</v>
          </cell>
        </row>
        <row r="1691">
          <cell r="A1691" t="str">
            <v>GECISELTO MAINTENANCE</v>
          </cell>
        </row>
        <row r="1692">
          <cell r="A1692" t="str">
            <v>GECISELTO OTHER</v>
          </cell>
        </row>
        <row r="1693">
          <cell r="A1693" t="str">
            <v>GECISLEGAL</v>
          </cell>
        </row>
        <row r="1694">
          <cell r="A1694" t="str">
            <v>GECISADVERTISING</v>
          </cell>
        </row>
        <row r="1695">
          <cell r="A1695" t="str">
            <v>GECISSALES PROMOTIONS</v>
          </cell>
        </row>
        <row r="1696">
          <cell r="A1696" t="str">
            <v>GECISDIRECT MAIL</v>
          </cell>
        </row>
        <row r="1697">
          <cell r="A1697" t="str">
            <v>GECISDATA PROCESSING</v>
          </cell>
        </row>
        <row r="1698">
          <cell r="A1698" t="str">
            <v>GECISCONSULTING</v>
          </cell>
        </row>
        <row r="1699">
          <cell r="A1699" t="str">
            <v>GECISTEMP SERVICES</v>
          </cell>
        </row>
        <row r="1700">
          <cell r="A1700" t="str">
            <v>GECISGDC CHARGES</v>
          </cell>
        </row>
        <row r="1701">
          <cell r="A1701" t="str">
            <v>GECISTRAINING AND EDUCATION</v>
          </cell>
        </row>
        <row r="1702">
          <cell r="A1702" t="str">
            <v>GECISOUTSIDE SERVICES  AND FEES</v>
          </cell>
        </row>
        <row r="1703">
          <cell r="A1703" t="str">
            <v>GECISSTATE, FOREIGN, LOCAL TAXES</v>
          </cell>
        </row>
        <row r="1704">
          <cell r="A1704" t="str">
            <v>GECISS/L TAX - INSURANCE PREMIUMS</v>
          </cell>
        </row>
        <row r="1705">
          <cell r="A1705" t="str">
            <v>GECISSATELLITE LEASE EXPENSE</v>
          </cell>
        </row>
        <row r="1706">
          <cell r="A1706" t="str">
            <v>GECISBUSINESS SHARE EXPENSE</v>
          </cell>
        </row>
        <row r="1707">
          <cell r="A1707" t="str">
            <v>GECISINSURANCE AFFILIATE EXPENSE</v>
          </cell>
        </row>
        <row r="1708">
          <cell r="A1708" t="str">
            <v>GECISOTHER FACILITY EXPENSE</v>
          </cell>
        </row>
        <row r="1709">
          <cell r="A1709" t="str">
            <v>GECISGROSS OP &amp; ADMIN BUS SHARE</v>
          </cell>
        </row>
        <row r="1710">
          <cell r="A1710" t="str">
            <v>GECISOTHER EXPENSE</v>
          </cell>
        </row>
        <row r="1711">
          <cell r="A1711" t="str">
            <v>GECISGECC INTERCO EXPENSES EXCL GECIS</v>
          </cell>
        </row>
        <row r="1712">
          <cell r="A1712" t="str">
            <v>GECISGECIS INTERCO CHARGES</v>
          </cell>
        </row>
        <row r="1713">
          <cell r="A1713" t="str">
            <v>GECISLOSS ADJUSTED EXPENSE</v>
          </cell>
        </row>
        <row r="1714">
          <cell r="A1714" t="str">
            <v>GECISALL OTHER EXPENSES</v>
          </cell>
        </row>
        <row r="1715">
          <cell r="A1715" t="str">
            <v>GECISASSESSMENTS</v>
          </cell>
        </row>
        <row r="1716">
          <cell r="A1716" t="str">
            <v>GECISFAS 91</v>
          </cell>
        </row>
        <row r="1717">
          <cell r="A1717" t="str">
            <v>GECISGOODWILL AMORTIZATION</v>
          </cell>
        </row>
        <row r="1718">
          <cell r="A1718" t="str">
            <v>GECISDEPRECIATION EXPENSE</v>
          </cell>
        </row>
        <row r="1719">
          <cell r="A1719" t="str">
            <v>GECISELTO AMORTIZATION</v>
          </cell>
        </row>
        <row r="1720">
          <cell r="A1720" t="str">
            <v>GECISINSURANCE LOSSES AND BENEFITS</v>
          </cell>
        </row>
        <row r="1721">
          <cell r="A1721" t="str">
            <v>GECISWRITE OFFS</v>
          </cell>
        </row>
        <row r="1722">
          <cell r="A1722" t="str">
            <v>GECISRESERVE CHANGE</v>
          </cell>
        </row>
        <row r="1723">
          <cell r="A1723" t="str">
            <v>GECISMINORITY INTEREST</v>
          </cell>
        </row>
        <row r="1724">
          <cell r="A1724" t="str">
            <v>GECISINCOME TAXES</v>
          </cell>
        </row>
        <row r="1725">
          <cell r="A1725" t="str">
            <v>GECISCUMULATIVE TRANSITION ADJUSTMENT</v>
          </cell>
        </row>
        <row r="1726">
          <cell r="A1726" t="str">
            <v>GECISASIA PACIFIC NI DIVIDEND</v>
          </cell>
        </row>
        <row r="1727">
          <cell r="A1727" t="str">
            <v>GECISNet Income</v>
          </cell>
        </row>
        <row r="1728">
          <cell r="A1728" t="str">
            <v>GECISSubPart F</v>
          </cell>
        </row>
        <row r="1729">
          <cell r="A1729" t="str">
            <v>GECISAssets</v>
          </cell>
        </row>
        <row r="1730">
          <cell r="A1730" t="str">
            <v>GECISEnding Net Investment (ENI) incl Asia</v>
          </cell>
        </row>
        <row r="1731">
          <cell r="A1731" t="str">
            <v>GECISANR YTD</v>
          </cell>
        </row>
        <row r="1732">
          <cell r="A1732" t="str">
            <v>GECISASA YTD</v>
          </cell>
        </row>
        <row r="1733">
          <cell r="A1733" t="str">
            <v>GECISANI YTD incl Asia - 5 pt</v>
          </cell>
        </row>
        <row r="1734">
          <cell r="A1734" t="str">
            <v>GECISOff Balance Sheet Assets</v>
          </cell>
        </row>
        <row r="1735">
          <cell r="A1735" t="str">
            <v>GECISJV Receivables</v>
          </cell>
        </row>
        <row r="1736">
          <cell r="A1736" t="str">
            <v>GECIS30+ DELINQUENCY $</v>
          </cell>
        </row>
        <row r="1737">
          <cell r="A1737" t="str">
            <v>GECIS90+ DELINQUENCY $</v>
          </cell>
        </row>
        <row r="1738">
          <cell r="A1738" t="str">
            <v>GECISTemporary Staff</v>
          </cell>
        </row>
        <row r="1739">
          <cell r="A1739" t="str">
            <v>GECISContractors</v>
          </cell>
        </row>
        <row r="1740">
          <cell r="A1740" t="str">
            <v>GECISOutsourced to LCC</v>
          </cell>
        </row>
        <row r="1741">
          <cell r="A1741" t="str">
            <v>GECISTotal Headcount</v>
          </cell>
        </row>
        <row r="1742">
          <cell r="A1742" t="str">
            <v>GECISTotal Workforce</v>
          </cell>
        </row>
        <row r="1743">
          <cell r="A1743" t="str">
            <v>GECISTotal Earned Revenue</v>
          </cell>
        </row>
        <row r="1744">
          <cell r="A1744" t="str">
            <v>GECISOrdinary Gains - PreTax</v>
          </cell>
        </row>
        <row r="1745">
          <cell r="A1745" t="str">
            <v>GECISOrdinary Gains - AfterTax</v>
          </cell>
        </row>
        <row r="1746">
          <cell r="A1746" t="str">
            <v>GECISTotal Volume</v>
          </cell>
        </row>
        <row r="1747">
          <cell r="A1747" t="str">
            <v>GECISTOTAL # ACTIVE ACCOUNTS</v>
          </cell>
        </row>
        <row r="1748">
          <cell r="A1748" t="str">
            <v>GemplusTOTAL FINANCING RECEIVABLES</v>
          </cell>
        </row>
        <row r="1749">
          <cell r="A1749" t="str">
            <v>GemplusRECEIVABLE RESERVES</v>
          </cell>
        </row>
        <row r="1750">
          <cell r="A1750" t="str">
            <v>GemplusCASH</v>
          </cell>
        </row>
        <row r="1751">
          <cell r="A1751" t="str">
            <v>GemplusINVESTMENT SECURITIES</v>
          </cell>
        </row>
        <row r="1752">
          <cell r="A1752" t="str">
            <v>GemplusINV IN NON CONSOL AFFILIATES</v>
          </cell>
        </row>
        <row r="1753">
          <cell r="A1753" t="str">
            <v>GemplusINVESTMENT IN JOINT VENTURE</v>
          </cell>
        </row>
        <row r="1754">
          <cell r="A1754" t="str">
            <v>GemplusALL OTHER RECEIVABLES (NON-FINANCING)</v>
          </cell>
        </row>
        <row r="1755">
          <cell r="A1755" t="str">
            <v>GemplusELTO (NET)</v>
          </cell>
        </row>
        <row r="1756">
          <cell r="A1756" t="str">
            <v>GemplusGOODWILL</v>
          </cell>
        </row>
        <row r="1757">
          <cell r="A1757" t="str">
            <v>GemplusOTHER ASSETS</v>
          </cell>
        </row>
        <row r="1758">
          <cell r="A1758" t="str">
            <v>GemplusACCOUNTS PAYABLE</v>
          </cell>
        </row>
        <row r="1759">
          <cell r="A1759" t="str">
            <v>GemplusDEFERRED INCOME TAXES</v>
          </cell>
        </row>
        <row r="1760">
          <cell r="A1760" t="str">
            <v>GemplusWRITE-OFF (MEMO)</v>
          </cell>
        </row>
        <row r="1761">
          <cell r="A1761" t="str">
            <v>GemplusINSURANCE RESERVES AND ANNUITY BENEFITS</v>
          </cell>
        </row>
        <row r="1762">
          <cell r="A1762" t="str">
            <v>GemplusALL OTHER NON DEBT LIABILITIES</v>
          </cell>
        </row>
        <row r="1763">
          <cell r="A1763" t="str">
            <v>GemplusMINORITY INTEREST (BS)</v>
          </cell>
        </row>
        <row r="1764">
          <cell r="A1764" t="str">
            <v>GemplusASIA PACIFIC ENI DIVIDEND</v>
          </cell>
        </row>
        <row r="1765">
          <cell r="A1765" t="str">
            <v>GemplusFINANCING INCOME</v>
          </cell>
        </row>
        <row r="1766">
          <cell r="A1766" t="str">
            <v>GemplusINSURANCE PREMIUM INCOME</v>
          </cell>
        </row>
        <row r="1767">
          <cell r="A1767" t="str">
            <v>GemplusINSURANCE INCOME (COMMISSIONS)</v>
          </cell>
        </row>
        <row r="1768">
          <cell r="A1768" t="str">
            <v>GemplusSUNDRY INCOME</v>
          </cell>
        </row>
        <row r="1769">
          <cell r="A1769" t="str">
            <v>GemplusINTEREST EXPENSE</v>
          </cell>
        </row>
        <row r="1770">
          <cell r="A1770" t="str">
            <v>GemplusINTEREST EXPENSE REDUCTIONS / BUS SHARING</v>
          </cell>
        </row>
        <row r="1771">
          <cell r="A1771" t="str">
            <v>GemplusALLOCATED COST OF PREFERRED EQUITY</v>
          </cell>
        </row>
        <row r="1772">
          <cell r="A1772" t="str">
            <v>GemplusSALARIES &amp; BENEFITS</v>
          </cell>
        </row>
        <row r="1773">
          <cell r="A1773" t="str">
            <v>GemplusLOSSES ON OTHER ASSETS</v>
          </cell>
        </row>
        <row r="1774">
          <cell r="A1774" t="str">
            <v>GemplusCOST OF GOODS SOLD</v>
          </cell>
        </row>
        <row r="1775">
          <cell r="A1775" t="str">
            <v>GemplusCOST OF GOODS SOLD - DISTRIBUTION</v>
          </cell>
        </row>
        <row r="1776">
          <cell r="A1776" t="str">
            <v>GemplusPOSTAGE</v>
          </cell>
        </row>
        <row r="1777">
          <cell r="A1777" t="str">
            <v>GemplusTELEPHONE</v>
          </cell>
        </row>
        <row r="1778">
          <cell r="A1778" t="str">
            <v>GemplusCUSTOMER SERVICE / COLLECTIONS</v>
          </cell>
        </row>
        <row r="1779">
          <cell r="A1779" t="str">
            <v>GemplusSTATIONARY - OFFICE SUPPLIES</v>
          </cell>
        </row>
        <row r="1780">
          <cell r="A1780" t="str">
            <v>GemplusT&amp;L</v>
          </cell>
        </row>
        <row r="1781">
          <cell r="A1781" t="str">
            <v>GemplusRENTAL - BLDG/FACILITIES</v>
          </cell>
        </row>
        <row r="1782">
          <cell r="A1782" t="str">
            <v>GemplusRENTAL - FURNITURE/EQUIP</v>
          </cell>
        </row>
        <row r="1783">
          <cell r="A1783" t="str">
            <v>GemplusRENTAL - COMPUTERS</v>
          </cell>
        </row>
        <row r="1784">
          <cell r="A1784" t="str">
            <v>GemplusLEASE IN - LEASE OUT</v>
          </cell>
        </row>
        <row r="1785">
          <cell r="A1785" t="str">
            <v>GemplusFURNITURE / EQUIPMENT / COMPUTER EXP</v>
          </cell>
        </row>
        <row r="1786">
          <cell r="A1786" t="str">
            <v>GemplusSOFTWARE EXPENSE</v>
          </cell>
        </row>
        <row r="1787">
          <cell r="A1787" t="str">
            <v>GemplusAMORTIZATION OF INTANGIBLES</v>
          </cell>
        </row>
        <row r="1788">
          <cell r="A1788" t="str">
            <v>GemplusELTO MAINTENANCE</v>
          </cell>
        </row>
        <row r="1789">
          <cell r="A1789" t="str">
            <v>GemplusELTO OTHER</v>
          </cell>
        </row>
        <row r="1790">
          <cell r="A1790" t="str">
            <v>GemplusLEGAL</v>
          </cell>
        </row>
        <row r="1791">
          <cell r="A1791" t="str">
            <v>GemplusADVERTISING</v>
          </cell>
        </row>
        <row r="1792">
          <cell r="A1792" t="str">
            <v>GemplusSALES PROMOTIONS</v>
          </cell>
        </row>
        <row r="1793">
          <cell r="A1793" t="str">
            <v>GemplusDIRECT MAIL</v>
          </cell>
        </row>
        <row r="1794">
          <cell r="A1794" t="str">
            <v>GemplusDATA PROCESSING</v>
          </cell>
        </row>
        <row r="1795">
          <cell r="A1795" t="str">
            <v>GemplusCONSULTING</v>
          </cell>
        </row>
        <row r="1796">
          <cell r="A1796" t="str">
            <v>GemplusTEMP SERVICES</v>
          </cell>
        </row>
        <row r="1797">
          <cell r="A1797" t="str">
            <v>GemplusGDC CHARGES</v>
          </cell>
        </row>
        <row r="1798">
          <cell r="A1798" t="str">
            <v>GemplusTRAINING AND EDUCATION</v>
          </cell>
        </row>
        <row r="1799">
          <cell r="A1799" t="str">
            <v>GemplusOUTSIDE SERVICES  AND FEES</v>
          </cell>
        </row>
        <row r="1800">
          <cell r="A1800" t="str">
            <v>GemplusSTATE, FOREIGN, LOCAL TAXES</v>
          </cell>
        </row>
        <row r="1801">
          <cell r="A1801" t="str">
            <v>GemplusS/L TAX - INSURANCE PREMIUMS</v>
          </cell>
        </row>
        <row r="1802">
          <cell r="A1802" t="str">
            <v>GemplusSATELLITE LEASE EXPENSE</v>
          </cell>
        </row>
        <row r="1803">
          <cell r="A1803" t="str">
            <v>GemplusBUSINESS SHARE EXPENSE</v>
          </cell>
        </row>
        <row r="1804">
          <cell r="A1804" t="str">
            <v>GemplusINSURANCE AFFILIATE EXPENSE</v>
          </cell>
        </row>
        <row r="1805">
          <cell r="A1805" t="str">
            <v>GemplusOTHER FACILITY EXPENSE</v>
          </cell>
        </row>
        <row r="1806">
          <cell r="A1806" t="str">
            <v>GemplusGROSS OP &amp; ADMIN BUS SHARE</v>
          </cell>
        </row>
        <row r="1807">
          <cell r="A1807" t="str">
            <v>GemplusOTHER EXPENSE</v>
          </cell>
        </row>
        <row r="1808">
          <cell r="A1808" t="str">
            <v>GemplusGECC INTERCO EXPENSES EXCL GECIS</v>
          </cell>
        </row>
        <row r="1809">
          <cell r="A1809" t="str">
            <v>GemplusGECIS INTERCO CHARGES</v>
          </cell>
        </row>
        <row r="1810">
          <cell r="A1810" t="str">
            <v>GemplusLOSS ADJUSTED EXPENSE</v>
          </cell>
        </row>
        <row r="1811">
          <cell r="A1811" t="str">
            <v>GemplusALL OTHER EXPENSES</v>
          </cell>
        </row>
        <row r="1812">
          <cell r="A1812" t="str">
            <v>GemplusASSESSMENTS</v>
          </cell>
        </row>
        <row r="1813">
          <cell r="A1813" t="str">
            <v>GemplusFAS 91</v>
          </cell>
        </row>
        <row r="1814">
          <cell r="A1814" t="str">
            <v>GemplusGOODWILL AMORTIZATION</v>
          </cell>
        </row>
        <row r="1815">
          <cell r="A1815" t="str">
            <v>GemplusDEPRECIATION EXPENSE</v>
          </cell>
        </row>
        <row r="1816">
          <cell r="A1816" t="str">
            <v>GemplusELTO AMORTIZATION</v>
          </cell>
        </row>
        <row r="1817">
          <cell r="A1817" t="str">
            <v>GemplusINSURANCE LOSSES AND BENEFITS</v>
          </cell>
        </row>
        <row r="1818">
          <cell r="A1818" t="str">
            <v>GemplusWRITE OFFS</v>
          </cell>
        </row>
        <row r="1819">
          <cell r="A1819" t="str">
            <v>GemplusRESERVE CHANGE</v>
          </cell>
        </row>
        <row r="1820">
          <cell r="A1820" t="str">
            <v>GemplusMINORITY INTEREST</v>
          </cell>
        </row>
        <row r="1821">
          <cell r="A1821" t="str">
            <v>GemplusINCOME TAXES</v>
          </cell>
        </row>
        <row r="1822">
          <cell r="A1822" t="str">
            <v>GemplusCUMULATIVE TRANSITION ADJUSTMENT</v>
          </cell>
        </row>
        <row r="1823">
          <cell r="A1823" t="str">
            <v>GemplusASIA PACIFIC NI DIVIDEND</v>
          </cell>
        </row>
        <row r="1824">
          <cell r="A1824" t="str">
            <v>GemplusNet Income</v>
          </cell>
        </row>
        <row r="1825">
          <cell r="A1825" t="str">
            <v>GemplusSubPart F</v>
          </cell>
        </row>
        <row r="1826">
          <cell r="A1826" t="str">
            <v>GemplusAssets</v>
          </cell>
        </row>
        <row r="1827">
          <cell r="A1827" t="str">
            <v>GemplusEnding Net Investment (ENI) incl Asia</v>
          </cell>
        </row>
        <row r="1828">
          <cell r="A1828" t="str">
            <v>GemplusANR YTD</v>
          </cell>
        </row>
        <row r="1829">
          <cell r="A1829" t="str">
            <v>GemplusASA YTD</v>
          </cell>
        </row>
        <row r="1830">
          <cell r="A1830" t="str">
            <v>GemplusANI YTD incl Asia - 5 pt</v>
          </cell>
        </row>
        <row r="1831">
          <cell r="A1831" t="str">
            <v>GemplusOff Balance Sheet Assets</v>
          </cell>
        </row>
        <row r="1832">
          <cell r="A1832" t="str">
            <v>GemplusJV Receivables</v>
          </cell>
        </row>
        <row r="1833">
          <cell r="A1833" t="str">
            <v>Gemplus30+ DELINQUENCY $</v>
          </cell>
        </row>
        <row r="1834">
          <cell r="A1834" t="str">
            <v>Gemplus90+ DELINQUENCY $</v>
          </cell>
        </row>
        <row r="1835">
          <cell r="A1835" t="str">
            <v>GemplusTemporary Staff</v>
          </cell>
        </row>
        <row r="1836">
          <cell r="A1836" t="str">
            <v>GemplusContractors</v>
          </cell>
        </row>
        <row r="1837">
          <cell r="A1837" t="str">
            <v>GemplusOutsourced to LCC</v>
          </cell>
        </row>
        <row r="1838">
          <cell r="A1838" t="str">
            <v>GemplusTotal Headcount</v>
          </cell>
        </row>
        <row r="1839">
          <cell r="A1839" t="str">
            <v>GemplusTotal Workforce</v>
          </cell>
        </row>
        <row r="1840">
          <cell r="A1840" t="str">
            <v>GemplusTotal Earned Revenue</v>
          </cell>
        </row>
        <row r="1841">
          <cell r="A1841" t="str">
            <v>GemplusOrdinary Gains - PreTax</v>
          </cell>
        </row>
        <row r="1842">
          <cell r="A1842" t="str">
            <v>GemplusOrdinary Gains - AfterTax</v>
          </cell>
        </row>
        <row r="1843">
          <cell r="A1843" t="str">
            <v>GemplusTotal Volume</v>
          </cell>
        </row>
        <row r="1844">
          <cell r="A1844" t="str">
            <v>GemplusTOTAL # ACTIVE ACCOUNTS</v>
          </cell>
        </row>
        <row r="1845">
          <cell r="A1845" t="str">
            <v>GermanyTOTAL FINANCING RECEIVABLES</v>
          </cell>
        </row>
        <row r="1846">
          <cell r="A1846" t="str">
            <v>GermanyRECEIVABLE RESERVES</v>
          </cell>
        </row>
        <row r="1847">
          <cell r="A1847" t="str">
            <v>GermanyCASH</v>
          </cell>
        </row>
        <row r="1848">
          <cell r="A1848" t="str">
            <v>GermanyINVESTMENT SECURITIES</v>
          </cell>
        </row>
        <row r="1849">
          <cell r="A1849" t="str">
            <v>GermanyINV IN NON CONSOL AFFILIATES</v>
          </cell>
        </row>
        <row r="1850">
          <cell r="A1850" t="str">
            <v>GermanyINVESTMENT IN JOINT VENTURE</v>
          </cell>
        </row>
        <row r="1851">
          <cell r="A1851" t="str">
            <v>GermanyALL OTHER RECEIVABLES (NON-FINANCING)</v>
          </cell>
        </row>
        <row r="1852">
          <cell r="A1852" t="str">
            <v>GermanyELTO (NET)</v>
          </cell>
        </row>
        <row r="1853">
          <cell r="A1853" t="str">
            <v>GermanyGOODWILL</v>
          </cell>
        </row>
        <row r="1854">
          <cell r="A1854" t="str">
            <v>GermanyOTHER ASSETS</v>
          </cell>
        </row>
        <row r="1855">
          <cell r="A1855" t="str">
            <v>GermanyACCOUNTS PAYABLE</v>
          </cell>
        </row>
        <row r="1856">
          <cell r="A1856" t="str">
            <v>GermanyDEFERRED INCOME TAXES</v>
          </cell>
        </row>
        <row r="1857">
          <cell r="A1857" t="str">
            <v>GermanyWRITE-OFF (MEMO)</v>
          </cell>
        </row>
        <row r="1858">
          <cell r="A1858" t="str">
            <v>GermanyINSURANCE RESERVES AND ANNUITY BENEFITS</v>
          </cell>
        </row>
        <row r="1859">
          <cell r="A1859" t="str">
            <v>GermanyALL OTHER NON DEBT LIABILITIES</v>
          </cell>
        </row>
        <row r="1860">
          <cell r="A1860" t="str">
            <v>GermanyMINORITY INTEREST (BS)</v>
          </cell>
        </row>
        <row r="1861">
          <cell r="A1861" t="str">
            <v>GermanyASIA PACIFIC ENI DIVIDEND</v>
          </cell>
        </row>
        <row r="1862">
          <cell r="A1862" t="str">
            <v>GermanyFINANCING INCOME</v>
          </cell>
        </row>
        <row r="1863">
          <cell r="A1863" t="str">
            <v>GermanyINSURANCE PREMIUM INCOME</v>
          </cell>
        </row>
        <row r="1864">
          <cell r="A1864" t="str">
            <v>GermanyINSURANCE INCOME (COMMISSIONS)</v>
          </cell>
        </row>
        <row r="1865">
          <cell r="A1865" t="str">
            <v>GermanySUNDRY INCOME</v>
          </cell>
        </row>
        <row r="1866">
          <cell r="A1866" t="str">
            <v>GermanyINTEREST EXPENSE</v>
          </cell>
        </row>
        <row r="1867">
          <cell r="A1867" t="str">
            <v>GermanyINTEREST EXPENSE REDUCTIONS / BUS SHARING</v>
          </cell>
        </row>
        <row r="1868">
          <cell r="A1868" t="str">
            <v>GermanyALLOCATED COST OF PREFERRED EQUITY</v>
          </cell>
        </row>
        <row r="1869">
          <cell r="A1869" t="str">
            <v>GermanySALARIES &amp; BENEFITS</v>
          </cell>
        </row>
        <row r="1870">
          <cell r="A1870" t="str">
            <v>GermanyLOSSES ON OTHER ASSETS</v>
          </cell>
        </row>
        <row r="1871">
          <cell r="A1871" t="str">
            <v>GermanyCOST OF GOODS SOLD</v>
          </cell>
        </row>
        <row r="1872">
          <cell r="A1872" t="str">
            <v>GermanyCOST OF GOODS SOLD - DISTRIBUTION</v>
          </cell>
        </row>
        <row r="1873">
          <cell r="A1873" t="str">
            <v>GermanyPOSTAGE</v>
          </cell>
        </row>
        <row r="1874">
          <cell r="A1874" t="str">
            <v>GermanyTELEPHONE</v>
          </cell>
        </row>
        <row r="1875">
          <cell r="A1875" t="str">
            <v>GermanyCUSTOMER SERVICE / COLLECTIONS</v>
          </cell>
        </row>
        <row r="1876">
          <cell r="A1876" t="str">
            <v>GermanySTATIONARY - OFFICE SUPPLIES</v>
          </cell>
        </row>
        <row r="1877">
          <cell r="A1877" t="str">
            <v>GermanyT&amp;L</v>
          </cell>
        </row>
        <row r="1878">
          <cell r="A1878" t="str">
            <v>GermanyRENTAL - BLDG/FACILITIES</v>
          </cell>
        </row>
        <row r="1879">
          <cell r="A1879" t="str">
            <v>GermanyRENTAL - FURNITURE/EQUIP</v>
          </cell>
        </row>
        <row r="1880">
          <cell r="A1880" t="str">
            <v>GermanyRENTAL - COMPUTERS</v>
          </cell>
        </row>
        <row r="1881">
          <cell r="A1881" t="str">
            <v>GermanyLEASE IN - LEASE OUT</v>
          </cell>
        </row>
        <row r="1882">
          <cell r="A1882" t="str">
            <v>GermanyFURNITURE / EQUIPMENT / COMPUTER EXP</v>
          </cell>
        </row>
        <row r="1883">
          <cell r="A1883" t="str">
            <v>GermanySOFTWARE EXPENSE</v>
          </cell>
        </row>
        <row r="1884">
          <cell r="A1884" t="str">
            <v>GermanyAMORTIZATION OF INTANGIBLES</v>
          </cell>
        </row>
        <row r="1885">
          <cell r="A1885" t="str">
            <v>GermanyELTO MAINTENANCE</v>
          </cell>
        </row>
        <row r="1886">
          <cell r="A1886" t="str">
            <v>GermanyELTO OTHER</v>
          </cell>
        </row>
        <row r="1887">
          <cell r="A1887" t="str">
            <v>GermanyLEGAL</v>
          </cell>
        </row>
        <row r="1888">
          <cell r="A1888" t="str">
            <v>GermanyADVERTISING</v>
          </cell>
        </row>
        <row r="1889">
          <cell r="A1889" t="str">
            <v>GermanySALES PROMOTIONS</v>
          </cell>
        </row>
        <row r="1890">
          <cell r="A1890" t="str">
            <v>GermanyDIRECT MAIL</v>
          </cell>
        </row>
        <row r="1891">
          <cell r="A1891" t="str">
            <v>GermanyDATA PROCESSING</v>
          </cell>
        </row>
        <row r="1892">
          <cell r="A1892" t="str">
            <v>GermanyCONSULTING</v>
          </cell>
        </row>
        <row r="1893">
          <cell r="A1893" t="str">
            <v>GermanyTEMP SERVICES</v>
          </cell>
        </row>
        <row r="1894">
          <cell r="A1894" t="str">
            <v>GermanyGDC CHARGES</v>
          </cell>
        </row>
        <row r="1895">
          <cell r="A1895" t="str">
            <v>GermanyTRAINING AND EDUCATION</v>
          </cell>
        </row>
        <row r="1896">
          <cell r="A1896" t="str">
            <v>GermanyOUTSIDE SERVICES  AND FEES</v>
          </cell>
        </row>
        <row r="1897">
          <cell r="A1897" t="str">
            <v>GermanySTATE, FOREIGN, LOCAL TAXES</v>
          </cell>
        </row>
        <row r="1898">
          <cell r="A1898" t="str">
            <v>GermanyS/L TAX - INSURANCE PREMIUMS</v>
          </cell>
        </row>
        <row r="1899">
          <cell r="A1899" t="str">
            <v>GermanySATELLITE LEASE EXPENSE</v>
          </cell>
        </row>
        <row r="1900">
          <cell r="A1900" t="str">
            <v>GermanyBUSINESS SHARE EXPENSE</v>
          </cell>
        </row>
        <row r="1901">
          <cell r="A1901" t="str">
            <v>GermanyINSURANCE AFFILIATE EXPENSE</v>
          </cell>
        </row>
        <row r="1902">
          <cell r="A1902" t="str">
            <v>GermanyOTHER FACILITY EXPENSE</v>
          </cell>
        </row>
        <row r="1903">
          <cell r="A1903" t="str">
            <v>GermanyGROSS OP &amp; ADMIN BUS SHARE</v>
          </cell>
        </row>
        <row r="1904">
          <cell r="A1904" t="str">
            <v>GermanyOTHER EXPENSE</v>
          </cell>
        </row>
        <row r="1905">
          <cell r="A1905" t="str">
            <v>GermanyGECC INTERCO EXPENSES EXCL GECIS</v>
          </cell>
        </row>
        <row r="1906">
          <cell r="A1906" t="str">
            <v>GermanyGECIS INTERCO CHARGES</v>
          </cell>
        </row>
        <row r="1907">
          <cell r="A1907" t="str">
            <v>GermanyLOSS ADJUSTED EXPENSE</v>
          </cell>
        </row>
        <row r="1908">
          <cell r="A1908" t="str">
            <v>GermanyALL OTHER EXPENSES</v>
          </cell>
        </row>
        <row r="1909">
          <cell r="A1909" t="str">
            <v>GermanyASSESSMENTS</v>
          </cell>
        </row>
        <row r="1910">
          <cell r="A1910" t="str">
            <v>GermanyFAS 91</v>
          </cell>
        </row>
        <row r="1911">
          <cell r="A1911" t="str">
            <v>GermanyGOODWILL AMORTIZATION</v>
          </cell>
        </row>
        <row r="1912">
          <cell r="A1912" t="str">
            <v>GermanyDEPRECIATION EXPENSE</v>
          </cell>
        </row>
        <row r="1913">
          <cell r="A1913" t="str">
            <v>GermanyELTO AMORTIZATION</v>
          </cell>
        </row>
        <row r="1914">
          <cell r="A1914" t="str">
            <v>GermanyINSURANCE LOSSES AND BENEFITS</v>
          </cell>
        </row>
        <row r="1915">
          <cell r="A1915" t="str">
            <v>GermanyWRITE OFFS</v>
          </cell>
        </row>
        <row r="1916">
          <cell r="A1916" t="str">
            <v>GermanyRESERVE CHANGE</v>
          </cell>
        </row>
        <row r="1917">
          <cell r="A1917" t="str">
            <v>GermanyMINORITY INTEREST</v>
          </cell>
        </row>
        <row r="1918">
          <cell r="A1918" t="str">
            <v>GermanyINCOME TAXES</v>
          </cell>
        </row>
        <row r="1919">
          <cell r="A1919" t="str">
            <v>GermanyCUMULATIVE TRANSITION ADJUSTMENT</v>
          </cell>
        </row>
        <row r="1920">
          <cell r="A1920" t="str">
            <v>GermanyASIA PACIFIC NI DIVIDEND</v>
          </cell>
        </row>
        <row r="1921">
          <cell r="A1921" t="str">
            <v>GermanyNet Income</v>
          </cell>
        </row>
        <row r="1922">
          <cell r="A1922" t="str">
            <v>GermanySubPart F</v>
          </cell>
        </row>
        <row r="1923">
          <cell r="A1923" t="str">
            <v>GermanyAssets</v>
          </cell>
        </row>
        <row r="1924">
          <cell r="A1924" t="str">
            <v>GermanyEnding Net Investment (ENI) incl Asia</v>
          </cell>
        </row>
        <row r="1925">
          <cell r="A1925" t="str">
            <v>GermanyANR YTD</v>
          </cell>
        </row>
        <row r="1926">
          <cell r="A1926" t="str">
            <v>GermanyASA YTD</v>
          </cell>
        </row>
        <row r="1927">
          <cell r="A1927" t="str">
            <v>GermanyANI YTD incl Asia - 5 pt</v>
          </cell>
        </row>
        <row r="1928">
          <cell r="A1928" t="str">
            <v>GermanyOff Balance Sheet Assets</v>
          </cell>
        </row>
        <row r="1929">
          <cell r="A1929" t="str">
            <v>GermanyJV Receivables</v>
          </cell>
        </row>
        <row r="1930">
          <cell r="A1930" t="str">
            <v>Germany30+ DELINQUENCY $</v>
          </cell>
        </row>
        <row r="1931">
          <cell r="A1931" t="str">
            <v>Germany90+ DELINQUENCY $</v>
          </cell>
        </row>
        <row r="1932">
          <cell r="A1932" t="str">
            <v>GermanyTemporary Staff</v>
          </cell>
        </row>
        <row r="1933">
          <cell r="A1933" t="str">
            <v>GermanyContractors</v>
          </cell>
        </row>
        <row r="1934">
          <cell r="A1934" t="str">
            <v>GermanyOutsourced to LCC</v>
          </cell>
        </row>
        <row r="1935">
          <cell r="A1935" t="str">
            <v>GermanyTotal Headcount</v>
          </cell>
        </row>
        <row r="1936">
          <cell r="A1936" t="str">
            <v>GermanyTotal Workforce</v>
          </cell>
        </row>
        <row r="1937">
          <cell r="A1937" t="str">
            <v>GermanyTotal Earned Revenue</v>
          </cell>
        </row>
        <row r="1938">
          <cell r="A1938" t="str">
            <v>GermanyOrdinary Gains - PreTax</v>
          </cell>
        </row>
        <row r="1939">
          <cell r="A1939" t="str">
            <v>GermanyOrdinary Gains - AfterTax</v>
          </cell>
        </row>
        <row r="1940">
          <cell r="A1940" t="str">
            <v>GermanyTotal Volume</v>
          </cell>
        </row>
        <row r="1941">
          <cell r="A1941" t="str">
            <v>GermanyTOTAL # ACTIVE ACCOUNTS</v>
          </cell>
        </row>
        <row r="1942">
          <cell r="A1942" t="str">
            <v>Hong KongTOTAL FINANCING RECEIVABLES</v>
          </cell>
        </row>
        <row r="1943">
          <cell r="A1943" t="str">
            <v>Hong KongRECEIVABLE RESERVES</v>
          </cell>
        </row>
        <row r="1944">
          <cell r="A1944" t="str">
            <v>Hong KongCASH</v>
          </cell>
        </row>
        <row r="1945">
          <cell r="A1945" t="str">
            <v>Hong KongINVESTMENT SECURITIES</v>
          </cell>
        </row>
        <row r="1946">
          <cell r="A1946" t="str">
            <v>Hong KongINV IN NON CONSOL AFFILIATES</v>
          </cell>
        </row>
        <row r="1947">
          <cell r="A1947" t="str">
            <v>Hong KongINVESTMENT IN JOINT VENTURE</v>
          </cell>
        </row>
        <row r="1948">
          <cell r="A1948" t="str">
            <v>Hong KongALL OTHER RECEIVABLES (NON-FINANCING)</v>
          </cell>
        </row>
        <row r="1949">
          <cell r="A1949" t="str">
            <v>Hong KongELTO (NET)</v>
          </cell>
        </row>
        <row r="1950">
          <cell r="A1950" t="str">
            <v>Hong KongGOODWILL</v>
          </cell>
        </row>
        <row r="1951">
          <cell r="A1951" t="str">
            <v>Hong KongOTHER ASSETS</v>
          </cell>
        </row>
        <row r="1952">
          <cell r="A1952" t="str">
            <v>Hong KongACCOUNTS PAYABLE</v>
          </cell>
        </row>
        <row r="1953">
          <cell r="A1953" t="str">
            <v>Hong KongDEFERRED INCOME TAXES</v>
          </cell>
        </row>
        <row r="1954">
          <cell r="A1954" t="str">
            <v>Hong KongWRITE-OFF (MEMO)</v>
          </cell>
        </row>
        <row r="1955">
          <cell r="A1955" t="str">
            <v>Hong KongINSURANCE RESERVES AND ANNUITY BENEFITS</v>
          </cell>
        </row>
        <row r="1956">
          <cell r="A1956" t="str">
            <v>Hong KongALL OTHER NON DEBT LIABILITIES</v>
          </cell>
        </row>
        <row r="1957">
          <cell r="A1957" t="str">
            <v>Hong KongMINORITY INTEREST (BS)</v>
          </cell>
        </row>
        <row r="1958">
          <cell r="A1958" t="str">
            <v>Hong KongASIA PACIFIC ENI DIVIDEND</v>
          </cell>
        </row>
        <row r="1959">
          <cell r="A1959" t="str">
            <v>Hong KongFINANCING INCOME</v>
          </cell>
        </row>
        <row r="1960">
          <cell r="A1960" t="str">
            <v>Hong KongINSURANCE PREMIUM INCOME</v>
          </cell>
        </row>
        <row r="1961">
          <cell r="A1961" t="str">
            <v>Hong KongINSURANCE INCOME (COMMISSIONS)</v>
          </cell>
        </row>
        <row r="1962">
          <cell r="A1962" t="str">
            <v>Hong KongSUNDRY INCOME</v>
          </cell>
        </row>
        <row r="1963">
          <cell r="A1963" t="str">
            <v>Hong KongINTEREST EXPENSE</v>
          </cell>
        </row>
        <row r="1964">
          <cell r="A1964" t="str">
            <v>Hong KongINTEREST EXPENSE REDUCTIONS / BUS SHARING</v>
          </cell>
        </row>
        <row r="1965">
          <cell r="A1965" t="str">
            <v>Hong KongALLOCATED COST OF PREFERRED EQUITY</v>
          </cell>
        </row>
        <row r="1966">
          <cell r="A1966" t="str">
            <v>Hong KongSALARIES &amp; BENEFITS</v>
          </cell>
        </row>
        <row r="1967">
          <cell r="A1967" t="str">
            <v>Hong KongLOSSES ON OTHER ASSETS</v>
          </cell>
        </row>
        <row r="1968">
          <cell r="A1968" t="str">
            <v>Hong KongCOST OF GOODS SOLD</v>
          </cell>
        </row>
        <row r="1969">
          <cell r="A1969" t="str">
            <v>Hong KongCOST OF GOODS SOLD - DISTRIBUTION</v>
          </cell>
        </row>
        <row r="1970">
          <cell r="A1970" t="str">
            <v>Hong KongPOSTAGE</v>
          </cell>
        </row>
        <row r="1971">
          <cell r="A1971" t="str">
            <v>Hong KongTELEPHONE</v>
          </cell>
        </row>
        <row r="1972">
          <cell r="A1972" t="str">
            <v>Hong KongCUSTOMER SERVICE / COLLECTIONS</v>
          </cell>
        </row>
        <row r="1973">
          <cell r="A1973" t="str">
            <v>Hong KongSTATIONARY - OFFICE SUPPLIES</v>
          </cell>
        </row>
        <row r="1974">
          <cell r="A1974" t="str">
            <v>Hong KongT&amp;L</v>
          </cell>
        </row>
        <row r="1975">
          <cell r="A1975" t="str">
            <v>Hong KongRENTAL - BLDG/FACILITIES</v>
          </cell>
        </row>
        <row r="1976">
          <cell r="A1976" t="str">
            <v>Hong KongRENTAL - FURNITURE/EQUIP</v>
          </cell>
        </row>
        <row r="1977">
          <cell r="A1977" t="str">
            <v>Hong KongRENTAL - COMPUTERS</v>
          </cell>
        </row>
        <row r="1978">
          <cell r="A1978" t="str">
            <v>Hong KongLEASE IN - LEASE OUT</v>
          </cell>
        </row>
        <row r="1979">
          <cell r="A1979" t="str">
            <v>Hong KongFURNITURE / EQUIPMENT / COMPUTER EXP</v>
          </cell>
        </row>
        <row r="1980">
          <cell r="A1980" t="str">
            <v>Hong KongSOFTWARE EXPENSE</v>
          </cell>
        </row>
        <row r="1981">
          <cell r="A1981" t="str">
            <v>Hong KongAMORTIZATION OF INTANGIBLES</v>
          </cell>
        </row>
        <row r="1982">
          <cell r="A1982" t="str">
            <v>Hong KongELTO MAINTENANCE</v>
          </cell>
        </row>
        <row r="1983">
          <cell r="A1983" t="str">
            <v>Hong KongELTO OTHER</v>
          </cell>
        </row>
        <row r="1984">
          <cell r="A1984" t="str">
            <v>Hong KongLEGAL</v>
          </cell>
        </row>
        <row r="1985">
          <cell r="A1985" t="str">
            <v>Hong KongADVERTISING</v>
          </cell>
        </row>
        <row r="1986">
          <cell r="A1986" t="str">
            <v>Hong KongSALES PROMOTIONS</v>
          </cell>
        </row>
        <row r="1987">
          <cell r="A1987" t="str">
            <v>Hong KongDIRECT MAIL</v>
          </cell>
        </row>
        <row r="1988">
          <cell r="A1988" t="str">
            <v>Hong KongDATA PROCESSING</v>
          </cell>
        </row>
        <row r="1989">
          <cell r="A1989" t="str">
            <v>Hong KongCONSULTING</v>
          </cell>
        </row>
        <row r="1990">
          <cell r="A1990" t="str">
            <v>Hong KongTEMP SERVICES</v>
          </cell>
        </row>
        <row r="1991">
          <cell r="A1991" t="str">
            <v>Hong KongGDC CHARGES</v>
          </cell>
        </row>
        <row r="1992">
          <cell r="A1992" t="str">
            <v>Hong KongTRAINING AND EDUCATION</v>
          </cell>
        </row>
        <row r="1993">
          <cell r="A1993" t="str">
            <v>Hong KongOUTSIDE SERVICES  AND FEES</v>
          </cell>
        </row>
        <row r="1994">
          <cell r="A1994" t="str">
            <v>Hong KongSTATE, FOREIGN, LOCAL TAXES</v>
          </cell>
        </row>
        <row r="1995">
          <cell r="A1995" t="str">
            <v>Hong KongS/L TAX - INSURANCE PREMIUMS</v>
          </cell>
        </row>
        <row r="1996">
          <cell r="A1996" t="str">
            <v>Hong KongSATELLITE LEASE EXPENSE</v>
          </cell>
        </row>
        <row r="1997">
          <cell r="A1997" t="str">
            <v>Hong KongBUSINESS SHARE EXPENSE</v>
          </cell>
        </row>
        <row r="1998">
          <cell r="A1998" t="str">
            <v>Hong KongINSURANCE AFFILIATE EXPENSE</v>
          </cell>
        </row>
        <row r="1999">
          <cell r="A1999" t="str">
            <v>Hong KongOTHER FACILITY EXPENSE</v>
          </cell>
        </row>
        <row r="2000">
          <cell r="A2000" t="str">
            <v>Hong KongGROSS OP &amp; ADMIN BUS SHARE</v>
          </cell>
        </row>
        <row r="2001">
          <cell r="A2001" t="str">
            <v>Hong KongOTHER EXPENSE</v>
          </cell>
        </row>
        <row r="2002">
          <cell r="A2002" t="str">
            <v>Hong KongGECC INTERCO EXPENSES EXCL GECIS</v>
          </cell>
        </row>
        <row r="2003">
          <cell r="A2003" t="str">
            <v>Hong KongGECIS INTERCO CHARGES</v>
          </cell>
        </row>
        <row r="2004">
          <cell r="A2004" t="str">
            <v>Hong KongLOSS ADJUSTED EXPENSE</v>
          </cell>
        </row>
        <row r="2005">
          <cell r="A2005" t="str">
            <v>Hong KongALL OTHER EXPENSES</v>
          </cell>
        </row>
        <row r="2006">
          <cell r="A2006" t="str">
            <v>Hong KongASSESSMENTS</v>
          </cell>
        </row>
        <row r="2007">
          <cell r="A2007" t="str">
            <v>Hong KongFAS 91</v>
          </cell>
        </row>
        <row r="2008">
          <cell r="A2008" t="str">
            <v>Hong KongGOODWILL AMORTIZATION</v>
          </cell>
        </row>
        <row r="2009">
          <cell r="A2009" t="str">
            <v>Hong KongDEPRECIATION EXPENSE</v>
          </cell>
        </row>
        <row r="2010">
          <cell r="A2010" t="str">
            <v>Hong KongELTO AMORTIZATION</v>
          </cell>
        </row>
        <row r="2011">
          <cell r="A2011" t="str">
            <v>Hong KongINSURANCE LOSSES AND BENEFITS</v>
          </cell>
        </row>
        <row r="2012">
          <cell r="A2012" t="str">
            <v>Hong KongWRITE OFFS</v>
          </cell>
        </row>
        <row r="2013">
          <cell r="A2013" t="str">
            <v>Hong KongRESERVE CHANGE</v>
          </cell>
        </row>
        <row r="2014">
          <cell r="A2014" t="str">
            <v>Hong KongMINORITY INTEREST</v>
          </cell>
        </row>
        <row r="2015">
          <cell r="A2015" t="str">
            <v>Hong KongINCOME TAXES</v>
          </cell>
        </row>
        <row r="2016">
          <cell r="A2016" t="str">
            <v>Hong KongCUMULATIVE TRANSITION ADJUSTMENT</v>
          </cell>
        </row>
        <row r="2017">
          <cell r="A2017" t="str">
            <v>Hong KongASIA PACIFIC NI DIVIDEND</v>
          </cell>
        </row>
        <row r="2018">
          <cell r="A2018" t="str">
            <v>Hong KongNet Income</v>
          </cell>
        </row>
        <row r="2019">
          <cell r="A2019" t="str">
            <v>Hong KongSubPart F</v>
          </cell>
        </row>
        <row r="2020">
          <cell r="A2020" t="str">
            <v>Hong KongAssets</v>
          </cell>
        </row>
        <row r="2021">
          <cell r="A2021" t="str">
            <v>Hong KongEnding Net Investment (ENI) incl Asia</v>
          </cell>
        </row>
        <row r="2022">
          <cell r="A2022" t="str">
            <v>Hong KongANR YTD</v>
          </cell>
        </row>
        <row r="2023">
          <cell r="A2023" t="str">
            <v>Hong KongASA YTD</v>
          </cell>
        </row>
        <row r="2024">
          <cell r="A2024" t="str">
            <v>Hong KongANI YTD incl Asia - 5 pt</v>
          </cell>
        </row>
        <row r="2025">
          <cell r="A2025" t="str">
            <v>Hong KongOff Balance Sheet Assets</v>
          </cell>
        </row>
        <row r="2026">
          <cell r="A2026" t="str">
            <v>Hong KongJV Receivables</v>
          </cell>
        </row>
        <row r="2027">
          <cell r="A2027" t="str">
            <v>Hong Kong30+ DELINQUENCY $</v>
          </cell>
        </row>
        <row r="2028">
          <cell r="A2028" t="str">
            <v>Hong Kong90+ DELINQUENCY $</v>
          </cell>
        </row>
        <row r="2029">
          <cell r="A2029" t="str">
            <v>Hong KongTemporary Staff</v>
          </cell>
        </row>
        <row r="2030">
          <cell r="A2030" t="str">
            <v>Hong KongContractors</v>
          </cell>
        </row>
        <row r="2031">
          <cell r="A2031" t="str">
            <v>Hong KongOutsourced to LCC</v>
          </cell>
        </row>
        <row r="2032">
          <cell r="A2032" t="str">
            <v>Hong KongTotal Headcount</v>
          </cell>
        </row>
        <row r="2033">
          <cell r="A2033" t="str">
            <v>Hong KongTotal Workforce</v>
          </cell>
        </row>
        <row r="2034">
          <cell r="A2034" t="str">
            <v>Hong KongTotal Earned Revenue</v>
          </cell>
        </row>
        <row r="2035">
          <cell r="A2035" t="str">
            <v>Hong KongOrdinary Gains - PreTax</v>
          </cell>
        </row>
        <row r="2036">
          <cell r="A2036" t="str">
            <v>Hong KongOrdinary Gains - AfterTax</v>
          </cell>
        </row>
        <row r="2037">
          <cell r="A2037" t="str">
            <v>Hong KongTotal Volume</v>
          </cell>
        </row>
        <row r="2038">
          <cell r="A2038" t="str">
            <v>Hong KongTOTAL # ACTIVE ACCOUNTS</v>
          </cell>
        </row>
        <row r="2039">
          <cell r="A2039" t="str">
            <v>Housing BankTOTAL FINANCING RECEIVABLES</v>
          </cell>
        </row>
        <row r="2040">
          <cell r="A2040" t="str">
            <v>Housing BankRECEIVABLE RESERVES</v>
          </cell>
        </row>
        <row r="2041">
          <cell r="A2041" t="str">
            <v>Housing BankCASH</v>
          </cell>
        </row>
        <row r="2042">
          <cell r="A2042" t="str">
            <v>Housing BankINVESTMENT SECURITIES</v>
          </cell>
        </row>
        <row r="2043">
          <cell r="A2043" t="str">
            <v>Housing BankINV IN NON CONSOL AFFILIATES</v>
          </cell>
        </row>
        <row r="2044">
          <cell r="A2044" t="str">
            <v>Housing BankINVESTMENT IN JOINT VENTURE</v>
          </cell>
        </row>
        <row r="2045">
          <cell r="A2045" t="str">
            <v>Housing BankALL OTHER RECEIVABLES (NON-FINANCING)</v>
          </cell>
        </row>
        <row r="2046">
          <cell r="A2046" t="str">
            <v>Housing BankELTO (NET)</v>
          </cell>
        </row>
        <row r="2047">
          <cell r="A2047" t="str">
            <v>Housing BankGOODWILL</v>
          </cell>
        </row>
        <row r="2048">
          <cell r="A2048" t="str">
            <v>Housing BankOTHER ASSETS</v>
          </cell>
        </row>
        <row r="2049">
          <cell r="A2049" t="str">
            <v>Housing BankACCOUNTS PAYABLE</v>
          </cell>
        </row>
        <row r="2050">
          <cell r="A2050" t="str">
            <v>Housing BankDEFERRED INCOME TAXES</v>
          </cell>
        </row>
        <row r="2051">
          <cell r="A2051" t="str">
            <v>Housing BankWRITE-OFF (MEMO)</v>
          </cell>
        </row>
        <row r="2052">
          <cell r="A2052" t="str">
            <v>Housing BankINSURANCE RESERVES AND ANNUITY BENEFITS</v>
          </cell>
        </row>
        <row r="2053">
          <cell r="A2053" t="str">
            <v>Housing BankALL OTHER NON DEBT LIABILITIES</v>
          </cell>
        </row>
        <row r="2054">
          <cell r="A2054" t="str">
            <v>Housing BankMINORITY INTEREST (BS)</v>
          </cell>
        </row>
        <row r="2055">
          <cell r="A2055" t="str">
            <v>Housing BankASIA PACIFIC ENI DIVIDEND</v>
          </cell>
        </row>
        <row r="2056">
          <cell r="A2056" t="str">
            <v>Housing BankFINANCING INCOME</v>
          </cell>
        </row>
        <row r="2057">
          <cell r="A2057" t="str">
            <v>Housing BankINSURANCE PREMIUM INCOME</v>
          </cell>
        </row>
        <row r="2058">
          <cell r="A2058" t="str">
            <v>Housing BankINSURANCE INCOME (COMMISSIONS)</v>
          </cell>
        </row>
        <row r="2059">
          <cell r="A2059" t="str">
            <v>Housing BankSUNDRY INCOME</v>
          </cell>
        </row>
        <row r="2060">
          <cell r="A2060" t="str">
            <v>Housing BankINTEREST EXPENSE</v>
          </cell>
        </row>
        <row r="2061">
          <cell r="A2061" t="str">
            <v>Housing BankINTEREST EXPENSE REDUCTIONS / BUS SHARING</v>
          </cell>
        </row>
        <row r="2062">
          <cell r="A2062" t="str">
            <v>Housing BankALLOCATED COST OF PREFERRED EQUITY</v>
          </cell>
        </row>
        <row r="2063">
          <cell r="A2063" t="str">
            <v>Housing BankSALARIES &amp; BENEFITS</v>
          </cell>
        </row>
        <row r="2064">
          <cell r="A2064" t="str">
            <v>Housing BankLOSSES ON OTHER ASSETS</v>
          </cell>
        </row>
        <row r="2065">
          <cell r="A2065" t="str">
            <v>Housing BankCOST OF GOODS SOLD</v>
          </cell>
        </row>
        <row r="2066">
          <cell r="A2066" t="str">
            <v>Housing BankCOST OF GOODS SOLD - DISTRIBUTION</v>
          </cell>
        </row>
        <row r="2067">
          <cell r="A2067" t="str">
            <v>Housing BankPOSTAGE</v>
          </cell>
        </row>
        <row r="2068">
          <cell r="A2068" t="str">
            <v>Housing BankTELEPHONE</v>
          </cell>
        </row>
        <row r="2069">
          <cell r="A2069" t="str">
            <v>Housing BankCUSTOMER SERVICE / COLLECTIONS</v>
          </cell>
        </row>
        <row r="2070">
          <cell r="A2070" t="str">
            <v>Housing BankSTATIONARY - OFFICE SUPPLIES</v>
          </cell>
        </row>
        <row r="2071">
          <cell r="A2071" t="str">
            <v>Housing BankT&amp;L</v>
          </cell>
        </row>
        <row r="2072">
          <cell r="A2072" t="str">
            <v>Housing BankRENTAL - BLDG/FACILITIES</v>
          </cell>
        </row>
        <row r="2073">
          <cell r="A2073" t="str">
            <v>Housing BankRENTAL - FURNITURE/EQUIP</v>
          </cell>
        </row>
        <row r="2074">
          <cell r="A2074" t="str">
            <v>Housing BankRENTAL - COMPUTERS</v>
          </cell>
        </row>
        <row r="2075">
          <cell r="A2075" t="str">
            <v>Housing BankLEASE IN - LEASE OUT</v>
          </cell>
        </row>
        <row r="2076">
          <cell r="A2076" t="str">
            <v>Housing BankFURNITURE / EQUIPMENT / COMPUTER EXP</v>
          </cell>
        </row>
        <row r="2077">
          <cell r="A2077" t="str">
            <v>Housing BankSOFTWARE EXPENSE</v>
          </cell>
        </row>
        <row r="2078">
          <cell r="A2078" t="str">
            <v>Housing BankAMORTIZATION OF INTANGIBLES</v>
          </cell>
        </row>
        <row r="2079">
          <cell r="A2079" t="str">
            <v>Housing BankELTO MAINTENANCE</v>
          </cell>
        </row>
        <row r="2080">
          <cell r="A2080" t="str">
            <v>Housing BankELTO OTHER</v>
          </cell>
        </row>
        <row r="2081">
          <cell r="A2081" t="str">
            <v>Housing BankLEGAL</v>
          </cell>
        </row>
        <row r="2082">
          <cell r="A2082" t="str">
            <v>Housing BankADVERTISING</v>
          </cell>
        </row>
        <row r="2083">
          <cell r="A2083" t="str">
            <v>Housing BankSALES PROMOTIONS</v>
          </cell>
        </row>
        <row r="2084">
          <cell r="A2084" t="str">
            <v>Housing BankDIRECT MAIL</v>
          </cell>
        </row>
        <row r="2085">
          <cell r="A2085" t="str">
            <v>Housing BankDATA PROCESSING</v>
          </cell>
        </row>
        <row r="2086">
          <cell r="A2086" t="str">
            <v>Housing BankCONSULTING</v>
          </cell>
        </row>
        <row r="2087">
          <cell r="A2087" t="str">
            <v>Housing BankTEMP SERVICES</v>
          </cell>
        </row>
        <row r="2088">
          <cell r="A2088" t="str">
            <v>Housing BankGDC CHARGES</v>
          </cell>
        </row>
        <row r="2089">
          <cell r="A2089" t="str">
            <v>Housing BankTRAINING AND EDUCATION</v>
          </cell>
        </row>
        <row r="2090">
          <cell r="A2090" t="str">
            <v>Housing BankOUTSIDE SERVICES  AND FEES</v>
          </cell>
        </row>
        <row r="2091">
          <cell r="A2091" t="str">
            <v>Housing BankSTATE, FOREIGN, LOCAL TAXES</v>
          </cell>
        </row>
        <row r="2092">
          <cell r="A2092" t="str">
            <v>Housing BankS/L TAX - INSURANCE PREMIUMS</v>
          </cell>
        </row>
        <row r="2093">
          <cell r="A2093" t="str">
            <v>Housing BankSATELLITE LEASE EXPENSE</v>
          </cell>
        </row>
        <row r="2094">
          <cell r="A2094" t="str">
            <v>Housing BankBUSINESS SHARE EXPENSE</v>
          </cell>
        </row>
        <row r="2095">
          <cell r="A2095" t="str">
            <v>Housing BankINSURANCE AFFILIATE EXPENSE</v>
          </cell>
        </row>
        <row r="2096">
          <cell r="A2096" t="str">
            <v>Housing BankOTHER FACILITY EXPENSE</v>
          </cell>
        </row>
        <row r="2097">
          <cell r="A2097" t="str">
            <v>Housing BankGROSS OP &amp; ADMIN BUS SHARE</v>
          </cell>
        </row>
        <row r="2098">
          <cell r="A2098" t="str">
            <v>Housing BankOTHER EXPENSE</v>
          </cell>
        </row>
        <row r="2099">
          <cell r="A2099" t="str">
            <v>Housing BankGECC INTERCO EXPENSES EXCL GECIS</v>
          </cell>
        </row>
        <row r="2100">
          <cell r="A2100" t="str">
            <v>Housing BankGECIS INTERCO CHARGES</v>
          </cell>
        </row>
        <row r="2101">
          <cell r="A2101" t="str">
            <v>Housing BankLOSS ADJUSTED EXPENSE</v>
          </cell>
        </row>
        <row r="2102">
          <cell r="A2102" t="str">
            <v>Housing BankALL OTHER EXPENSES</v>
          </cell>
        </row>
        <row r="2103">
          <cell r="A2103" t="str">
            <v>Housing BankASSESSMENTS</v>
          </cell>
        </row>
        <row r="2104">
          <cell r="A2104" t="str">
            <v>Housing BankFAS 91</v>
          </cell>
        </row>
        <row r="2105">
          <cell r="A2105" t="str">
            <v>Housing BankGOODWILL AMORTIZATION</v>
          </cell>
        </row>
        <row r="2106">
          <cell r="A2106" t="str">
            <v>Housing BankDEPRECIATION EXPENSE</v>
          </cell>
        </row>
        <row r="2107">
          <cell r="A2107" t="str">
            <v>Housing BankELTO AMORTIZATION</v>
          </cell>
        </row>
        <row r="2108">
          <cell r="A2108" t="str">
            <v>Housing BankINSURANCE LOSSES AND BENEFITS</v>
          </cell>
        </row>
        <row r="2109">
          <cell r="A2109" t="str">
            <v>Housing BankWRITE OFFS</v>
          </cell>
        </row>
        <row r="2110">
          <cell r="A2110" t="str">
            <v>Housing BankRESERVE CHANGE</v>
          </cell>
        </row>
        <row r="2111">
          <cell r="A2111" t="str">
            <v>Housing BankMINORITY INTEREST</v>
          </cell>
        </row>
        <row r="2112">
          <cell r="A2112" t="str">
            <v>Housing BankINCOME TAXES</v>
          </cell>
        </row>
        <row r="2113">
          <cell r="A2113" t="str">
            <v>Housing BankCUMULATIVE TRANSITION ADJUSTMENT</v>
          </cell>
        </row>
        <row r="2114">
          <cell r="A2114" t="str">
            <v>Housing BankASIA PACIFIC NI DIVIDEND</v>
          </cell>
        </row>
        <row r="2115">
          <cell r="A2115" t="str">
            <v>Housing BankNet Income</v>
          </cell>
        </row>
        <row r="2116">
          <cell r="A2116" t="str">
            <v>Housing BankSubPart F</v>
          </cell>
        </row>
        <row r="2117">
          <cell r="A2117" t="str">
            <v>Housing BankAssets</v>
          </cell>
        </row>
        <row r="2118">
          <cell r="A2118" t="str">
            <v>Housing BankEnding Net Investment (ENI) incl Asia</v>
          </cell>
        </row>
        <row r="2119">
          <cell r="A2119" t="str">
            <v>Housing BankANR YTD</v>
          </cell>
        </row>
        <row r="2120">
          <cell r="A2120" t="str">
            <v>Housing BankASA YTD</v>
          </cell>
        </row>
        <row r="2121">
          <cell r="A2121" t="str">
            <v>Housing BankANI YTD incl Asia - 5 pt</v>
          </cell>
        </row>
        <row r="2122">
          <cell r="A2122" t="str">
            <v>Housing BankOff Balance Sheet Assets</v>
          </cell>
        </row>
        <row r="2123">
          <cell r="A2123" t="str">
            <v>Housing BankJV Receivables</v>
          </cell>
        </row>
        <row r="2124">
          <cell r="A2124" t="str">
            <v>Housing Bank30+ DELINQUENCY $</v>
          </cell>
        </row>
        <row r="2125">
          <cell r="A2125" t="str">
            <v>Housing Bank90+ DELINQUENCY $</v>
          </cell>
        </row>
        <row r="2126">
          <cell r="A2126" t="str">
            <v>Housing BankTemporary Staff</v>
          </cell>
        </row>
        <row r="2127">
          <cell r="A2127" t="str">
            <v>Housing BankContractors</v>
          </cell>
        </row>
        <row r="2128">
          <cell r="A2128" t="str">
            <v>Housing BankOutsourced to LCC</v>
          </cell>
        </row>
        <row r="2129">
          <cell r="A2129" t="str">
            <v>Housing BankTotal Headcount</v>
          </cell>
        </row>
        <row r="2130">
          <cell r="A2130" t="str">
            <v>Housing BankTotal Workforce</v>
          </cell>
        </row>
        <row r="2131">
          <cell r="A2131" t="str">
            <v>Housing BankTotal Earned Revenue</v>
          </cell>
        </row>
        <row r="2132">
          <cell r="A2132" t="str">
            <v>Housing BankOrdinary Gains - PreTax</v>
          </cell>
        </row>
        <row r="2133">
          <cell r="A2133" t="str">
            <v>Housing BankOrdinary Gains - AfterTax</v>
          </cell>
        </row>
        <row r="2134">
          <cell r="A2134" t="str">
            <v>Housing BankTotal Volume</v>
          </cell>
        </row>
        <row r="2135">
          <cell r="A2135" t="str">
            <v>Housing BankTOTAL # ACTIVE ACCOUNTS</v>
          </cell>
        </row>
        <row r="2136">
          <cell r="A2136" t="str">
            <v>I GroupTOTAL FINANCING RECEIVABLES</v>
          </cell>
        </row>
        <row r="2137">
          <cell r="A2137" t="str">
            <v>I GroupRECEIVABLE RESERVES</v>
          </cell>
        </row>
        <row r="2138">
          <cell r="A2138" t="str">
            <v>I GroupCASH</v>
          </cell>
        </row>
        <row r="2139">
          <cell r="A2139" t="str">
            <v>I GroupINVESTMENT SECURITIES</v>
          </cell>
        </row>
        <row r="2140">
          <cell r="A2140" t="str">
            <v>I GroupINV IN NON CONSOL AFFILIATES</v>
          </cell>
        </row>
        <row r="2141">
          <cell r="A2141" t="str">
            <v>I GroupINVESTMENT IN JOINT VENTURE</v>
          </cell>
        </row>
        <row r="2142">
          <cell r="A2142" t="str">
            <v>I GroupALL OTHER RECEIVABLES (NON-FINANCING)</v>
          </cell>
        </row>
        <row r="2143">
          <cell r="A2143" t="str">
            <v>I GroupELTO (NET)</v>
          </cell>
        </row>
        <row r="2144">
          <cell r="A2144" t="str">
            <v>I GroupGOODWILL</v>
          </cell>
        </row>
        <row r="2145">
          <cell r="A2145" t="str">
            <v>I GroupOTHER ASSETS</v>
          </cell>
        </row>
        <row r="2146">
          <cell r="A2146" t="str">
            <v>I GroupACCOUNTS PAYABLE</v>
          </cell>
        </row>
        <row r="2147">
          <cell r="A2147" t="str">
            <v>I GroupDEFERRED INCOME TAXES</v>
          </cell>
        </row>
        <row r="2148">
          <cell r="A2148" t="str">
            <v>I GroupWRITE-OFF (MEMO)</v>
          </cell>
        </row>
        <row r="2149">
          <cell r="A2149" t="str">
            <v>I GroupINSURANCE RESERVES AND ANNUITY BENEFITS</v>
          </cell>
        </row>
        <row r="2150">
          <cell r="A2150" t="str">
            <v>I GroupALL OTHER NON DEBT LIABILITIES</v>
          </cell>
        </row>
        <row r="2151">
          <cell r="A2151" t="str">
            <v>I GroupMINORITY INTEREST (BS)</v>
          </cell>
        </row>
        <row r="2152">
          <cell r="A2152" t="str">
            <v>I GroupASIA PACIFIC ENI DIVIDEND</v>
          </cell>
        </row>
        <row r="2153">
          <cell r="A2153" t="str">
            <v>I GroupFINANCING INCOME</v>
          </cell>
        </row>
        <row r="2154">
          <cell r="A2154" t="str">
            <v>I GroupINSURANCE PREMIUM INCOME</v>
          </cell>
        </row>
        <row r="2155">
          <cell r="A2155" t="str">
            <v>I GroupINSURANCE INCOME (COMMISSIONS)</v>
          </cell>
        </row>
        <row r="2156">
          <cell r="A2156" t="str">
            <v>I GroupSUNDRY INCOME</v>
          </cell>
        </row>
        <row r="2157">
          <cell r="A2157" t="str">
            <v>I GroupINTEREST EXPENSE</v>
          </cell>
        </row>
        <row r="2158">
          <cell r="A2158" t="str">
            <v>I GroupINTEREST EXPENSE REDUCTIONS / BUS SHARING</v>
          </cell>
        </row>
        <row r="2159">
          <cell r="A2159" t="str">
            <v>I GroupALLOCATED COST OF PREFERRED EQUITY</v>
          </cell>
        </row>
        <row r="2160">
          <cell r="A2160" t="str">
            <v>I GroupSALARIES &amp; BENEFITS</v>
          </cell>
        </row>
        <row r="2161">
          <cell r="A2161" t="str">
            <v>I GroupLOSSES ON OTHER ASSETS</v>
          </cell>
        </row>
        <row r="2162">
          <cell r="A2162" t="str">
            <v>I GroupCOST OF GOODS SOLD</v>
          </cell>
        </row>
        <row r="2163">
          <cell r="A2163" t="str">
            <v>I GroupCOST OF GOODS SOLD - DISTRIBUTION</v>
          </cell>
        </row>
        <row r="2164">
          <cell r="A2164" t="str">
            <v>I GroupPOSTAGE</v>
          </cell>
        </row>
        <row r="2165">
          <cell r="A2165" t="str">
            <v>I GroupTELEPHONE</v>
          </cell>
        </row>
        <row r="2166">
          <cell r="A2166" t="str">
            <v>I GroupCUSTOMER SERVICE / COLLECTIONS</v>
          </cell>
        </row>
        <row r="2167">
          <cell r="A2167" t="str">
            <v>I GroupSTATIONARY - OFFICE SUPPLIES</v>
          </cell>
        </row>
        <row r="2168">
          <cell r="A2168" t="str">
            <v>I GroupT&amp;L</v>
          </cell>
        </row>
        <row r="2169">
          <cell r="A2169" t="str">
            <v>I GroupRENTAL - BLDG/FACILITIES</v>
          </cell>
        </row>
        <row r="2170">
          <cell r="A2170" t="str">
            <v>I GroupRENTAL - FURNITURE/EQUIP</v>
          </cell>
        </row>
        <row r="2171">
          <cell r="A2171" t="str">
            <v>I GroupRENTAL - COMPUTERS</v>
          </cell>
        </row>
        <row r="2172">
          <cell r="A2172" t="str">
            <v>I GroupLEASE IN - LEASE OUT</v>
          </cell>
        </row>
        <row r="2173">
          <cell r="A2173" t="str">
            <v>I GroupFURNITURE / EQUIPMENT / COMPUTER EXP</v>
          </cell>
        </row>
        <row r="2174">
          <cell r="A2174" t="str">
            <v>I GroupSOFTWARE EXPENSE</v>
          </cell>
        </row>
        <row r="2175">
          <cell r="A2175" t="str">
            <v>I GroupAMORTIZATION OF INTANGIBLES</v>
          </cell>
        </row>
        <row r="2176">
          <cell r="A2176" t="str">
            <v>I GroupELTO MAINTENANCE</v>
          </cell>
        </row>
        <row r="2177">
          <cell r="A2177" t="str">
            <v>I GroupELTO OTHER</v>
          </cell>
        </row>
        <row r="2178">
          <cell r="A2178" t="str">
            <v>I GroupLEGAL</v>
          </cell>
        </row>
        <row r="2179">
          <cell r="A2179" t="str">
            <v>I GroupADVERTISING</v>
          </cell>
        </row>
        <row r="2180">
          <cell r="A2180" t="str">
            <v>I GroupSALES PROMOTIONS</v>
          </cell>
        </row>
        <row r="2181">
          <cell r="A2181" t="str">
            <v>I GroupDIRECT MAIL</v>
          </cell>
        </row>
        <row r="2182">
          <cell r="A2182" t="str">
            <v>I GroupDATA PROCESSING</v>
          </cell>
        </row>
        <row r="2183">
          <cell r="A2183" t="str">
            <v>I GroupCONSULTING</v>
          </cell>
        </row>
        <row r="2184">
          <cell r="A2184" t="str">
            <v>I GroupTEMP SERVICES</v>
          </cell>
        </row>
        <row r="2185">
          <cell r="A2185" t="str">
            <v>I GroupGDC CHARGES</v>
          </cell>
        </row>
        <row r="2186">
          <cell r="A2186" t="str">
            <v>I GroupTRAINING AND EDUCATION</v>
          </cell>
        </row>
        <row r="2187">
          <cell r="A2187" t="str">
            <v>I GroupOUTSIDE SERVICES  AND FEES</v>
          </cell>
        </row>
        <row r="2188">
          <cell r="A2188" t="str">
            <v>I GroupSTATE, FOREIGN, LOCAL TAXES</v>
          </cell>
        </row>
        <row r="2189">
          <cell r="A2189" t="str">
            <v>I GroupS/L TAX - INSURANCE PREMIUMS</v>
          </cell>
        </row>
        <row r="2190">
          <cell r="A2190" t="str">
            <v>I GroupSATELLITE LEASE EXPENSE</v>
          </cell>
        </row>
        <row r="2191">
          <cell r="A2191" t="str">
            <v>I GroupBUSINESS SHARE EXPENSE</v>
          </cell>
        </row>
        <row r="2192">
          <cell r="A2192" t="str">
            <v>I GroupINSURANCE AFFILIATE EXPENSE</v>
          </cell>
        </row>
        <row r="2193">
          <cell r="A2193" t="str">
            <v>I GroupOTHER FACILITY EXPENSE</v>
          </cell>
        </row>
        <row r="2194">
          <cell r="A2194" t="str">
            <v>I GroupGROSS OP &amp; ADMIN BUS SHARE</v>
          </cell>
        </row>
        <row r="2195">
          <cell r="A2195" t="str">
            <v>I GroupOTHER EXPENSE</v>
          </cell>
        </row>
        <row r="2196">
          <cell r="A2196" t="str">
            <v>I GroupGECC INTERCO EXPENSES EXCL GECIS</v>
          </cell>
        </row>
        <row r="2197">
          <cell r="A2197" t="str">
            <v>I GroupGECIS INTERCO CHARGES</v>
          </cell>
        </row>
        <row r="2198">
          <cell r="A2198" t="str">
            <v>I GroupLOSS ADJUSTED EXPENSE</v>
          </cell>
        </row>
        <row r="2199">
          <cell r="A2199" t="str">
            <v>I GroupALL OTHER EXPENSES</v>
          </cell>
        </row>
        <row r="2200">
          <cell r="A2200" t="str">
            <v>I GroupASSESSMENTS</v>
          </cell>
        </row>
        <row r="2201">
          <cell r="A2201" t="str">
            <v>I GroupFAS 91</v>
          </cell>
        </row>
        <row r="2202">
          <cell r="A2202" t="str">
            <v>I GroupGOODWILL AMORTIZATION</v>
          </cell>
        </row>
        <row r="2203">
          <cell r="A2203" t="str">
            <v>I GroupDEPRECIATION EXPENSE</v>
          </cell>
        </row>
        <row r="2204">
          <cell r="A2204" t="str">
            <v>I GroupELTO AMORTIZATION</v>
          </cell>
        </row>
        <row r="2205">
          <cell r="A2205" t="str">
            <v>I GroupINSURANCE LOSSES AND BENEFITS</v>
          </cell>
        </row>
        <row r="2206">
          <cell r="A2206" t="str">
            <v>I GroupWRITE OFFS</v>
          </cell>
        </row>
        <row r="2207">
          <cell r="A2207" t="str">
            <v>I GroupRESERVE CHANGE</v>
          </cell>
        </row>
        <row r="2208">
          <cell r="A2208" t="str">
            <v>I GroupMINORITY INTEREST</v>
          </cell>
        </row>
        <row r="2209">
          <cell r="A2209" t="str">
            <v>I GroupINCOME TAXES</v>
          </cell>
        </row>
        <row r="2210">
          <cell r="A2210" t="str">
            <v>I GroupCUMULATIVE TRANSITION ADJUSTMENT</v>
          </cell>
        </row>
        <row r="2211">
          <cell r="A2211" t="str">
            <v>I GroupASIA PACIFIC NI DIVIDEND</v>
          </cell>
        </row>
        <row r="2212">
          <cell r="A2212" t="str">
            <v>I GroupNet Income</v>
          </cell>
        </row>
        <row r="2213">
          <cell r="A2213" t="str">
            <v>I GroupSubPart F</v>
          </cell>
        </row>
        <row r="2214">
          <cell r="A2214" t="str">
            <v>I GroupAssets</v>
          </cell>
        </row>
        <row r="2215">
          <cell r="A2215" t="str">
            <v>I GroupEnding Net Investment (ENI) incl Asia</v>
          </cell>
        </row>
        <row r="2216">
          <cell r="A2216" t="str">
            <v>I GroupANR YTD</v>
          </cell>
        </row>
        <row r="2217">
          <cell r="A2217" t="str">
            <v>I GroupASA YTD</v>
          </cell>
        </row>
        <row r="2218">
          <cell r="A2218" t="str">
            <v>I GroupANI YTD incl Asia - 5 pt</v>
          </cell>
        </row>
        <row r="2219">
          <cell r="A2219" t="str">
            <v>I GroupOff Balance Sheet Assets</v>
          </cell>
        </row>
        <row r="2220">
          <cell r="A2220" t="str">
            <v>I GroupJV Receivables</v>
          </cell>
        </row>
        <row r="2221">
          <cell r="A2221" t="str">
            <v>I Group30+ DELINQUENCY $</v>
          </cell>
        </row>
        <row r="2222">
          <cell r="A2222" t="str">
            <v>I Group90+ DELINQUENCY $</v>
          </cell>
        </row>
        <row r="2223">
          <cell r="A2223" t="str">
            <v>I GroupTemporary Staff</v>
          </cell>
        </row>
        <row r="2224">
          <cell r="A2224" t="str">
            <v>I GroupContractors</v>
          </cell>
        </row>
        <row r="2225">
          <cell r="A2225" t="str">
            <v>I GroupOutsourced to LCC</v>
          </cell>
        </row>
        <row r="2226">
          <cell r="A2226" t="str">
            <v>I GroupTotal Headcount</v>
          </cell>
        </row>
        <row r="2227">
          <cell r="A2227" t="str">
            <v>I GroupTotal Workforce</v>
          </cell>
        </row>
        <row r="2228">
          <cell r="A2228" t="str">
            <v>I GroupTotal Earned Revenue</v>
          </cell>
        </row>
        <row r="2229">
          <cell r="A2229" t="str">
            <v>I GroupOrdinary Gains - PreTax</v>
          </cell>
        </row>
        <row r="2230">
          <cell r="A2230" t="str">
            <v>I GroupOrdinary Gains - AfterTax</v>
          </cell>
        </row>
        <row r="2231">
          <cell r="A2231" t="str">
            <v>I GroupTotal Volume</v>
          </cell>
        </row>
        <row r="2232">
          <cell r="A2232" t="str">
            <v>I GroupTOTAL # ACTIVE ACCOUNTS</v>
          </cell>
        </row>
        <row r="2233">
          <cell r="A2233" t="str">
            <v>India AutoTOTAL FINANCING RECEIVABLES</v>
          </cell>
        </row>
        <row r="2234">
          <cell r="A2234" t="str">
            <v>India AutoRECEIVABLE RESERVES</v>
          </cell>
        </row>
        <row r="2235">
          <cell r="A2235" t="str">
            <v>India AutoCASH</v>
          </cell>
        </row>
        <row r="2236">
          <cell r="A2236" t="str">
            <v>India AutoINVESTMENT SECURITIES</v>
          </cell>
        </row>
        <row r="2237">
          <cell r="A2237" t="str">
            <v>India AutoINV IN NON CONSOL AFFILIATES</v>
          </cell>
        </row>
        <row r="2238">
          <cell r="A2238" t="str">
            <v>India AutoINVESTMENT IN JOINT VENTURE</v>
          </cell>
        </row>
        <row r="2239">
          <cell r="A2239" t="str">
            <v>India AutoALL OTHER RECEIVABLES (NON-FINANCING)</v>
          </cell>
        </row>
        <row r="2240">
          <cell r="A2240" t="str">
            <v>India AutoELTO (NET)</v>
          </cell>
        </row>
        <row r="2241">
          <cell r="A2241" t="str">
            <v>India AutoGOODWILL</v>
          </cell>
        </row>
        <row r="2242">
          <cell r="A2242" t="str">
            <v>India AutoOTHER ASSETS</v>
          </cell>
        </row>
        <row r="2243">
          <cell r="A2243" t="str">
            <v>India AutoACCOUNTS PAYABLE</v>
          </cell>
        </row>
        <row r="2244">
          <cell r="A2244" t="str">
            <v>India AutoDEFERRED INCOME TAXES</v>
          </cell>
        </row>
        <row r="2245">
          <cell r="A2245" t="str">
            <v>India AutoWRITE-OFF (MEMO)</v>
          </cell>
        </row>
        <row r="2246">
          <cell r="A2246" t="str">
            <v>India AutoINSURANCE RESERVES AND ANNUITY BENEFITS</v>
          </cell>
        </row>
        <row r="2247">
          <cell r="A2247" t="str">
            <v>India AutoALL OTHER NON DEBT LIABILITIES</v>
          </cell>
        </row>
        <row r="2248">
          <cell r="A2248" t="str">
            <v>India AutoMINORITY INTEREST (BS)</v>
          </cell>
        </row>
        <row r="2249">
          <cell r="A2249" t="str">
            <v>India AutoASIA PACIFIC ENI DIVIDEND</v>
          </cell>
        </row>
        <row r="2250">
          <cell r="A2250" t="str">
            <v>India AutoFINANCING INCOME</v>
          </cell>
        </row>
        <row r="2251">
          <cell r="A2251" t="str">
            <v>India AutoINSURANCE PREMIUM INCOME</v>
          </cell>
        </row>
        <row r="2252">
          <cell r="A2252" t="str">
            <v>India AutoINSURANCE INCOME (COMMISSIONS)</v>
          </cell>
        </row>
        <row r="2253">
          <cell r="A2253" t="str">
            <v>India AutoSUNDRY INCOME</v>
          </cell>
        </row>
        <row r="2254">
          <cell r="A2254" t="str">
            <v>India AutoINTEREST EXPENSE</v>
          </cell>
        </row>
        <row r="2255">
          <cell r="A2255" t="str">
            <v>India AutoINTEREST EXPENSE REDUCTIONS / BUS SHARING</v>
          </cell>
        </row>
        <row r="2256">
          <cell r="A2256" t="str">
            <v>India AutoALLOCATED COST OF PREFERRED EQUITY</v>
          </cell>
        </row>
        <row r="2257">
          <cell r="A2257" t="str">
            <v>India AutoSALARIES &amp; BENEFITS</v>
          </cell>
        </row>
        <row r="2258">
          <cell r="A2258" t="str">
            <v>India AutoLOSSES ON OTHER ASSETS</v>
          </cell>
        </row>
        <row r="2259">
          <cell r="A2259" t="str">
            <v>India AutoCOST OF GOODS SOLD</v>
          </cell>
        </row>
        <row r="2260">
          <cell r="A2260" t="str">
            <v>India AutoCOST OF GOODS SOLD - DISTRIBUTION</v>
          </cell>
        </row>
        <row r="2261">
          <cell r="A2261" t="str">
            <v>India AutoPOSTAGE</v>
          </cell>
        </row>
        <row r="2262">
          <cell r="A2262" t="str">
            <v>India AutoTELEPHONE</v>
          </cell>
        </row>
        <row r="2263">
          <cell r="A2263" t="str">
            <v>India AutoCUSTOMER SERVICE / COLLECTIONS</v>
          </cell>
        </row>
        <row r="2264">
          <cell r="A2264" t="str">
            <v>India AutoSTATIONARY - OFFICE SUPPLIES</v>
          </cell>
        </row>
        <row r="2265">
          <cell r="A2265" t="str">
            <v>India AutoT&amp;L</v>
          </cell>
        </row>
        <row r="2266">
          <cell r="A2266" t="str">
            <v>India AutoRENTAL - BLDG/FACILITIES</v>
          </cell>
        </row>
        <row r="2267">
          <cell r="A2267" t="str">
            <v>India AutoRENTAL - FURNITURE/EQUIP</v>
          </cell>
        </row>
        <row r="2268">
          <cell r="A2268" t="str">
            <v>India AutoRENTAL - COMPUTERS</v>
          </cell>
        </row>
        <row r="2269">
          <cell r="A2269" t="str">
            <v>India AutoLEASE IN - LEASE OUT</v>
          </cell>
        </row>
        <row r="2270">
          <cell r="A2270" t="str">
            <v>India AutoFURNITURE / EQUIPMENT / COMPUTER EXP</v>
          </cell>
        </row>
        <row r="2271">
          <cell r="A2271" t="str">
            <v>India AutoSOFTWARE EXPENSE</v>
          </cell>
        </row>
        <row r="2272">
          <cell r="A2272" t="str">
            <v>India AutoAMORTIZATION OF INTANGIBLES</v>
          </cell>
        </row>
        <row r="2273">
          <cell r="A2273" t="str">
            <v>India AutoELTO MAINTENANCE</v>
          </cell>
        </row>
        <row r="2274">
          <cell r="A2274" t="str">
            <v>India AutoELTO OTHER</v>
          </cell>
        </row>
        <row r="2275">
          <cell r="A2275" t="str">
            <v>India AutoLEGAL</v>
          </cell>
        </row>
        <row r="2276">
          <cell r="A2276" t="str">
            <v>India AutoADVERTISING</v>
          </cell>
        </row>
        <row r="2277">
          <cell r="A2277" t="str">
            <v>India AutoSALES PROMOTIONS</v>
          </cell>
        </row>
        <row r="2278">
          <cell r="A2278" t="str">
            <v>India AutoDIRECT MAIL</v>
          </cell>
        </row>
        <row r="2279">
          <cell r="A2279" t="str">
            <v>India AutoDATA PROCESSING</v>
          </cell>
        </row>
        <row r="2280">
          <cell r="A2280" t="str">
            <v>India AutoCONSULTING</v>
          </cell>
        </row>
        <row r="2281">
          <cell r="A2281" t="str">
            <v>India AutoTEMP SERVICES</v>
          </cell>
        </row>
        <row r="2282">
          <cell r="A2282" t="str">
            <v>India AutoGDC CHARGES</v>
          </cell>
        </row>
        <row r="2283">
          <cell r="A2283" t="str">
            <v>India AutoTRAINING AND EDUCATION</v>
          </cell>
        </row>
        <row r="2284">
          <cell r="A2284" t="str">
            <v>India AutoOUTSIDE SERVICES  AND FEES</v>
          </cell>
        </row>
        <row r="2285">
          <cell r="A2285" t="str">
            <v>India AutoSTATE, FOREIGN, LOCAL TAXES</v>
          </cell>
        </row>
        <row r="2286">
          <cell r="A2286" t="str">
            <v>India AutoS/L TAX - INSURANCE PREMIUMS</v>
          </cell>
        </row>
        <row r="2287">
          <cell r="A2287" t="str">
            <v>India AutoSATELLITE LEASE EXPENSE</v>
          </cell>
        </row>
        <row r="2288">
          <cell r="A2288" t="str">
            <v>India AutoBUSINESS SHARE EXPENSE</v>
          </cell>
        </row>
        <row r="2289">
          <cell r="A2289" t="str">
            <v>India AutoINSURANCE AFFILIATE EXPENSE</v>
          </cell>
        </row>
        <row r="2290">
          <cell r="A2290" t="str">
            <v>India AutoOTHER FACILITY EXPENSE</v>
          </cell>
        </row>
        <row r="2291">
          <cell r="A2291" t="str">
            <v>India AutoGROSS OP &amp; ADMIN BUS SHARE</v>
          </cell>
        </row>
        <row r="2292">
          <cell r="A2292" t="str">
            <v>India AutoOTHER EXPENSE</v>
          </cell>
        </row>
        <row r="2293">
          <cell r="A2293" t="str">
            <v>India AutoGECC INTERCO EXPENSES EXCL GECIS</v>
          </cell>
        </row>
        <row r="2294">
          <cell r="A2294" t="str">
            <v>India AutoGECIS INTERCO CHARGES</v>
          </cell>
        </row>
        <row r="2295">
          <cell r="A2295" t="str">
            <v>India AutoLOSS ADJUSTED EXPENSE</v>
          </cell>
        </row>
        <row r="2296">
          <cell r="A2296" t="str">
            <v>India AutoALL OTHER EXPENSES</v>
          </cell>
        </row>
        <row r="2297">
          <cell r="A2297" t="str">
            <v>India AutoASSESSMENTS</v>
          </cell>
        </row>
        <row r="2298">
          <cell r="A2298" t="str">
            <v>India AutoFAS 91</v>
          </cell>
        </row>
        <row r="2299">
          <cell r="A2299" t="str">
            <v>India AutoGOODWILL AMORTIZATION</v>
          </cell>
        </row>
        <row r="2300">
          <cell r="A2300" t="str">
            <v>India AutoDEPRECIATION EXPENSE</v>
          </cell>
        </row>
        <row r="2301">
          <cell r="A2301" t="str">
            <v>India AutoELTO AMORTIZATION</v>
          </cell>
        </row>
        <row r="2302">
          <cell r="A2302" t="str">
            <v>India AutoINSURANCE LOSSES AND BENEFITS</v>
          </cell>
        </row>
        <row r="2303">
          <cell r="A2303" t="str">
            <v>India AutoWRITE OFFS</v>
          </cell>
        </row>
        <row r="2304">
          <cell r="A2304" t="str">
            <v>India AutoRESERVE CHANGE</v>
          </cell>
        </row>
        <row r="2305">
          <cell r="A2305" t="str">
            <v>India AutoMINORITY INTEREST</v>
          </cell>
        </row>
        <row r="2306">
          <cell r="A2306" t="str">
            <v>India AutoINCOME TAXES</v>
          </cell>
        </row>
        <row r="2307">
          <cell r="A2307" t="str">
            <v>India AutoCUMULATIVE TRANSITION ADJUSTMENT</v>
          </cell>
        </row>
        <row r="2308">
          <cell r="A2308" t="str">
            <v>India AutoASIA PACIFIC NI DIVIDEND</v>
          </cell>
        </row>
        <row r="2309">
          <cell r="A2309" t="str">
            <v>India AutoNet Income</v>
          </cell>
        </row>
        <row r="2310">
          <cell r="A2310" t="str">
            <v>India AutoSubPart F</v>
          </cell>
        </row>
        <row r="2311">
          <cell r="A2311" t="str">
            <v>India AutoAssets</v>
          </cell>
        </row>
        <row r="2312">
          <cell r="A2312" t="str">
            <v>India AutoEnding Net Investment (ENI) incl Asia</v>
          </cell>
        </row>
        <row r="2313">
          <cell r="A2313" t="str">
            <v>India AutoANR YTD</v>
          </cell>
        </row>
        <row r="2314">
          <cell r="A2314" t="str">
            <v>India AutoASA YTD</v>
          </cell>
        </row>
        <row r="2315">
          <cell r="A2315" t="str">
            <v>India AutoANI YTD incl Asia - 5 pt</v>
          </cell>
        </row>
        <row r="2316">
          <cell r="A2316" t="str">
            <v>India AutoOff Balance Sheet Assets</v>
          </cell>
        </row>
        <row r="2317">
          <cell r="A2317" t="str">
            <v>India AutoJV Receivables</v>
          </cell>
        </row>
        <row r="2318">
          <cell r="A2318" t="str">
            <v>India Auto30+ DELINQUENCY $</v>
          </cell>
        </row>
        <row r="2319">
          <cell r="A2319" t="str">
            <v>India Auto90+ DELINQUENCY $</v>
          </cell>
        </row>
        <row r="2320">
          <cell r="A2320" t="str">
            <v>India AutoTemporary Staff</v>
          </cell>
        </row>
        <row r="2321">
          <cell r="A2321" t="str">
            <v>India AutoContractors</v>
          </cell>
        </row>
        <row r="2322">
          <cell r="A2322" t="str">
            <v>India AutoOutsourced to LCC</v>
          </cell>
        </row>
        <row r="2323">
          <cell r="A2323" t="str">
            <v>India AutoTotal Headcount</v>
          </cell>
        </row>
        <row r="2324">
          <cell r="A2324" t="str">
            <v>India AutoTotal Workforce</v>
          </cell>
        </row>
        <row r="2325">
          <cell r="A2325" t="str">
            <v>India AutoTotal Earned Revenue</v>
          </cell>
        </row>
        <row r="2326">
          <cell r="A2326" t="str">
            <v>India AutoOrdinary Gains - PreTax</v>
          </cell>
        </row>
        <row r="2327">
          <cell r="A2327" t="str">
            <v>India AutoOrdinary Gains - AfterTax</v>
          </cell>
        </row>
        <row r="2328">
          <cell r="A2328" t="str">
            <v>India AutoTotal Volume</v>
          </cell>
        </row>
        <row r="2329">
          <cell r="A2329" t="str">
            <v>India AutoTOTAL # ACTIVE ACCOUNTS</v>
          </cell>
        </row>
        <row r="2330">
          <cell r="A2330" t="str">
            <v>India CountrywideTOTAL FINANCING RECEIVABLES</v>
          </cell>
        </row>
        <row r="2331">
          <cell r="A2331" t="str">
            <v>India CountrywideRECEIVABLE RESERVES</v>
          </cell>
        </row>
        <row r="2332">
          <cell r="A2332" t="str">
            <v>India CountrywideCASH</v>
          </cell>
        </row>
        <row r="2333">
          <cell r="A2333" t="str">
            <v>India CountrywideINVESTMENT SECURITIES</v>
          </cell>
        </row>
        <row r="2334">
          <cell r="A2334" t="str">
            <v>India CountrywideINV IN NON CONSOL AFFILIATES</v>
          </cell>
        </row>
        <row r="2335">
          <cell r="A2335" t="str">
            <v>India CountrywideINVESTMENT IN JOINT VENTURE</v>
          </cell>
        </row>
        <row r="2336">
          <cell r="A2336" t="str">
            <v>India CountrywideALL OTHER RECEIVABLES (NON-FINANCING)</v>
          </cell>
        </row>
        <row r="2337">
          <cell r="A2337" t="str">
            <v>India CountrywideELTO (NET)</v>
          </cell>
        </row>
        <row r="2338">
          <cell r="A2338" t="str">
            <v>India CountrywideGOODWILL</v>
          </cell>
        </row>
        <row r="2339">
          <cell r="A2339" t="str">
            <v>India CountrywideOTHER ASSETS</v>
          </cell>
        </row>
        <row r="2340">
          <cell r="A2340" t="str">
            <v>India CountrywideACCOUNTS PAYABLE</v>
          </cell>
        </row>
        <row r="2341">
          <cell r="A2341" t="str">
            <v>India CountrywideDEFERRED INCOME TAXES</v>
          </cell>
        </row>
        <row r="2342">
          <cell r="A2342" t="str">
            <v>India CountrywideWRITE-OFF (MEMO)</v>
          </cell>
        </row>
        <row r="2343">
          <cell r="A2343" t="str">
            <v>India CountrywideINSURANCE RESERVES AND ANNUITY BENEFITS</v>
          </cell>
        </row>
        <row r="2344">
          <cell r="A2344" t="str">
            <v>India CountrywideALL OTHER NON DEBT LIABILITIES</v>
          </cell>
        </row>
        <row r="2345">
          <cell r="A2345" t="str">
            <v>India CountrywideMINORITY INTEREST (BS)</v>
          </cell>
        </row>
        <row r="2346">
          <cell r="A2346" t="str">
            <v>India CountrywideASIA PACIFIC ENI DIVIDEND</v>
          </cell>
        </row>
        <row r="2347">
          <cell r="A2347" t="str">
            <v>India CountrywideFINANCING INCOME</v>
          </cell>
        </row>
        <row r="2348">
          <cell r="A2348" t="str">
            <v>India CountrywideINSURANCE PREMIUM INCOME</v>
          </cell>
        </row>
        <row r="2349">
          <cell r="A2349" t="str">
            <v>India CountrywideINSURANCE INCOME (COMMISSIONS)</v>
          </cell>
        </row>
        <row r="2350">
          <cell r="A2350" t="str">
            <v>India CountrywideSUNDRY INCOME</v>
          </cell>
        </row>
        <row r="2351">
          <cell r="A2351" t="str">
            <v>India CountrywideINTEREST EXPENSE</v>
          </cell>
        </row>
        <row r="2352">
          <cell r="A2352" t="str">
            <v>India CountrywideINTEREST EXPENSE REDUCTIONS / BUS SHARING</v>
          </cell>
        </row>
        <row r="2353">
          <cell r="A2353" t="str">
            <v>India CountrywideALLOCATED COST OF PREFERRED EQUITY</v>
          </cell>
        </row>
        <row r="2354">
          <cell r="A2354" t="str">
            <v>India CountrywideSALARIES &amp; BENEFITS</v>
          </cell>
        </row>
        <row r="2355">
          <cell r="A2355" t="str">
            <v>India CountrywideLOSSES ON OTHER ASSETS</v>
          </cell>
        </row>
        <row r="2356">
          <cell r="A2356" t="str">
            <v>India CountrywideCOST OF GOODS SOLD</v>
          </cell>
        </row>
        <row r="2357">
          <cell r="A2357" t="str">
            <v>India CountrywideCOST OF GOODS SOLD - DISTRIBUTION</v>
          </cell>
        </row>
        <row r="2358">
          <cell r="A2358" t="str">
            <v>India CountrywidePOSTAGE</v>
          </cell>
        </row>
        <row r="2359">
          <cell r="A2359" t="str">
            <v>India CountrywideTELEPHONE</v>
          </cell>
        </row>
        <row r="2360">
          <cell r="A2360" t="str">
            <v>India CountrywideCUSTOMER SERVICE / COLLECTIONS</v>
          </cell>
        </row>
        <row r="2361">
          <cell r="A2361" t="str">
            <v>India CountrywideSTATIONARY - OFFICE SUPPLIES</v>
          </cell>
        </row>
        <row r="2362">
          <cell r="A2362" t="str">
            <v>India CountrywideT&amp;L</v>
          </cell>
        </row>
        <row r="2363">
          <cell r="A2363" t="str">
            <v>India CountrywideRENTAL - BLDG/FACILITIES</v>
          </cell>
        </row>
        <row r="2364">
          <cell r="A2364" t="str">
            <v>India CountrywideRENTAL - FURNITURE/EQUIP</v>
          </cell>
        </row>
        <row r="2365">
          <cell r="A2365" t="str">
            <v>India CountrywideRENTAL - COMPUTERS</v>
          </cell>
        </row>
        <row r="2366">
          <cell r="A2366" t="str">
            <v>India CountrywideLEASE IN - LEASE OUT</v>
          </cell>
        </row>
        <row r="2367">
          <cell r="A2367" t="str">
            <v>India CountrywideFURNITURE / EQUIPMENT / COMPUTER EXP</v>
          </cell>
        </row>
        <row r="2368">
          <cell r="A2368" t="str">
            <v>India CountrywideSOFTWARE EXPENSE</v>
          </cell>
        </row>
        <row r="2369">
          <cell r="A2369" t="str">
            <v>India CountrywideAMORTIZATION OF INTANGIBLES</v>
          </cell>
        </row>
        <row r="2370">
          <cell r="A2370" t="str">
            <v>India CountrywideELTO MAINTENANCE</v>
          </cell>
        </row>
        <row r="2371">
          <cell r="A2371" t="str">
            <v>India CountrywideELTO OTHER</v>
          </cell>
        </row>
        <row r="2372">
          <cell r="A2372" t="str">
            <v>India CountrywideLEGAL</v>
          </cell>
        </row>
        <row r="2373">
          <cell r="A2373" t="str">
            <v>India CountrywideADVERTISING</v>
          </cell>
        </row>
        <row r="2374">
          <cell r="A2374" t="str">
            <v>India CountrywideSALES PROMOTIONS</v>
          </cell>
        </row>
        <row r="2375">
          <cell r="A2375" t="str">
            <v>India CountrywideDIRECT MAIL</v>
          </cell>
        </row>
        <row r="2376">
          <cell r="A2376" t="str">
            <v>India CountrywideDATA PROCESSING</v>
          </cell>
        </row>
        <row r="2377">
          <cell r="A2377" t="str">
            <v>India CountrywideCONSULTING</v>
          </cell>
        </row>
        <row r="2378">
          <cell r="A2378" t="str">
            <v>India CountrywideTEMP SERVICES</v>
          </cell>
        </row>
        <row r="2379">
          <cell r="A2379" t="str">
            <v>India CountrywideGDC CHARGES</v>
          </cell>
        </row>
        <row r="2380">
          <cell r="A2380" t="str">
            <v>India CountrywideTRAINING AND EDUCATION</v>
          </cell>
        </row>
        <row r="2381">
          <cell r="A2381" t="str">
            <v>India CountrywideOUTSIDE SERVICES  AND FEES</v>
          </cell>
        </row>
        <row r="2382">
          <cell r="A2382" t="str">
            <v>India CountrywideSTATE, FOREIGN, LOCAL TAXES</v>
          </cell>
        </row>
        <row r="2383">
          <cell r="A2383" t="str">
            <v>India CountrywideS/L TAX - INSURANCE PREMIUMS</v>
          </cell>
        </row>
        <row r="2384">
          <cell r="A2384" t="str">
            <v>India CountrywideSATELLITE LEASE EXPENSE</v>
          </cell>
        </row>
        <row r="2385">
          <cell r="A2385" t="str">
            <v>India CountrywideBUSINESS SHARE EXPENSE</v>
          </cell>
        </row>
        <row r="2386">
          <cell r="A2386" t="str">
            <v>India CountrywideINSURANCE AFFILIATE EXPENSE</v>
          </cell>
        </row>
        <row r="2387">
          <cell r="A2387" t="str">
            <v>India CountrywideOTHER FACILITY EXPENSE</v>
          </cell>
        </row>
        <row r="2388">
          <cell r="A2388" t="str">
            <v>India CountrywideGROSS OP &amp; ADMIN BUS SHARE</v>
          </cell>
        </row>
        <row r="2389">
          <cell r="A2389" t="str">
            <v>India CountrywideOTHER EXPENSE</v>
          </cell>
        </row>
        <row r="2390">
          <cell r="A2390" t="str">
            <v>India CountrywideGECC INTERCO EXPENSES EXCL GECIS</v>
          </cell>
        </row>
        <row r="2391">
          <cell r="A2391" t="str">
            <v>India CountrywideGECIS INTERCO CHARGES</v>
          </cell>
        </row>
        <row r="2392">
          <cell r="A2392" t="str">
            <v>India CountrywideLOSS ADJUSTED EXPENSE</v>
          </cell>
        </row>
        <row r="2393">
          <cell r="A2393" t="str">
            <v>India CountrywideALL OTHER EXPENSES</v>
          </cell>
        </row>
        <row r="2394">
          <cell r="A2394" t="str">
            <v>India CountrywideASSESSMENTS</v>
          </cell>
        </row>
        <row r="2395">
          <cell r="A2395" t="str">
            <v>India CountrywideFAS 91</v>
          </cell>
        </row>
        <row r="2396">
          <cell r="A2396" t="str">
            <v>India CountrywideGOODWILL AMORTIZATION</v>
          </cell>
        </row>
        <row r="2397">
          <cell r="A2397" t="str">
            <v>India CountrywideDEPRECIATION EXPENSE</v>
          </cell>
        </row>
        <row r="2398">
          <cell r="A2398" t="str">
            <v>India CountrywideELTO AMORTIZATION</v>
          </cell>
        </row>
        <row r="2399">
          <cell r="A2399" t="str">
            <v>India CountrywideINSURANCE LOSSES AND BENEFITS</v>
          </cell>
        </row>
        <row r="2400">
          <cell r="A2400" t="str">
            <v>India CountrywideWRITE OFFS</v>
          </cell>
        </row>
        <row r="2401">
          <cell r="A2401" t="str">
            <v>India CountrywideRESERVE CHANGE</v>
          </cell>
        </row>
        <row r="2402">
          <cell r="A2402" t="str">
            <v>India CountrywideMINORITY INTEREST</v>
          </cell>
        </row>
        <row r="2403">
          <cell r="A2403" t="str">
            <v>India CountrywideINCOME TAXES</v>
          </cell>
        </row>
        <row r="2404">
          <cell r="A2404" t="str">
            <v>India CountrywideCUMULATIVE TRANSITION ADJUSTMENT</v>
          </cell>
        </row>
        <row r="2405">
          <cell r="A2405" t="str">
            <v>India CountrywideASIA PACIFIC NI DIVIDEND</v>
          </cell>
        </row>
        <row r="2406">
          <cell r="A2406" t="str">
            <v>India CountrywideNet Income</v>
          </cell>
        </row>
        <row r="2407">
          <cell r="A2407" t="str">
            <v>India CountrywideSubPart F</v>
          </cell>
        </row>
        <row r="2408">
          <cell r="A2408" t="str">
            <v>India CountrywideAssets</v>
          </cell>
        </row>
        <row r="2409">
          <cell r="A2409" t="str">
            <v>India CountrywideEnding Net Investment (ENI) incl Asia</v>
          </cell>
        </row>
        <row r="2410">
          <cell r="A2410" t="str">
            <v>India CountrywideANR YTD</v>
          </cell>
        </row>
        <row r="2411">
          <cell r="A2411" t="str">
            <v>India CountrywideASA YTD</v>
          </cell>
        </row>
        <row r="2412">
          <cell r="A2412" t="str">
            <v>India CountrywideANI YTD incl Asia - 5 pt</v>
          </cell>
        </row>
        <row r="2413">
          <cell r="A2413" t="str">
            <v>India CountrywideOff Balance Sheet Assets</v>
          </cell>
        </row>
        <row r="2414">
          <cell r="A2414" t="str">
            <v>India CountrywideJV Receivables</v>
          </cell>
        </row>
        <row r="2415">
          <cell r="A2415" t="str">
            <v>India Countrywide30+ DELINQUENCY $</v>
          </cell>
        </row>
        <row r="2416">
          <cell r="A2416" t="str">
            <v>India Countrywide90+ DELINQUENCY $</v>
          </cell>
        </row>
        <row r="2417">
          <cell r="A2417" t="str">
            <v>India CountrywideTemporary Staff</v>
          </cell>
        </row>
        <row r="2418">
          <cell r="A2418" t="str">
            <v>India CountrywideContractors</v>
          </cell>
        </row>
        <row r="2419">
          <cell r="A2419" t="str">
            <v>India CountrywideOutsourced to LCC</v>
          </cell>
        </row>
        <row r="2420">
          <cell r="A2420" t="str">
            <v>India CountrywideTotal Headcount</v>
          </cell>
        </row>
        <row r="2421">
          <cell r="A2421" t="str">
            <v>India CountrywideTotal Workforce</v>
          </cell>
        </row>
        <row r="2422">
          <cell r="A2422" t="str">
            <v>India CountrywideTotal Earned Revenue</v>
          </cell>
        </row>
        <row r="2423">
          <cell r="A2423" t="str">
            <v>India CountrywideOrdinary Gains - PreTax</v>
          </cell>
        </row>
        <row r="2424">
          <cell r="A2424" t="str">
            <v>India CountrywideOrdinary Gains - AfterTax</v>
          </cell>
        </row>
        <row r="2425">
          <cell r="A2425" t="str">
            <v>India CountrywideTotal Volume</v>
          </cell>
        </row>
        <row r="2426">
          <cell r="A2426" t="str">
            <v>India CountrywideTOTAL # ACTIVE ACCOUNTS</v>
          </cell>
        </row>
        <row r="2427">
          <cell r="A2427" t="str">
            <v>IndonesiaTOTAL FINANCING RECEIVABLES</v>
          </cell>
        </row>
        <row r="2428">
          <cell r="A2428" t="str">
            <v>IndonesiaRECEIVABLE RESERVES</v>
          </cell>
        </row>
        <row r="2429">
          <cell r="A2429" t="str">
            <v>IndonesiaCASH</v>
          </cell>
        </row>
        <row r="2430">
          <cell r="A2430" t="str">
            <v>IndonesiaINVESTMENT SECURITIES</v>
          </cell>
        </row>
        <row r="2431">
          <cell r="A2431" t="str">
            <v>IndonesiaINV IN NON CONSOL AFFILIATES</v>
          </cell>
        </row>
        <row r="2432">
          <cell r="A2432" t="str">
            <v>IndonesiaINVESTMENT IN JOINT VENTURE</v>
          </cell>
        </row>
        <row r="2433">
          <cell r="A2433" t="str">
            <v>IndonesiaALL OTHER RECEIVABLES (NON-FINANCING)</v>
          </cell>
        </row>
        <row r="2434">
          <cell r="A2434" t="str">
            <v>IndonesiaELTO (NET)</v>
          </cell>
        </row>
        <row r="2435">
          <cell r="A2435" t="str">
            <v>IndonesiaGOODWILL</v>
          </cell>
        </row>
        <row r="2436">
          <cell r="A2436" t="str">
            <v>IndonesiaOTHER ASSETS</v>
          </cell>
        </row>
        <row r="2437">
          <cell r="A2437" t="str">
            <v>IndonesiaACCOUNTS PAYABLE</v>
          </cell>
        </row>
        <row r="2438">
          <cell r="A2438" t="str">
            <v>IndonesiaDEFERRED INCOME TAXES</v>
          </cell>
        </row>
        <row r="2439">
          <cell r="A2439" t="str">
            <v>IndonesiaWRITE-OFF (MEMO)</v>
          </cell>
        </row>
        <row r="2440">
          <cell r="A2440" t="str">
            <v>IndonesiaINSURANCE RESERVES AND ANNUITY BENEFITS</v>
          </cell>
        </row>
        <row r="2441">
          <cell r="A2441" t="str">
            <v>IndonesiaALL OTHER NON DEBT LIABILITIES</v>
          </cell>
        </row>
        <row r="2442">
          <cell r="A2442" t="str">
            <v>IndonesiaMINORITY INTEREST (BS)</v>
          </cell>
        </row>
        <row r="2443">
          <cell r="A2443" t="str">
            <v>IndonesiaASIA PACIFIC ENI DIVIDEND</v>
          </cell>
        </row>
        <row r="2444">
          <cell r="A2444" t="str">
            <v>IndonesiaFINANCING INCOME</v>
          </cell>
        </row>
        <row r="2445">
          <cell r="A2445" t="str">
            <v>IndonesiaINSURANCE PREMIUM INCOME</v>
          </cell>
        </row>
        <row r="2446">
          <cell r="A2446" t="str">
            <v>IndonesiaINSURANCE INCOME (COMMISSIONS)</v>
          </cell>
        </row>
        <row r="2447">
          <cell r="A2447" t="str">
            <v>IndonesiaSUNDRY INCOME</v>
          </cell>
        </row>
        <row r="2448">
          <cell r="A2448" t="str">
            <v>IndonesiaINTEREST EXPENSE</v>
          </cell>
        </row>
        <row r="2449">
          <cell r="A2449" t="str">
            <v>IndonesiaINTEREST EXPENSE REDUCTIONS / BUS SHARING</v>
          </cell>
        </row>
        <row r="2450">
          <cell r="A2450" t="str">
            <v>IndonesiaALLOCATED COST OF PREFERRED EQUITY</v>
          </cell>
        </row>
        <row r="2451">
          <cell r="A2451" t="str">
            <v>IndonesiaSALARIES &amp; BENEFITS</v>
          </cell>
        </row>
        <row r="2452">
          <cell r="A2452" t="str">
            <v>IndonesiaLOSSES ON OTHER ASSETS</v>
          </cell>
        </row>
        <row r="2453">
          <cell r="A2453" t="str">
            <v>IndonesiaCOST OF GOODS SOLD</v>
          </cell>
        </row>
        <row r="2454">
          <cell r="A2454" t="str">
            <v>IndonesiaCOST OF GOODS SOLD - DISTRIBUTION</v>
          </cell>
        </row>
        <row r="2455">
          <cell r="A2455" t="str">
            <v>IndonesiaPOSTAGE</v>
          </cell>
        </row>
        <row r="2456">
          <cell r="A2456" t="str">
            <v>IndonesiaTELEPHONE</v>
          </cell>
        </row>
        <row r="2457">
          <cell r="A2457" t="str">
            <v>IndonesiaCUSTOMER SERVICE / COLLECTIONS</v>
          </cell>
        </row>
        <row r="2458">
          <cell r="A2458" t="str">
            <v>IndonesiaSTATIONARY - OFFICE SUPPLIES</v>
          </cell>
        </row>
        <row r="2459">
          <cell r="A2459" t="str">
            <v>IndonesiaT&amp;L</v>
          </cell>
        </row>
        <row r="2460">
          <cell r="A2460" t="str">
            <v>IndonesiaRENTAL - BLDG/FACILITIES</v>
          </cell>
        </row>
        <row r="2461">
          <cell r="A2461" t="str">
            <v>IndonesiaRENTAL - FURNITURE/EQUIP</v>
          </cell>
        </row>
        <row r="2462">
          <cell r="A2462" t="str">
            <v>IndonesiaRENTAL - COMPUTERS</v>
          </cell>
        </row>
        <row r="2463">
          <cell r="A2463" t="str">
            <v>IndonesiaLEASE IN - LEASE OUT</v>
          </cell>
        </row>
        <row r="2464">
          <cell r="A2464" t="str">
            <v>IndonesiaFURNITURE / EQUIPMENT / COMPUTER EXP</v>
          </cell>
        </row>
        <row r="2465">
          <cell r="A2465" t="str">
            <v>IndonesiaSOFTWARE EXPENSE</v>
          </cell>
        </row>
        <row r="2466">
          <cell r="A2466" t="str">
            <v>IndonesiaAMORTIZATION OF INTANGIBLES</v>
          </cell>
        </row>
        <row r="2467">
          <cell r="A2467" t="str">
            <v>IndonesiaELTO MAINTENANCE</v>
          </cell>
        </row>
        <row r="2468">
          <cell r="A2468" t="str">
            <v>IndonesiaELTO OTHER</v>
          </cell>
        </row>
        <row r="2469">
          <cell r="A2469" t="str">
            <v>IndonesiaLEGAL</v>
          </cell>
        </row>
        <row r="2470">
          <cell r="A2470" t="str">
            <v>IndonesiaADVERTISING</v>
          </cell>
        </row>
        <row r="2471">
          <cell r="A2471" t="str">
            <v>IndonesiaSALES PROMOTIONS</v>
          </cell>
        </row>
        <row r="2472">
          <cell r="A2472" t="str">
            <v>IndonesiaDIRECT MAIL</v>
          </cell>
        </row>
        <row r="2473">
          <cell r="A2473" t="str">
            <v>IndonesiaDATA PROCESSING</v>
          </cell>
        </row>
        <row r="2474">
          <cell r="A2474" t="str">
            <v>IndonesiaCONSULTING</v>
          </cell>
        </row>
        <row r="2475">
          <cell r="A2475" t="str">
            <v>IndonesiaTEMP SERVICES</v>
          </cell>
        </row>
        <row r="2476">
          <cell r="A2476" t="str">
            <v>IndonesiaGDC CHARGES</v>
          </cell>
        </row>
        <row r="2477">
          <cell r="A2477" t="str">
            <v>IndonesiaTRAINING AND EDUCATION</v>
          </cell>
        </row>
        <row r="2478">
          <cell r="A2478" t="str">
            <v>IndonesiaOUTSIDE SERVICES  AND FEES</v>
          </cell>
        </row>
        <row r="2479">
          <cell r="A2479" t="str">
            <v>IndonesiaSTATE, FOREIGN, LOCAL TAXES</v>
          </cell>
        </row>
        <row r="2480">
          <cell r="A2480" t="str">
            <v>IndonesiaS/L TAX - INSURANCE PREMIUMS</v>
          </cell>
        </row>
        <row r="2481">
          <cell r="A2481" t="str">
            <v>IndonesiaSATELLITE LEASE EXPENSE</v>
          </cell>
        </row>
        <row r="2482">
          <cell r="A2482" t="str">
            <v>IndonesiaBUSINESS SHARE EXPENSE</v>
          </cell>
        </row>
        <row r="2483">
          <cell r="A2483" t="str">
            <v>IndonesiaINSURANCE AFFILIATE EXPENSE</v>
          </cell>
        </row>
        <row r="2484">
          <cell r="A2484" t="str">
            <v>IndonesiaOTHER FACILITY EXPENSE</v>
          </cell>
        </row>
        <row r="2485">
          <cell r="A2485" t="str">
            <v>IndonesiaGROSS OP &amp; ADMIN BUS SHARE</v>
          </cell>
        </row>
        <row r="2486">
          <cell r="A2486" t="str">
            <v>IndonesiaOTHER EXPENSE</v>
          </cell>
        </row>
        <row r="2487">
          <cell r="A2487" t="str">
            <v>IndonesiaGECC INTERCO EXPENSES EXCL GECIS</v>
          </cell>
        </row>
        <row r="2488">
          <cell r="A2488" t="str">
            <v>IndonesiaGECIS INTERCO CHARGES</v>
          </cell>
        </row>
        <row r="2489">
          <cell r="A2489" t="str">
            <v>IndonesiaLOSS ADJUSTED EXPENSE</v>
          </cell>
        </row>
        <row r="2490">
          <cell r="A2490" t="str">
            <v>IndonesiaALL OTHER EXPENSES</v>
          </cell>
        </row>
        <row r="2491">
          <cell r="A2491" t="str">
            <v>IndonesiaASSESSMENTS</v>
          </cell>
        </row>
        <row r="2492">
          <cell r="A2492" t="str">
            <v>IndonesiaFAS 91</v>
          </cell>
        </row>
        <row r="2493">
          <cell r="A2493" t="str">
            <v>IndonesiaGOODWILL AMORTIZATION</v>
          </cell>
        </row>
        <row r="2494">
          <cell r="A2494" t="str">
            <v>IndonesiaDEPRECIATION EXPENSE</v>
          </cell>
        </row>
        <row r="2495">
          <cell r="A2495" t="str">
            <v>IndonesiaELTO AMORTIZATION</v>
          </cell>
        </row>
        <row r="2496">
          <cell r="A2496" t="str">
            <v>IndonesiaINSURANCE LOSSES AND BENEFITS</v>
          </cell>
        </row>
        <row r="2497">
          <cell r="A2497" t="str">
            <v>IndonesiaWRITE OFFS</v>
          </cell>
        </row>
        <row r="2498">
          <cell r="A2498" t="str">
            <v>IndonesiaRESERVE CHANGE</v>
          </cell>
        </row>
        <row r="2499">
          <cell r="A2499" t="str">
            <v>IndonesiaMINORITY INTEREST</v>
          </cell>
        </row>
        <row r="2500">
          <cell r="A2500" t="str">
            <v>IndonesiaINCOME TAXES</v>
          </cell>
        </row>
        <row r="2501">
          <cell r="A2501" t="str">
            <v>IndonesiaCUMULATIVE TRANSITION ADJUSTMENT</v>
          </cell>
        </row>
        <row r="2502">
          <cell r="A2502" t="str">
            <v>IndonesiaASIA PACIFIC NI DIVIDEND</v>
          </cell>
        </row>
        <row r="2503">
          <cell r="A2503" t="str">
            <v>IndonesiaNet Income</v>
          </cell>
        </row>
        <row r="2504">
          <cell r="A2504" t="str">
            <v>IndonesiaSubPart F</v>
          </cell>
        </row>
        <row r="2505">
          <cell r="A2505" t="str">
            <v>IndonesiaAssets</v>
          </cell>
        </row>
        <row r="2506">
          <cell r="A2506" t="str">
            <v>IndonesiaEnding Net Investment (ENI) incl Asia</v>
          </cell>
        </row>
        <row r="2507">
          <cell r="A2507" t="str">
            <v>IndonesiaANR YTD</v>
          </cell>
        </row>
        <row r="2508">
          <cell r="A2508" t="str">
            <v>IndonesiaASA YTD</v>
          </cell>
        </row>
        <row r="2509">
          <cell r="A2509" t="str">
            <v>IndonesiaANI YTD incl Asia - 5 pt</v>
          </cell>
        </row>
        <row r="2510">
          <cell r="A2510" t="str">
            <v>IndonesiaOff Balance Sheet Assets</v>
          </cell>
        </row>
        <row r="2511">
          <cell r="A2511" t="str">
            <v>IndonesiaJV Receivables</v>
          </cell>
        </row>
        <row r="2512">
          <cell r="A2512" t="str">
            <v>Indonesia30+ DELINQUENCY $</v>
          </cell>
        </row>
        <row r="2513">
          <cell r="A2513" t="str">
            <v>Indonesia90+ DELINQUENCY $</v>
          </cell>
        </row>
        <row r="2514">
          <cell r="A2514" t="str">
            <v>IndonesiaTemporary Staff</v>
          </cell>
        </row>
        <row r="2515">
          <cell r="A2515" t="str">
            <v>IndonesiaContractors</v>
          </cell>
        </row>
        <row r="2516">
          <cell r="A2516" t="str">
            <v>IndonesiaOutsourced to LCC</v>
          </cell>
        </row>
        <row r="2517">
          <cell r="A2517" t="str">
            <v>IndonesiaTotal Headcount</v>
          </cell>
        </row>
        <row r="2518">
          <cell r="A2518" t="str">
            <v>IndonesiaTotal Workforce</v>
          </cell>
        </row>
        <row r="2519">
          <cell r="A2519" t="str">
            <v>IndonesiaTotal Earned Revenue</v>
          </cell>
        </row>
        <row r="2520">
          <cell r="A2520" t="str">
            <v>IndonesiaOrdinary Gains - PreTax</v>
          </cell>
        </row>
        <row r="2521">
          <cell r="A2521" t="str">
            <v>IndonesiaOrdinary Gains - AfterTax</v>
          </cell>
        </row>
        <row r="2522">
          <cell r="A2522" t="str">
            <v>IndonesiaTotal Volume</v>
          </cell>
        </row>
        <row r="2523">
          <cell r="A2523" t="str">
            <v>IndonesiaTOTAL # ACTIVE ACCOUNTS</v>
          </cell>
        </row>
        <row r="2524">
          <cell r="A2524" t="str">
            <v>Ireland HQTOTAL FINANCING RECEIVABLES</v>
          </cell>
        </row>
        <row r="2525">
          <cell r="A2525" t="str">
            <v>Ireland HQRECEIVABLE RESERVES</v>
          </cell>
        </row>
        <row r="2526">
          <cell r="A2526" t="str">
            <v>Ireland HQCASH</v>
          </cell>
        </row>
        <row r="2527">
          <cell r="A2527" t="str">
            <v>Ireland HQINVESTMENT SECURITIES</v>
          </cell>
        </row>
        <row r="2528">
          <cell r="A2528" t="str">
            <v>Ireland HQINV IN NON CONSOL AFFILIATES</v>
          </cell>
        </row>
        <row r="2529">
          <cell r="A2529" t="str">
            <v>Ireland HQINVESTMENT IN JOINT VENTURE</v>
          </cell>
        </row>
        <row r="2530">
          <cell r="A2530" t="str">
            <v>Ireland HQALL OTHER RECEIVABLES (NON-FINANCING)</v>
          </cell>
        </row>
        <row r="2531">
          <cell r="A2531" t="str">
            <v>Ireland HQELTO (NET)</v>
          </cell>
        </row>
        <row r="2532">
          <cell r="A2532" t="str">
            <v>Ireland HQGOODWILL</v>
          </cell>
        </row>
        <row r="2533">
          <cell r="A2533" t="str">
            <v>Ireland HQOTHER ASSETS</v>
          </cell>
        </row>
        <row r="2534">
          <cell r="A2534" t="str">
            <v>Ireland HQACCOUNTS PAYABLE</v>
          </cell>
        </row>
        <row r="2535">
          <cell r="A2535" t="str">
            <v>Ireland HQDEFERRED INCOME TAXES</v>
          </cell>
        </row>
        <row r="2536">
          <cell r="A2536" t="str">
            <v>Ireland HQWRITE-OFF (MEMO)</v>
          </cell>
        </row>
        <row r="2537">
          <cell r="A2537" t="str">
            <v>Ireland HQINSURANCE RESERVES AND ANNUITY BENEFITS</v>
          </cell>
        </row>
        <row r="2538">
          <cell r="A2538" t="str">
            <v>Ireland HQALL OTHER NON DEBT LIABILITIES</v>
          </cell>
        </row>
        <row r="2539">
          <cell r="A2539" t="str">
            <v>Ireland HQMINORITY INTEREST (BS)</v>
          </cell>
        </row>
        <row r="2540">
          <cell r="A2540" t="str">
            <v>Ireland HQASIA PACIFIC ENI DIVIDEND</v>
          </cell>
        </row>
        <row r="2541">
          <cell r="A2541" t="str">
            <v>Ireland HQFINANCING INCOME</v>
          </cell>
        </row>
        <row r="2542">
          <cell r="A2542" t="str">
            <v>Ireland HQINSURANCE PREMIUM INCOME</v>
          </cell>
        </row>
        <row r="2543">
          <cell r="A2543" t="str">
            <v>Ireland HQINSURANCE INCOME (COMMISSIONS)</v>
          </cell>
        </row>
        <row r="2544">
          <cell r="A2544" t="str">
            <v>Ireland HQSUNDRY INCOME</v>
          </cell>
        </row>
        <row r="2545">
          <cell r="A2545" t="str">
            <v>Ireland HQINTEREST EXPENSE</v>
          </cell>
        </row>
        <row r="2546">
          <cell r="A2546" t="str">
            <v>Ireland HQINTEREST EXPENSE REDUCTIONS / BUS SHARING</v>
          </cell>
        </row>
        <row r="2547">
          <cell r="A2547" t="str">
            <v>Ireland HQALLOCATED COST OF PREFERRED EQUITY</v>
          </cell>
        </row>
        <row r="2548">
          <cell r="A2548" t="str">
            <v>Ireland HQSALARIES &amp; BENEFITS</v>
          </cell>
        </row>
        <row r="2549">
          <cell r="A2549" t="str">
            <v>Ireland HQLOSSES ON OTHER ASSETS</v>
          </cell>
        </row>
        <row r="2550">
          <cell r="A2550" t="str">
            <v>Ireland HQCOST OF GOODS SOLD</v>
          </cell>
        </row>
        <row r="2551">
          <cell r="A2551" t="str">
            <v>Ireland HQCOST OF GOODS SOLD - DISTRIBUTION</v>
          </cell>
        </row>
        <row r="2552">
          <cell r="A2552" t="str">
            <v>Ireland HQPOSTAGE</v>
          </cell>
        </row>
        <row r="2553">
          <cell r="A2553" t="str">
            <v>Ireland HQTELEPHONE</v>
          </cell>
        </row>
        <row r="2554">
          <cell r="A2554" t="str">
            <v>Ireland HQCUSTOMER SERVICE / COLLECTIONS</v>
          </cell>
        </row>
        <row r="2555">
          <cell r="A2555" t="str">
            <v>Ireland HQSTATIONARY - OFFICE SUPPLIES</v>
          </cell>
        </row>
        <row r="2556">
          <cell r="A2556" t="str">
            <v>Ireland HQT&amp;L</v>
          </cell>
        </row>
        <row r="2557">
          <cell r="A2557" t="str">
            <v>Ireland HQRENTAL - BLDG/FACILITIES</v>
          </cell>
        </row>
        <row r="2558">
          <cell r="A2558" t="str">
            <v>Ireland HQRENTAL - FURNITURE/EQUIP</v>
          </cell>
        </row>
        <row r="2559">
          <cell r="A2559" t="str">
            <v>Ireland HQRENTAL - COMPUTERS</v>
          </cell>
        </row>
        <row r="2560">
          <cell r="A2560" t="str">
            <v>Ireland HQLEASE IN - LEASE OUT</v>
          </cell>
        </row>
        <row r="2561">
          <cell r="A2561" t="str">
            <v>Ireland HQFURNITURE / EQUIPMENT / COMPUTER EXP</v>
          </cell>
        </row>
        <row r="2562">
          <cell r="A2562" t="str">
            <v>Ireland HQSOFTWARE EXPENSE</v>
          </cell>
        </row>
        <row r="2563">
          <cell r="A2563" t="str">
            <v>Ireland HQAMORTIZATION OF INTANGIBLES</v>
          </cell>
        </row>
        <row r="2564">
          <cell r="A2564" t="str">
            <v>Ireland HQELTO MAINTENANCE</v>
          </cell>
        </row>
        <row r="2565">
          <cell r="A2565" t="str">
            <v>Ireland HQELTO OTHER</v>
          </cell>
        </row>
        <row r="2566">
          <cell r="A2566" t="str">
            <v>Ireland HQLEGAL</v>
          </cell>
        </row>
        <row r="2567">
          <cell r="A2567" t="str">
            <v>Ireland HQADVERTISING</v>
          </cell>
        </row>
        <row r="2568">
          <cell r="A2568" t="str">
            <v>Ireland HQSALES PROMOTIONS</v>
          </cell>
        </row>
        <row r="2569">
          <cell r="A2569" t="str">
            <v>Ireland HQDIRECT MAIL</v>
          </cell>
        </row>
        <row r="2570">
          <cell r="A2570" t="str">
            <v>Ireland HQDATA PROCESSING</v>
          </cell>
        </row>
        <row r="2571">
          <cell r="A2571" t="str">
            <v>Ireland HQCONSULTING</v>
          </cell>
        </row>
        <row r="2572">
          <cell r="A2572" t="str">
            <v>Ireland HQTEMP SERVICES</v>
          </cell>
        </row>
        <row r="2573">
          <cell r="A2573" t="str">
            <v>Ireland HQGDC CHARGES</v>
          </cell>
        </row>
        <row r="2574">
          <cell r="A2574" t="str">
            <v>Ireland HQTRAINING AND EDUCATION</v>
          </cell>
        </row>
        <row r="2575">
          <cell r="A2575" t="str">
            <v>Ireland HQOUTSIDE SERVICES  AND FEES</v>
          </cell>
        </row>
        <row r="2576">
          <cell r="A2576" t="str">
            <v>Ireland HQSTATE, FOREIGN, LOCAL TAXES</v>
          </cell>
        </row>
        <row r="2577">
          <cell r="A2577" t="str">
            <v>Ireland HQS/L TAX - INSURANCE PREMIUMS</v>
          </cell>
        </row>
        <row r="2578">
          <cell r="A2578" t="str">
            <v>Ireland HQSATELLITE LEASE EXPENSE</v>
          </cell>
        </row>
        <row r="2579">
          <cell r="A2579" t="str">
            <v>Ireland HQBUSINESS SHARE EXPENSE</v>
          </cell>
        </row>
        <row r="2580">
          <cell r="A2580" t="str">
            <v>Ireland HQINSURANCE AFFILIATE EXPENSE</v>
          </cell>
        </row>
        <row r="2581">
          <cell r="A2581" t="str">
            <v>Ireland HQOTHER FACILITY EXPENSE</v>
          </cell>
        </row>
        <row r="2582">
          <cell r="A2582" t="str">
            <v>Ireland HQGROSS OP &amp; ADMIN BUS SHARE</v>
          </cell>
        </row>
        <row r="2583">
          <cell r="A2583" t="str">
            <v>Ireland HQOTHER EXPENSE</v>
          </cell>
        </row>
        <row r="2584">
          <cell r="A2584" t="str">
            <v>Ireland HQGECC INTERCO EXPENSES EXCL GECIS</v>
          </cell>
        </row>
        <row r="2585">
          <cell r="A2585" t="str">
            <v>Ireland HQGECIS INTERCO CHARGES</v>
          </cell>
        </row>
        <row r="2586">
          <cell r="A2586" t="str">
            <v>Ireland HQLOSS ADJUSTED EXPENSE</v>
          </cell>
        </row>
        <row r="2587">
          <cell r="A2587" t="str">
            <v>Ireland HQALL OTHER EXPENSES</v>
          </cell>
        </row>
        <row r="2588">
          <cell r="A2588" t="str">
            <v>Ireland HQASSESSMENTS</v>
          </cell>
        </row>
        <row r="2589">
          <cell r="A2589" t="str">
            <v>Ireland HQFAS 91</v>
          </cell>
        </row>
        <row r="2590">
          <cell r="A2590" t="str">
            <v>Ireland HQGOODWILL AMORTIZATION</v>
          </cell>
        </row>
        <row r="2591">
          <cell r="A2591" t="str">
            <v>Ireland HQDEPRECIATION EXPENSE</v>
          </cell>
        </row>
        <row r="2592">
          <cell r="A2592" t="str">
            <v>Ireland HQELTO AMORTIZATION</v>
          </cell>
        </row>
        <row r="2593">
          <cell r="A2593" t="str">
            <v>Ireland HQINSURANCE LOSSES AND BENEFITS</v>
          </cell>
        </row>
        <row r="2594">
          <cell r="A2594" t="str">
            <v>Ireland HQWRITE OFFS</v>
          </cell>
        </row>
        <row r="2595">
          <cell r="A2595" t="str">
            <v>Ireland HQRESERVE CHANGE</v>
          </cell>
        </row>
        <row r="2596">
          <cell r="A2596" t="str">
            <v>Ireland HQMINORITY INTEREST</v>
          </cell>
        </row>
        <row r="2597">
          <cell r="A2597" t="str">
            <v>Ireland HQINCOME TAXES</v>
          </cell>
        </row>
        <row r="2598">
          <cell r="A2598" t="str">
            <v>Ireland HQCUMULATIVE TRANSITION ADJUSTMENT</v>
          </cell>
        </row>
        <row r="2599">
          <cell r="A2599" t="str">
            <v>Ireland HQASIA PACIFIC NI DIVIDEND</v>
          </cell>
        </row>
        <row r="2600">
          <cell r="A2600" t="str">
            <v>Ireland HQNet Income</v>
          </cell>
        </row>
        <row r="2601">
          <cell r="A2601" t="str">
            <v>Ireland HQSubPart F</v>
          </cell>
        </row>
        <row r="2602">
          <cell r="A2602" t="str">
            <v>Ireland HQAssets</v>
          </cell>
        </row>
        <row r="2603">
          <cell r="A2603" t="str">
            <v>Ireland HQEnding Net Investment (ENI) incl Asia</v>
          </cell>
        </row>
        <row r="2604">
          <cell r="A2604" t="str">
            <v>Ireland HQANR YTD</v>
          </cell>
        </row>
        <row r="2605">
          <cell r="A2605" t="str">
            <v>Ireland HQASA YTD</v>
          </cell>
        </row>
        <row r="2606">
          <cell r="A2606" t="str">
            <v>Ireland HQANI YTD incl Asia - 5 pt</v>
          </cell>
        </row>
        <row r="2607">
          <cell r="A2607" t="str">
            <v>Ireland HQOff Balance Sheet Assets</v>
          </cell>
        </row>
        <row r="2608">
          <cell r="A2608" t="str">
            <v>Ireland HQJV Receivables</v>
          </cell>
        </row>
        <row r="2609">
          <cell r="A2609" t="str">
            <v>Ireland HQ30+ DELINQUENCY $</v>
          </cell>
        </row>
        <row r="2610">
          <cell r="A2610" t="str">
            <v>Ireland HQ90+ DELINQUENCY $</v>
          </cell>
        </row>
        <row r="2611">
          <cell r="A2611" t="str">
            <v>Ireland HQTemporary Staff</v>
          </cell>
        </row>
        <row r="2612">
          <cell r="A2612" t="str">
            <v>Ireland HQContractors</v>
          </cell>
        </row>
        <row r="2613">
          <cell r="A2613" t="str">
            <v>Ireland HQOutsourced to LCC</v>
          </cell>
        </row>
        <row r="2614">
          <cell r="A2614" t="str">
            <v>Ireland HQTotal Headcount</v>
          </cell>
        </row>
        <row r="2615">
          <cell r="A2615" t="str">
            <v>Ireland HQTotal Workforce</v>
          </cell>
        </row>
        <row r="2616">
          <cell r="A2616" t="str">
            <v>Ireland HQTotal Earned Revenue</v>
          </cell>
        </row>
        <row r="2617">
          <cell r="A2617" t="str">
            <v>Ireland HQOrdinary Gains - PreTax</v>
          </cell>
        </row>
        <row r="2618">
          <cell r="A2618" t="str">
            <v>Ireland HQOrdinary Gains - AfterTax</v>
          </cell>
        </row>
        <row r="2619">
          <cell r="A2619" t="str">
            <v>Ireland HQTotal Volume</v>
          </cell>
        </row>
        <row r="2620">
          <cell r="A2620" t="str">
            <v>Ireland HQTOTAL # ACTIVE ACCOUNTS</v>
          </cell>
        </row>
        <row r="2621">
          <cell r="A2621" t="str">
            <v>Japan - GECCCTOTAL FINANCING RECEIVABLES</v>
          </cell>
        </row>
        <row r="2622">
          <cell r="A2622" t="str">
            <v>Japan - GECCCRECEIVABLE RESERVES</v>
          </cell>
        </row>
        <row r="2623">
          <cell r="A2623" t="str">
            <v>Japan - GECCCCASH</v>
          </cell>
        </row>
        <row r="2624">
          <cell r="A2624" t="str">
            <v>Japan - GECCCINVESTMENT SECURITIES</v>
          </cell>
        </row>
        <row r="2625">
          <cell r="A2625" t="str">
            <v>Japan - GECCCINV IN NON CONSOL AFFILIATES</v>
          </cell>
        </row>
        <row r="2626">
          <cell r="A2626" t="str">
            <v>Japan - GECCCINVESTMENT IN JOINT VENTURE</v>
          </cell>
        </row>
        <row r="2627">
          <cell r="A2627" t="str">
            <v>Japan - GECCCALL OTHER RECEIVABLES (NON-FINANCING)</v>
          </cell>
        </row>
        <row r="2628">
          <cell r="A2628" t="str">
            <v>Japan - GECCCELTO (NET)</v>
          </cell>
        </row>
        <row r="2629">
          <cell r="A2629" t="str">
            <v>Japan - GECCCGOODWILL</v>
          </cell>
        </row>
        <row r="2630">
          <cell r="A2630" t="str">
            <v>Japan - GECCCOTHER ASSETS</v>
          </cell>
        </row>
        <row r="2631">
          <cell r="A2631" t="str">
            <v>Japan - GECCCACCOUNTS PAYABLE</v>
          </cell>
        </row>
        <row r="2632">
          <cell r="A2632" t="str">
            <v>Japan - GECCCDEFERRED INCOME TAXES</v>
          </cell>
        </row>
        <row r="2633">
          <cell r="A2633" t="str">
            <v>Japan - GECCCWRITE-OFF (MEMO)</v>
          </cell>
        </row>
        <row r="2634">
          <cell r="A2634" t="str">
            <v>Japan - GECCCINSURANCE RESERVES AND ANNUITY BENEFITS</v>
          </cell>
        </row>
        <row r="2635">
          <cell r="A2635" t="str">
            <v>Japan - GECCCALL OTHER NON DEBT LIABILITIES</v>
          </cell>
        </row>
        <row r="2636">
          <cell r="A2636" t="str">
            <v>Japan - GECCCMINORITY INTEREST (BS)</v>
          </cell>
        </row>
        <row r="2637">
          <cell r="A2637" t="str">
            <v>Japan - GECCCASIA PACIFIC ENI DIVIDEND</v>
          </cell>
        </row>
        <row r="2638">
          <cell r="A2638" t="str">
            <v>Japan - GECCCFINANCING INCOME</v>
          </cell>
        </row>
        <row r="2639">
          <cell r="A2639" t="str">
            <v>Japan - GECCCINSURANCE PREMIUM INCOME</v>
          </cell>
        </row>
        <row r="2640">
          <cell r="A2640" t="str">
            <v>Japan - GECCCINSURANCE INCOME (COMMISSIONS)</v>
          </cell>
        </row>
        <row r="2641">
          <cell r="A2641" t="str">
            <v>Japan - GECCCSUNDRY INCOME</v>
          </cell>
        </row>
        <row r="2642">
          <cell r="A2642" t="str">
            <v>Japan - GECCCINTEREST EXPENSE</v>
          </cell>
        </row>
        <row r="2643">
          <cell r="A2643" t="str">
            <v>Japan - GECCCINTEREST EXPENSE REDUCTIONS / BUS SHARING</v>
          </cell>
        </row>
        <row r="2644">
          <cell r="A2644" t="str">
            <v>Japan - GECCCALLOCATED COST OF PREFERRED EQUITY</v>
          </cell>
        </row>
        <row r="2645">
          <cell r="A2645" t="str">
            <v>Japan - GECCCSALARIES &amp; BENEFITS</v>
          </cell>
        </row>
        <row r="2646">
          <cell r="A2646" t="str">
            <v>Japan - GECCCLOSSES ON OTHER ASSETS</v>
          </cell>
        </row>
        <row r="2647">
          <cell r="A2647" t="str">
            <v>Japan - GECCCCOST OF GOODS SOLD</v>
          </cell>
        </row>
        <row r="2648">
          <cell r="A2648" t="str">
            <v>Japan - GECCCCOST OF GOODS SOLD - DISTRIBUTION</v>
          </cell>
        </row>
        <row r="2649">
          <cell r="A2649" t="str">
            <v>Japan - GECCCPOSTAGE</v>
          </cell>
        </row>
        <row r="2650">
          <cell r="A2650" t="str">
            <v>Japan - GECCCTELEPHONE</v>
          </cell>
        </row>
        <row r="2651">
          <cell r="A2651" t="str">
            <v>Japan - GECCCCUSTOMER SERVICE / COLLECTIONS</v>
          </cell>
        </row>
        <row r="2652">
          <cell r="A2652" t="str">
            <v>Japan - GECCCSTATIONARY - OFFICE SUPPLIES</v>
          </cell>
        </row>
        <row r="2653">
          <cell r="A2653" t="str">
            <v>Japan - GECCCT&amp;L</v>
          </cell>
        </row>
        <row r="2654">
          <cell r="A2654" t="str">
            <v>Japan - GECCCRENTAL - BLDG/FACILITIES</v>
          </cell>
        </row>
        <row r="2655">
          <cell r="A2655" t="str">
            <v>Japan - GECCCRENTAL - FURNITURE/EQUIP</v>
          </cell>
        </row>
        <row r="2656">
          <cell r="A2656" t="str">
            <v>Japan - GECCCRENTAL - COMPUTERS</v>
          </cell>
        </row>
        <row r="2657">
          <cell r="A2657" t="str">
            <v>Japan - GECCCLEASE IN - LEASE OUT</v>
          </cell>
        </row>
        <row r="2658">
          <cell r="A2658" t="str">
            <v>Japan - GECCCFURNITURE / EQUIPMENT / COMPUTER EXP</v>
          </cell>
        </row>
        <row r="2659">
          <cell r="A2659" t="str">
            <v>Japan - GECCCSOFTWARE EXPENSE</v>
          </cell>
        </row>
        <row r="2660">
          <cell r="A2660" t="str">
            <v>Japan - GECCCAMORTIZATION OF INTANGIBLES</v>
          </cell>
        </row>
        <row r="2661">
          <cell r="A2661" t="str">
            <v>Japan - GECCCELTO MAINTENANCE</v>
          </cell>
        </row>
        <row r="2662">
          <cell r="A2662" t="str">
            <v>Japan - GECCCELTO OTHER</v>
          </cell>
        </row>
        <row r="2663">
          <cell r="A2663" t="str">
            <v>Japan - GECCCLEGAL</v>
          </cell>
        </row>
        <row r="2664">
          <cell r="A2664" t="str">
            <v>Japan - GECCCADVERTISING</v>
          </cell>
        </row>
        <row r="2665">
          <cell r="A2665" t="str">
            <v>Japan - GECCCSALES PROMOTIONS</v>
          </cell>
        </row>
        <row r="2666">
          <cell r="A2666" t="str">
            <v>Japan - GECCCDIRECT MAIL</v>
          </cell>
        </row>
        <row r="2667">
          <cell r="A2667" t="str">
            <v>Japan - GECCCDATA PROCESSING</v>
          </cell>
        </row>
        <row r="2668">
          <cell r="A2668" t="str">
            <v>Japan - GECCCCONSULTING</v>
          </cell>
        </row>
        <row r="2669">
          <cell r="A2669" t="str">
            <v>Japan - GECCCTEMP SERVICES</v>
          </cell>
        </row>
        <row r="2670">
          <cell r="A2670" t="str">
            <v>Japan - GECCCGDC CHARGES</v>
          </cell>
        </row>
        <row r="2671">
          <cell r="A2671" t="str">
            <v>Japan - GECCCTRAINING AND EDUCATION</v>
          </cell>
        </row>
        <row r="2672">
          <cell r="A2672" t="str">
            <v>Japan - GECCCOUTSIDE SERVICES  AND FEES</v>
          </cell>
        </row>
        <row r="2673">
          <cell r="A2673" t="str">
            <v>Japan - GECCCSTATE, FOREIGN, LOCAL TAXES</v>
          </cell>
        </row>
        <row r="2674">
          <cell r="A2674" t="str">
            <v>Japan - GECCCS/L TAX - INSURANCE PREMIUMS</v>
          </cell>
        </row>
        <row r="2675">
          <cell r="A2675" t="str">
            <v>Japan - GECCCSATELLITE LEASE EXPENSE</v>
          </cell>
        </row>
        <row r="2676">
          <cell r="A2676" t="str">
            <v>Japan - GECCCBUSINESS SHARE EXPENSE</v>
          </cell>
        </row>
        <row r="2677">
          <cell r="A2677" t="str">
            <v>Japan - GECCCINSURANCE AFFILIATE EXPENSE</v>
          </cell>
        </row>
        <row r="2678">
          <cell r="A2678" t="str">
            <v>Japan - GECCCOTHER FACILITY EXPENSE</v>
          </cell>
        </row>
        <row r="2679">
          <cell r="A2679" t="str">
            <v>Japan - GECCCGROSS OP &amp; ADMIN BUS SHARE</v>
          </cell>
        </row>
        <row r="2680">
          <cell r="A2680" t="str">
            <v>Japan - GECCCOTHER EXPENSE</v>
          </cell>
        </row>
        <row r="2681">
          <cell r="A2681" t="str">
            <v>Japan - GECCCGECC INTERCO EXPENSES EXCL GECIS</v>
          </cell>
        </row>
        <row r="2682">
          <cell r="A2682" t="str">
            <v>Japan - GECCCGECIS INTERCO CHARGES</v>
          </cell>
        </row>
        <row r="2683">
          <cell r="A2683" t="str">
            <v>Japan - GECCCLOSS ADJUSTED EXPENSE</v>
          </cell>
        </row>
        <row r="2684">
          <cell r="A2684" t="str">
            <v>Japan - GECCCALL OTHER EXPENSES</v>
          </cell>
        </row>
        <row r="2685">
          <cell r="A2685" t="str">
            <v>Japan - GECCCASSESSMENTS</v>
          </cell>
        </row>
        <row r="2686">
          <cell r="A2686" t="str">
            <v>Japan - GECCCFAS 91</v>
          </cell>
        </row>
        <row r="2687">
          <cell r="A2687" t="str">
            <v>Japan - GECCCGOODWILL AMORTIZATION</v>
          </cell>
        </row>
        <row r="2688">
          <cell r="A2688" t="str">
            <v>Japan - GECCCDEPRECIATION EXPENSE</v>
          </cell>
        </row>
        <row r="2689">
          <cell r="A2689" t="str">
            <v>Japan - GECCCELTO AMORTIZATION</v>
          </cell>
        </row>
        <row r="2690">
          <cell r="A2690" t="str">
            <v>Japan - GECCCINSURANCE LOSSES AND BENEFITS</v>
          </cell>
        </row>
        <row r="2691">
          <cell r="A2691" t="str">
            <v>Japan - GECCCWRITE OFFS</v>
          </cell>
        </row>
        <row r="2692">
          <cell r="A2692" t="str">
            <v>Japan - GECCCRESERVE CHANGE</v>
          </cell>
        </row>
        <row r="2693">
          <cell r="A2693" t="str">
            <v>Japan - GECCCMINORITY INTEREST</v>
          </cell>
        </row>
        <row r="2694">
          <cell r="A2694" t="str">
            <v>Japan - GECCCINCOME TAXES</v>
          </cell>
        </row>
        <row r="2695">
          <cell r="A2695" t="str">
            <v>Japan - GECCCCUMULATIVE TRANSITION ADJUSTMENT</v>
          </cell>
        </row>
        <row r="2696">
          <cell r="A2696" t="str">
            <v>Japan - GECCCASIA PACIFIC NI DIVIDEND</v>
          </cell>
        </row>
        <row r="2697">
          <cell r="A2697" t="str">
            <v>Japan - GECCCNet Income</v>
          </cell>
        </row>
        <row r="2698">
          <cell r="A2698" t="str">
            <v>Japan - GECCCSubPart F</v>
          </cell>
        </row>
        <row r="2699">
          <cell r="A2699" t="str">
            <v>Japan - GECCCAssets</v>
          </cell>
        </row>
        <row r="2700">
          <cell r="A2700" t="str">
            <v>Japan - GECCCEnding Net Investment (ENI) incl Asia</v>
          </cell>
        </row>
        <row r="2701">
          <cell r="A2701" t="str">
            <v>Japan - GECCCANR YTD</v>
          </cell>
        </row>
        <row r="2702">
          <cell r="A2702" t="str">
            <v>Japan - GECCCASA YTD</v>
          </cell>
        </row>
        <row r="2703">
          <cell r="A2703" t="str">
            <v>Japan - GECCCANI YTD incl Asia - 5 pt</v>
          </cell>
        </row>
        <row r="2704">
          <cell r="A2704" t="str">
            <v>Japan - GECCCOff Balance Sheet Assets</v>
          </cell>
        </row>
        <row r="2705">
          <cell r="A2705" t="str">
            <v>Japan - GECCCJV Receivables</v>
          </cell>
        </row>
        <row r="2706">
          <cell r="A2706" t="str">
            <v>Japan - GECCC30+ DELINQUENCY $</v>
          </cell>
        </row>
        <row r="2707">
          <cell r="A2707" t="str">
            <v>Japan - GECCC90+ DELINQUENCY $</v>
          </cell>
        </row>
        <row r="2708">
          <cell r="A2708" t="str">
            <v>Japan - GECCCTemporary Staff</v>
          </cell>
        </row>
        <row r="2709">
          <cell r="A2709" t="str">
            <v>Japan - GECCCContractors</v>
          </cell>
        </row>
        <row r="2710">
          <cell r="A2710" t="str">
            <v>Japan - GECCCOutsourced to LCC</v>
          </cell>
        </row>
        <row r="2711">
          <cell r="A2711" t="str">
            <v>Japan - GECCCTotal Headcount</v>
          </cell>
        </row>
        <row r="2712">
          <cell r="A2712" t="str">
            <v>Japan - GECCCTotal Workforce</v>
          </cell>
        </row>
        <row r="2713">
          <cell r="A2713" t="str">
            <v>Japan - GECCCTotal Earned Revenue</v>
          </cell>
        </row>
        <row r="2714">
          <cell r="A2714" t="str">
            <v>Japan - GECCCOrdinary Gains - PreTax</v>
          </cell>
        </row>
        <row r="2715">
          <cell r="A2715" t="str">
            <v>Japan - GECCCOrdinary Gains - AfterTax</v>
          </cell>
        </row>
        <row r="2716">
          <cell r="A2716" t="str">
            <v>Japan - GECCCTotal Volume</v>
          </cell>
        </row>
        <row r="2717">
          <cell r="A2717" t="str">
            <v>Japan - GECCCTOTAL # ACTIVE ACCOUNTS</v>
          </cell>
        </row>
        <row r="2718">
          <cell r="A2718" t="str">
            <v>Japan - GECCFTOTAL FINANCING RECEIVABLES</v>
          </cell>
        </row>
        <row r="2719">
          <cell r="A2719" t="str">
            <v>Japan - GECCFRECEIVABLE RESERVES</v>
          </cell>
        </row>
        <row r="2720">
          <cell r="A2720" t="str">
            <v>Japan - GECCFCASH</v>
          </cell>
        </row>
        <row r="2721">
          <cell r="A2721" t="str">
            <v>Japan - GECCFINVESTMENT SECURITIES</v>
          </cell>
        </row>
        <row r="2722">
          <cell r="A2722" t="str">
            <v>Japan - GECCFINV IN NON CONSOL AFFILIATES</v>
          </cell>
        </row>
        <row r="2723">
          <cell r="A2723" t="str">
            <v>Japan - GECCFINVESTMENT IN JOINT VENTURE</v>
          </cell>
        </row>
        <row r="2724">
          <cell r="A2724" t="str">
            <v>Japan - GECCFALL OTHER RECEIVABLES (NON-FINANCING)</v>
          </cell>
        </row>
        <row r="2725">
          <cell r="A2725" t="str">
            <v>Japan - GECCFELTO (NET)</v>
          </cell>
        </row>
        <row r="2726">
          <cell r="A2726" t="str">
            <v>Japan - GECCFGOODWILL</v>
          </cell>
        </row>
        <row r="2727">
          <cell r="A2727" t="str">
            <v>Japan - GECCFOTHER ASSETS</v>
          </cell>
        </row>
        <row r="2728">
          <cell r="A2728" t="str">
            <v>Japan - GECCFACCOUNTS PAYABLE</v>
          </cell>
        </row>
        <row r="2729">
          <cell r="A2729" t="str">
            <v>Japan - GECCFDEFERRED INCOME TAXES</v>
          </cell>
        </row>
        <row r="2730">
          <cell r="A2730" t="str">
            <v>Japan - GECCFWRITE-OFF (MEMO)</v>
          </cell>
        </row>
        <row r="2731">
          <cell r="A2731" t="str">
            <v>Japan - GECCFINSURANCE RESERVES AND ANNUITY BENEFITS</v>
          </cell>
        </row>
        <row r="2732">
          <cell r="A2732" t="str">
            <v>Japan - GECCFALL OTHER NON DEBT LIABILITIES</v>
          </cell>
        </row>
        <row r="2733">
          <cell r="A2733" t="str">
            <v>Japan - GECCFMINORITY INTEREST (BS)</v>
          </cell>
        </row>
        <row r="2734">
          <cell r="A2734" t="str">
            <v>Japan - GECCFASIA PACIFIC ENI DIVIDEND</v>
          </cell>
        </row>
        <row r="2735">
          <cell r="A2735" t="str">
            <v>Japan - GECCFFINANCING INCOME</v>
          </cell>
        </row>
        <row r="2736">
          <cell r="A2736" t="str">
            <v>Japan - GECCFINSURANCE PREMIUM INCOME</v>
          </cell>
        </row>
        <row r="2737">
          <cell r="A2737" t="str">
            <v>Japan - GECCFINSURANCE INCOME (COMMISSIONS)</v>
          </cell>
        </row>
        <row r="2738">
          <cell r="A2738" t="str">
            <v>Japan - GECCFSUNDRY INCOME</v>
          </cell>
        </row>
        <row r="2739">
          <cell r="A2739" t="str">
            <v>Japan - GECCFINTEREST EXPENSE</v>
          </cell>
        </row>
        <row r="2740">
          <cell r="A2740" t="str">
            <v>Japan - GECCFINTEREST EXPENSE REDUCTIONS / BUS SHARING</v>
          </cell>
        </row>
        <row r="2741">
          <cell r="A2741" t="str">
            <v>Japan - GECCFALLOCATED COST OF PREFERRED EQUITY</v>
          </cell>
        </row>
        <row r="2742">
          <cell r="A2742" t="str">
            <v>Japan - GECCFSALARIES &amp; BENEFITS</v>
          </cell>
        </row>
        <row r="2743">
          <cell r="A2743" t="str">
            <v>Japan - GECCFLOSSES ON OTHER ASSETS</v>
          </cell>
        </row>
        <row r="2744">
          <cell r="A2744" t="str">
            <v>Japan - GECCFCOST OF GOODS SOLD</v>
          </cell>
        </row>
        <row r="2745">
          <cell r="A2745" t="str">
            <v>Japan - GECCFCOST OF GOODS SOLD - DISTRIBUTION</v>
          </cell>
        </row>
        <row r="2746">
          <cell r="A2746" t="str">
            <v>Japan - GECCFPOSTAGE</v>
          </cell>
        </row>
        <row r="2747">
          <cell r="A2747" t="str">
            <v>Japan - GECCFTELEPHONE</v>
          </cell>
        </row>
        <row r="2748">
          <cell r="A2748" t="str">
            <v>Japan - GECCFCUSTOMER SERVICE / COLLECTIONS</v>
          </cell>
        </row>
        <row r="2749">
          <cell r="A2749" t="str">
            <v>Japan - GECCFSTATIONARY - OFFICE SUPPLIES</v>
          </cell>
        </row>
        <row r="2750">
          <cell r="A2750" t="str">
            <v>Japan - GECCFT&amp;L</v>
          </cell>
        </row>
        <row r="2751">
          <cell r="A2751" t="str">
            <v>Japan - GECCFRENTAL - BLDG/FACILITIES</v>
          </cell>
        </row>
        <row r="2752">
          <cell r="A2752" t="str">
            <v>Japan - GECCFRENTAL - FURNITURE/EQUIP</v>
          </cell>
        </row>
        <row r="2753">
          <cell r="A2753" t="str">
            <v>Japan - GECCFRENTAL - COMPUTERS</v>
          </cell>
        </row>
        <row r="2754">
          <cell r="A2754" t="str">
            <v>Japan - GECCFLEASE IN - LEASE OUT</v>
          </cell>
        </row>
        <row r="2755">
          <cell r="A2755" t="str">
            <v>Japan - GECCFFURNITURE / EQUIPMENT / COMPUTER EXP</v>
          </cell>
        </row>
        <row r="2756">
          <cell r="A2756" t="str">
            <v>Japan - GECCFSOFTWARE EXPENSE</v>
          </cell>
        </row>
        <row r="2757">
          <cell r="A2757" t="str">
            <v>Japan - GECCFAMORTIZATION OF INTANGIBLES</v>
          </cell>
        </row>
        <row r="2758">
          <cell r="A2758" t="str">
            <v>Japan - GECCFELTO MAINTENANCE</v>
          </cell>
        </row>
        <row r="2759">
          <cell r="A2759" t="str">
            <v>Japan - GECCFELTO OTHER</v>
          </cell>
        </row>
        <row r="2760">
          <cell r="A2760" t="str">
            <v>Japan - GECCFLEGAL</v>
          </cell>
        </row>
        <row r="2761">
          <cell r="A2761" t="str">
            <v>Japan - GECCFADVERTISING</v>
          </cell>
        </row>
        <row r="2762">
          <cell r="A2762" t="str">
            <v>Japan - GECCFSALES PROMOTIONS</v>
          </cell>
        </row>
        <row r="2763">
          <cell r="A2763" t="str">
            <v>Japan - GECCFDIRECT MAIL</v>
          </cell>
        </row>
        <row r="2764">
          <cell r="A2764" t="str">
            <v>Japan - GECCFDATA PROCESSING</v>
          </cell>
        </row>
        <row r="2765">
          <cell r="A2765" t="str">
            <v>Japan - GECCFCONSULTING</v>
          </cell>
        </row>
        <row r="2766">
          <cell r="A2766" t="str">
            <v>Japan - GECCFTEMP SERVICES</v>
          </cell>
        </row>
        <row r="2767">
          <cell r="A2767" t="str">
            <v>Japan - GECCFGDC CHARGES</v>
          </cell>
        </row>
        <row r="2768">
          <cell r="A2768" t="str">
            <v>Japan - GECCFTRAINING AND EDUCATION</v>
          </cell>
        </row>
        <row r="2769">
          <cell r="A2769" t="str">
            <v>Japan - GECCFOUTSIDE SERVICES  AND FEES</v>
          </cell>
        </row>
        <row r="2770">
          <cell r="A2770" t="str">
            <v>Japan - GECCFSTATE, FOREIGN, LOCAL TAXES</v>
          </cell>
        </row>
        <row r="2771">
          <cell r="A2771" t="str">
            <v>Japan - GECCFS/L TAX - INSURANCE PREMIUMS</v>
          </cell>
        </row>
        <row r="2772">
          <cell r="A2772" t="str">
            <v>Japan - GECCFSATELLITE LEASE EXPENSE</v>
          </cell>
        </row>
        <row r="2773">
          <cell r="A2773" t="str">
            <v>Japan - GECCFBUSINESS SHARE EXPENSE</v>
          </cell>
        </row>
        <row r="2774">
          <cell r="A2774" t="str">
            <v>Japan - GECCFINSURANCE AFFILIATE EXPENSE</v>
          </cell>
        </row>
        <row r="2775">
          <cell r="A2775" t="str">
            <v>Japan - GECCFOTHER FACILITY EXPENSE</v>
          </cell>
        </row>
        <row r="2776">
          <cell r="A2776" t="str">
            <v>Japan - GECCFGROSS OP &amp; ADMIN BUS SHARE</v>
          </cell>
        </row>
        <row r="2777">
          <cell r="A2777" t="str">
            <v>Japan - GECCFOTHER EXPENSE</v>
          </cell>
        </row>
        <row r="2778">
          <cell r="A2778" t="str">
            <v>Japan - GECCFGECC INTERCO EXPENSES EXCL GECIS</v>
          </cell>
        </row>
        <row r="2779">
          <cell r="A2779" t="str">
            <v>Japan - GECCFGECIS INTERCO CHARGES</v>
          </cell>
        </row>
        <row r="2780">
          <cell r="A2780" t="str">
            <v>Japan - GECCFLOSS ADJUSTED EXPENSE</v>
          </cell>
        </row>
        <row r="2781">
          <cell r="A2781" t="str">
            <v>Japan - GECCFALL OTHER EXPENSES</v>
          </cell>
        </row>
        <row r="2782">
          <cell r="A2782" t="str">
            <v>Japan - GECCFASSESSMENTS</v>
          </cell>
        </row>
        <row r="2783">
          <cell r="A2783" t="str">
            <v>Japan - GECCFFAS 91</v>
          </cell>
        </row>
        <row r="2784">
          <cell r="A2784" t="str">
            <v>Japan - GECCFGOODWILL AMORTIZATION</v>
          </cell>
        </row>
        <row r="2785">
          <cell r="A2785" t="str">
            <v>Japan - GECCFDEPRECIATION EXPENSE</v>
          </cell>
        </row>
        <row r="2786">
          <cell r="A2786" t="str">
            <v>Japan - GECCFELTO AMORTIZATION</v>
          </cell>
        </row>
        <row r="2787">
          <cell r="A2787" t="str">
            <v>Japan - GECCFINSURANCE LOSSES AND BENEFITS</v>
          </cell>
        </row>
        <row r="2788">
          <cell r="A2788" t="str">
            <v>Japan - GECCFWRITE OFFS</v>
          </cell>
        </row>
        <row r="2789">
          <cell r="A2789" t="str">
            <v>Japan - GECCFRESERVE CHANGE</v>
          </cell>
        </row>
        <row r="2790">
          <cell r="A2790" t="str">
            <v>Japan - GECCFMINORITY INTEREST</v>
          </cell>
        </row>
        <row r="2791">
          <cell r="A2791" t="str">
            <v>Japan - GECCFINCOME TAXES</v>
          </cell>
        </row>
        <row r="2792">
          <cell r="A2792" t="str">
            <v>Japan - GECCFCUMULATIVE TRANSITION ADJUSTMENT</v>
          </cell>
        </row>
        <row r="2793">
          <cell r="A2793" t="str">
            <v>Japan - GECCFASIA PACIFIC NI DIVIDEND</v>
          </cell>
        </row>
        <row r="2794">
          <cell r="A2794" t="str">
            <v>Japan - GECCFNet Income</v>
          </cell>
        </row>
        <row r="2795">
          <cell r="A2795" t="str">
            <v>Japan - GECCFSubPart F</v>
          </cell>
        </row>
        <row r="2796">
          <cell r="A2796" t="str">
            <v>Japan - GECCFAssets</v>
          </cell>
        </row>
        <row r="2797">
          <cell r="A2797" t="str">
            <v>Japan - GECCFEnding Net Investment (ENI) incl Asia</v>
          </cell>
        </row>
        <row r="2798">
          <cell r="A2798" t="str">
            <v>Japan - GECCFANR YTD</v>
          </cell>
        </row>
        <row r="2799">
          <cell r="A2799" t="str">
            <v>Japan - GECCFASA YTD</v>
          </cell>
        </row>
        <row r="2800">
          <cell r="A2800" t="str">
            <v>Japan - GECCFANI YTD incl Asia - 5 pt</v>
          </cell>
        </row>
        <row r="2801">
          <cell r="A2801" t="str">
            <v>Japan - GECCFOff Balance Sheet Assets</v>
          </cell>
        </row>
        <row r="2802">
          <cell r="A2802" t="str">
            <v>Japan - GECCFJV Receivables</v>
          </cell>
        </row>
        <row r="2803">
          <cell r="A2803" t="str">
            <v>Japan - GECCF30+ DELINQUENCY $</v>
          </cell>
        </row>
        <row r="2804">
          <cell r="A2804" t="str">
            <v>Japan - GECCF90+ DELINQUENCY $</v>
          </cell>
        </row>
        <row r="2805">
          <cell r="A2805" t="str">
            <v>Japan - GECCFTemporary Staff</v>
          </cell>
        </row>
        <row r="2806">
          <cell r="A2806" t="str">
            <v>Japan - GECCFContractors</v>
          </cell>
        </row>
        <row r="2807">
          <cell r="A2807" t="str">
            <v>Japan - GECCFOutsourced to LCC</v>
          </cell>
        </row>
        <row r="2808">
          <cell r="A2808" t="str">
            <v>Japan - GECCFTotal Headcount</v>
          </cell>
        </row>
        <row r="2809">
          <cell r="A2809" t="str">
            <v>Japan - GECCFTotal Workforce</v>
          </cell>
        </row>
        <row r="2810">
          <cell r="A2810" t="str">
            <v>Japan - GECCFTotal Earned Revenue</v>
          </cell>
        </row>
        <row r="2811">
          <cell r="A2811" t="str">
            <v>Japan - GECCFOrdinary Gains - PreTax</v>
          </cell>
        </row>
        <row r="2812">
          <cell r="A2812" t="str">
            <v>Japan - GECCFOrdinary Gains - AfterTax</v>
          </cell>
        </row>
        <row r="2813">
          <cell r="A2813" t="str">
            <v>Japan - GECCFTotal Volume</v>
          </cell>
        </row>
        <row r="2814">
          <cell r="A2814" t="str">
            <v>Japan - GECCFTOTAL # ACTIVE ACCOUNTS</v>
          </cell>
        </row>
        <row r="2815">
          <cell r="A2815" t="str">
            <v>KoreaTOTAL FINANCING RECEIVABLES</v>
          </cell>
        </row>
        <row r="2816">
          <cell r="A2816" t="str">
            <v>KoreaRECEIVABLE RESERVES</v>
          </cell>
        </row>
        <row r="2817">
          <cell r="A2817" t="str">
            <v>KoreaCASH</v>
          </cell>
        </row>
        <row r="2818">
          <cell r="A2818" t="str">
            <v>KoreaINVESTMENT SECURITIES</v>
          </cell>
        </row>
        <row r="2819">
          <cell r="A2819" t="str">
            <v>KoreaINV IN NON CONSOL AFFILIATES</v>
          </cell>
        </row>
        <row r="2820">
          <cell r="A2820" t="str">
            <v>KoreaINVESTMENT IN JOINT VENTURE</v>
          </cell>
        </row>
        <row r="2821">
          <cell r="A2821" t="str">
            <v>KoreaALL OTHER RECEIVABLES (NON-FINANCING)</v>
          </cell>
        </row>
        <row r="2822">
          <cell r="A2822" t="str">
            <v>KoreaELTO (NET)</v>
          </cell>
        </row>
        <row r="2823">
          <cell r="A2823" t="str">
            <v>KoreaGOODWILL</v>
          </cell>
        </row>
        <row r="2824">
          <cell r="A2824" t="str">
            <v>KoreaOTHER ASSETS</v>
          </cell>
        </row>
        <row r="2825">
          <cell r="A2825" t="str">
            <v>KoreaACCOUNTS PAYABLE</v>
          </cell>
        </row>
        <row r="2826">
          <cell r="A2826" t="str">
            <v>KoreaDEFERRED INCOME TAXES</v>
          </cell>
        </row>
        <row r="2827">
          <cell r="A2827" t="str">
            <v>KoreaWRITE-OFF (MEMO)</v>
          </cell>
        </row>
        <row r="2828">
          <cell r="A2828" t="str">
            <v>KoreaINSURANCE RESERVES AND ANNUITY BENEFITS</v>
          </cell>
        </row>
        <row r="2829">
          <cell r="A2829" t="str">
            <v>KoreaALL OTHER NON DEBT LIABILITIES</v>
          </cell>
        </row>
        <row r="2830">
          <cell r="A2830" t="str">
            <v>KoreaMINORITY INTEREST (BS)</v>
          </cell>
        </row>
        <row r="2831">
          <cell r="A2831" t="str">
            <v>KoreaASIA PACIFIC ENI DIVIDEND</v>
          </cell>
        </row>
        <row r="2832">
          <cell r="A2832" t="str">
            <v>KoreaFINANCING INCOME</v>
          </cell>
        </row>
        <row r="2833">
          <cell r="A2833" t="str">
            <v>KoreaINSURANCE PREMIUM INCOME</v>
          </cell>
        </row>
        <row r="2834">
          <cell r="A2834" t="str">
            <v>KoreaINSURANCE INCOME (COMMISSIONS)</v>
          </cell>
        </row>
        <row r="2835">
          <cell r="A2835" t="str">
            <v>KoreaSUNDRY INCOME</v>
          </cell>
        </row>
        <row r="2836">
          <cell r="A2836" t="str">
            <v>KoreaINTEREST EXPENSE</v>
          </cell>
        </row>
        <row r="2837">
          <cell r="A2837" t="str">
            <v>KoreaINTEREST EXPENSE REDUCTIONS / BUS SHARING</v>
          </cell>
        </row>
        <row r="2838">
          <cell r="A2838" t="str">
            <v>KoreaALLOCATED COST OF PREFERRED EQUITY</v>
          </cell>
        </row>
        <row r="2839">
          <cell r="A2839" t="str">
            <v>KoreaSALARIES &amp; BENEFITS</v>
          </cell>
        </row>
        <row r="2840">
          <cell r="A2840" t="str">
            <v>KoreaLOSSES ON OTHER ASSETS</v>
          </cell>
        </row>
        <row r="2841">
          <cell r="A2841" t="str">
            <v>KoreaCOST OF GOODS SOLD</v>
          </cell>
        </row>
        <row r="2842">
          <cell r="A2842" t="str">
            <v>KoreaCOST OF GOODS SOLD - DISTRIBUTION</v>
          </cell>
        </row>
        <row r="2843">
          <cell r="A2843" t="str">
            <v>KoreaPOSTAGE</v>
          </cell>
        </row>
        <row r="2844">
          <cell r="A2844" t="str">
            <v>KoreaTELEPHONE</v>
          </cell>
        </row>
        <row r="2845">
          <cell r="A2845" t="str">
            <v>KoreaCUSTOMER SERVICE / COLLECTIONS</v>
          </cell>
        </row>
        <row r="2846">
          <cell r="A2846" t="str">
            <v>KoreaSTATIONARY - OFFICE SUPPLIES</v>
          </cell>
        </row>
        <row r="2847">
          <cell r="A2847" t="str">
            <v>KoreaT&amp;L</v>
          </cell>
        </row>
        <row r="2848">
          <cell r="A2848" t="str">
            <v>KoreaRENTAL - BLDG/FACILITIES</v>
          </cell>
        </row>
        <row r="2849">
          <cell r="A2849" t="str">
            <v>KoreaRENTAL - FURNITURE/EQUIP</v>
          </cell>
        </row>
        <row r="2850">
          <cell r="A2850" t="str">
            <v>KoreaRENTAL - COMPUTERS</v>
          </cell>
        </row>
        <row r="2851">
          <cell r="A2851" t="str">
            <v>KoreaLEASE IN - LEASE OUT</v>
          </cell>
        </row>
        <row r="2852">
          <cell r="A2852" t="str">
            <v>KoreaFURNITURE / EQUIPMENT / COMPUTER EXP</v>
          </cell>
        </row>
        <row r="2853">
          <cell r="A2853" t="str">
            <v>KoreaSOFTWARE EXPENSE</v>
          </cell>
        </row>
        <row r="2854">
          <cell r="A2854" t="str">
            <v>KoreaAMORTIZATION OF INTANGIBLES</v>
          </cell>
        </row>
        <row r="2855">
          <cell r="A2855" t="str">
            <v>KoreaELTO MAINTENANCE</v>
          </cell>
        </row>
        <row r="2856">
          <cell r="A2856" t="str">
            <v>KoreaELTO OTHER</v>
          </cell>
        </row>
        <row r="2857">
          <cell r="A2857" t="str">
            <v>KoreaLEGAL</v>
          </cell>
        </row>
        <row r="2858">
          <cell r="A2858" t="str">
            <v>KoreaADVERTISING</v>
          </cell>
        </row>
        <row r="2859">
          <cell r="A2859" t="str">
            <v>KoreaSALES PROMOTIONS</v>
          </cell>
        </row>
        <row r="2860">
          <cell r="A2860" t="str">
            <v>KoreaDIRECT MAIL</v>
          </cell>
        </row>
        <row r="2861">
          <cell r="A2861" t="str">
            <v>KoreaDATA PROCESSING</v>
          </cell>
        </row>
        <row r="2862">
          <cell r="A2862" t="str">
            <v>KoreaCONSULTING</v>
          </cell>
        </row>
        <row r="2863">
          <cell r="A2863" t="str">
            <v>KoreaTEMP SERVICES</v>
          </cell>
        </row>
        <row r="2864">
          <cell r="A2864" t="str">
            <v>KoreaGDC CHARGES</v>
          </cell>
        </row>
        <row r="2865">
          <cell r="A2865" t="str">
            <v>KoreaTRAINING AND EDUCATION</v>
          </cell>
        </row>
        <row r="2866">
          <cell r="A2866" t="str">
            <v>KoreaOUTSIDE SERVICES  AND FEES</v>
          </cell>
        </row>
        <row r="2867">
          <cell r="A2867" t="str">
            <v>KoreaSTATE, FOREIGN, LOCAL TAXES</v>
          </cell>
        </row>
        <row r="2868">
          <cell r="A2868" t="str">
            <v>KoreaS/L TAX - INSURANCE PREMIUMS</v>
          </cell>
        </row>
        <row r="2869">
          <cell r="A2869" t="str">
            <v>KoreaSATELLITE LEASE EXPENSE</v>
          </cell>
        </row>
        <row r="2870">
          <cell r="A2870" t="str">
            <v>KoreaBUSINESS SHARE EXPENSE</v>
          </cell>
        </row>
        <row r="2871">
          <cell r="A2871" t="str">
            <v>KoreaINSURANCE AFFILIATE EXPENSE</v>
          </cell>
        </row>
        <row r="2872">
          <cell r="A2872" t="str">
            <v>KoreaOTHER FACILITY EXPENSE</v>
          </cell>
        </row>
        <row r="2873">
          <cell r="A2873" t="str">
            <v>KoreaGROSS OP &amp; ADMIN BUS SHARE</v>
          </cell>
        </row>
        <row r="2874">
          <cell r="A2874" t="str">
            <v>KoreaOTHER EXPENSE</v>
          </cell>
        </row>
        <row r="2875">
          <cell r="A2875" t="str">
            <v>KoreaGECC INTERCO EXPENSES EXCL GECIS</v>
          </cell>
        </row>
        <row r="2876">
          <cell r="A2876" t="str">
            <v>KoreaGECIS INTERCO CHARGES</v>
          </cell>
        </row>
        <row r="2877">
          <cell r="A2877" t="str">
            <v>KoreaLOSS ADJUSTED EXPENSE</v>
          </cell>
        </row>
        <row r="2878">
          <cell r="A2878" t="str">
            <v>KoreaALL OTHER EXPENSES</v>
          </cell>
        </row>
        <row r="2879">
          <cell r="A2879" t="str">
            <v>KoreaASSESSMENTS</v>
          </cell>
        </row>
        <row r="2880">
          <cell r="A2880" t="str">
            <v>KoreaFAS 91</v>
          </cell>
        </row>
        <row r="2881">
          <cell r="A2881" t="str">
            <v>KoreaGOODWILL AMORTIZATION</v>
          </cell>
        </row>
        <row r="2882">
          <cell r="A2882" t="str">
            <v>KoreaDEPRECIATION EXPENSE</v>
          </cell>
        </row>
        <row r="2883">
          <cell r="A2883" t="str">
            <v>KoreaELTO AMORTIZATION</v>
          </cell>
        </row>
        <row r="2884">
          <cell r="A2884" t="str">
            <v>KoreaINSURANCE LOSSES AND BENEFITS</v>
          </cell>
        </row>
        <row r="2885">
          <cell r="A2885" t="str">
            <v>KoreaWRITE OFFS</v>
          </cell>
        </row>
        <row r="2886">
          <cell r="A2886" t="str">
            <v>KoreaRESERVE CHANGE</v>
          </cell>
        </row>
        <row r="2887">
          <cell r="A2887" t="str">
            <v>KoreaMINORITY INTEREST</v>
          </cell>
        </row>
        <row r="2888">
          <cell r="A2888" t="str">
            <v>KoreaINCOME TAXES</v>
          </cell>
        </row>
        <row r="2889">
          <cell r="A2889" t="str">
            <v>KoreaCUMULATIVE TRANSITION ADJUSTMENT</v>
          </cell>
        </row>
        <row r="2890">
          <cell r="A2890" t="str">
            <v>KoreaASIA PACIFIC NI DIVIDEND</v>
          </cell>
        </row>
        <row r="2891">
          <cell r="A2891" t="str">
            <v>KoreaNet Income</v>
          </cell>
        </row>
        <row r="2892">
          <cell r="A2892" t="str">
            <v>KoreaSubPart F</v>
          </cell>
        </row>
        <row r="2893">
          <cell r="A2893" t="str">
            <v>KoreaAssets</v>
          </cell>
        </row>
        <row r="2894">
          <cell r="A2894" t="str">
            <v>KoreaEnding Net Investment (ENI) incl Asia</v>
          </cell>
        </row>
        <row r="2895">
          <cell r="A2895" t="str">
            <v>KoreaANR YTD</v>
          </cell>
        </row>
        <row r="2896">
          <cell r="A2896" t="str">
            <v>KoreaASA YTD</v>
          </cell>
        </row>
        <row r="2897">
          <cell r="A2897" t="str">
            <v>KoreaANI YTD incl Asia - 5 pt</v>
          </cell>
        </row>
        <row r="2898">
          <cell r="A2898" t="str">
            <v>KoreaOff Balance Sheet Assets</v>
          </cell>
        </row>
        <row r="2899">
          <cell r="A2899" t="str">
            <v>KoreaJV Receivables</v>
          </cell>
        </row>
        <row r="2900">
          <cell r="A2900" t="str">
            <v>Korea30+ DELINQUENCY $</v>
          </cell>
        </row>
        <row r="2901">
          <cell r="A2901" t="str">
            <v>Korea90+ DELINQUENCY $</v>
          </cell>
        </row>
        <row r="2902">
          <cell r="A2902" t="str">
            <v>KoreaTemporary Staff</v>
          </cell>
        </row>
        <row r="2903">
          <cell r="A2903" t="str">
            <v>KoreaContractors</v>
          </cell>
        </row>
        <row r="2904">
          <cell r="A2904" t="str">
            <v>KoreaOutsourced to LCC</v>
          </cell>
        </row>
        <row r="2905">
          <cell r="A2905" t="str">
            <v>KoreaTotal Headcount</v>
          </cell>
        </row>
        <row r="2906">
          <cell r="A2906" t="str">
            <v>KoreaTotal Workforce</v>
          </cell>
        </row>
        <row r="2907">
          <cell r="A2907" t="str">
            <v>KoreaTotal Earned Revenue</v>
          </cell>
        </row>
        <row r="2908">
          <cell r="A2908" t="str">
            <v>KoreaOrdinary Gains - PreTax</v>
          </cell>
        </row>
        <row r="2909">
          <cell r="A2909" t="str">
            <v>KoreaOrdinary Gains - AfterTax</v>
          </cell>
        </row>
        <row r="2910">
          <cell r="A2910" t="str">
            <v>KoreaTotal Volume</v>
          </cell>
        </row>
        <row r="2911">
          <cell r="A2911" t="str">
            <v>KoreaTOTAL # ACTIVE ACCOUNTS</v>
          </cell>
        </row>
        <row r="2912">
          <cell r="A2912" t="str">
            <v>Mail ServicesTOTAL FINANCING RECEIVABLES</v>
          </cell>
        </row>
        <row r="2913">
          <cell r="A2913" t="str">
            <v>Mail ServicesRECEIVABLE RESERVES</v>
          </cell>
        </row>
        <row r="2914">
          <cell r="A2914" t="str">
            <v>Mail ServicesCASH</v>
          </cell>
        </row>
        <row r="2915">
          <cell r="A2915" t="str">
            <v>Mail ServicesINVESTMENT SECURITIES</v>
          </cell>
        </row>
        <row r="2916">
          <cell r="A2916" t="str">
            <v>Mail ServicesINV IN NON CONSOL AFFILIATES</v>
          </cell>
        </row>
        <row r="2917">
          <cell r="A2917" t="str">
            <v>Mail ServicesINVESTMENT IN JOINT VENTURE</v>
          </cell>
        </row>
        <row r="2918">
          <cell r="A2918" t="str">
            <v>Mail ServicesALL OTHER RECEIVABLES (NON-FINANCING)</v>
          </cell>
        </row>
        <row r="2919">
          <cell r="A2919" t="str">
            <v>Mail ServicesELTO (NET)</v>
          </cell>
        </row>
        <row r="2920">
          <cell r="A2920" t="str">
            <v>Mail ServicesGOODWILL</v>
          </cell>
        </row>
        <row r="2921">
          <cell r="A2921" t="str">
            <v>Mail ServicesOTHER ASSETS</v>
          </cell>
        </row>
        <row r="2922">
          <cell r="A2922" t="str">
            <v>Mail ServicesACCOUNTS PAYABLE</v>
          </cell>
        </row>
        <row r="2923">
          <cell r="A2923" t="str">
            <v>Mail ServicesDEFERRED INCOME TAXES</v>
          </cell>
        </row>
        <row r="2924">
          <cell r="A2924" t="str">
            <v>Mail ServicesWRITE-OFF (MEMO)</v>
          </cell>
        </row>
        <row r="2925">
          <cell r="A2925" t="str">
            <v>Mail ServicesINSURANCE RESERVES AND ANNUITY BENEFITS</v>
          </cell>
        </row>
        <row r="2926">
          <cell r="A2926" t="str">
            <v>Mail ServicesALL OTHER NON DEBT LIABILITIES</v>
          </cell>
        </row>
        <row r="2927">
          <cell r="A2927" t="str">
            <v>Mail ServicesMINORITY INTEREST (BS)</v>
          </cell>
        </row>
        <row r="2928">
          <cell r="A2928" t="str">
            <v>Mail ServicesASIA PACIFIC ENI DIVIDEND</v>
          </cell>
        </row>
        <row r="2929">
          <cell r="A2929" t="str">
            <v>Mail ServicesFINANCING INCOME</v>
          </cell>
        </row>
        <row r="2930">
          <cell r="A2930" t="str">
            <v>Mail ServicesINSURANCE PREMIUM INCOME</v>
          </cell>
        </row>
        <row r="2931">
          <cell r="A2931" t="str">
            <v>Mail ServicesINSURANCE INCOME (COMMISSIONS)</v>
          </cell>
        </row>
        <row r="2932">
          <cell r="A2932" t="str">
            <v>Mail ServicesSUNDRY INCOME</v>
          </cell>
        </row>
        <row r="2933">
          <cell r="A2933" t="str">
            <v>Mail ServicesINTEREST EXPENSE</v>
          </cell>
        </row>
        <row r="2934">
          <cell r="A2934" t="str">
            <v>Mail ServicesINTEREST EXPENSE REDUCTIONS / BUS SHARING</v>
          </cell>
        </row>
        <row r="2935">
          <cell r="A2935" t="str">
            <v>Mail ServicesALLOCATED COST OF PREFERRED EQUITY</v>
          </cell>
        </row>
        <row r="2936">
          <cell r="A2936" t="str">
            <v>Mail ServicesSALARIES &amp; BENEFITS</v>
          </cell>
        </row>
        <row r="2937">
          <cell r="A2937" t="str">
            <v>Mail ServicesLOSSES ON OTHER ASSETS</v>
          </cell>
        </row>
        <row r="2938">
          <cell r="A2938" t="str">
            <v>Mail ServicesCOST OF GOODS SOLD</v>
          </cell>
        </row>
        <row r="2939">
          <cell r="A2939" t="str">
            <v>Mail ServicesCOST OF GOODS SOLD - DISTRIBUTION</v>
          </cell>
        </row>
        <row r="2940">
          <cell r="A2940" t="str">
            <v>Mail ServicesPOSTAGE</v>
          </cell>
        </row>
        <row r="2941">
          <cell r="A2941" t="str">
            <v>Mail ServicesTELEPHONE</v>
          </cell>
        </row>
        <row r="2942">
          <cell r="A2942" t="str">
            <v>Mail ServicesCUSTOMER SERVICE / COLLECTIONS</v>
          </cell>
        </row>
        <row r="2943">
          <cell r="A2943" t="str">
            <v>Mail ServicesSTATIONARY - OFFICE SUPPLIES</v>
          </cell>
        </row>
        <row r="2944">
          <cell r="A2944" t="str">
            <v>Mail ServicesT&amp;L</v>
          </cell>
        </row>
        <row r="2945">
          <cell r="A2945" t="str">
            <v>Mail ServicesRENTAL - BLDG/FACILITIES</v>
          </cell>
        </row>
        <row r="2946">
          <cell r="A2946" t="str">
            <v>Mail ServicesRENTAL - FURNITURE/EQUIP</v>
          </cell>
        </row>
        <row r="2947">
          <cell r="A2947" t="str">
            <v>Mail ServicesRENTAL - COMPUTERS</v>
          </cell>
        </row>
        <row r="2948">
          <cell r="A2948" t="str">
            <v>Mail ServicesLEASE IN - LEASE OUT</v>
          </cell>
        </row>
        <row r="2949">
          <cell r="A2949" t="str">
            <v>Mail ServicesFURNITURE / EQUIPMENT / COMPUTER EXP</v>
          </cell>
        </row>
        <row r="2950">
          <cell r="A2950" t="str">
            <v>Mail ServicesSOFTWARE EXPENSE</v>
          </cell>
        </row>
        <row r="2951">
          <cell r="A2951" t="str">
            <v>Mail ServicesAMORTIZATION OF INTANGIBLES</v>
          </cell>
        </row>
        <row r="2952">
          <cell r="A2952" t="str">
            <v>Mail ServicesELTO MAINTENANCE</v>
          </cell>
        </row>
        <row r="2953">
          <cell r="A2953" t="str">
            <v>Mail ServicesELTO OTHER</v>
          </cell>
        </row>
        <row r="2954">
          <cell r="A2954" t="str">
            <v>Mail ServicesLEGAL</v>
          </cell>
        </row>
        <row r="2955">
          <cell r="A2955" t="str">
            <v>Mail ServicesADVERTISING</v>
          </cell>
        </row>
        <row r="2956">
          <cell r="A2956" t="str">
            <v>Mail ServicesSALES PROMOTIONS</v>
          </cell>
        </row>
        <row r="2957">
          <cell r="A2957" t="str">
            <v>Mail ServicesDIRECT MAIL</v>
          </cell>
        </row>
        <row r="2958">
          <cell r="A2958" t="str">
            <v>Mail ServicesDATA PROCESSING</v>
          </cell>
        </row>
        <row r="2959">
          <cell r="A2959" t="str">
            <v>Mail ServicesCONSULTING</v>
          </cell>
        </row>
        <row r="2960">
          <cell r="A2960" t="str">
            <v>Mail ServicesTEMP SERVICES</v>
          </cell>
        </row>
        <row r="2961">
          <cell r="A2961" t="str">
            <v>Mail ServicesGDC CHARGES</v>
          </cell>
        </row>
        <row r="2962">
          <cell r="A2962" t="str">
            <v>Mail ServicesTRAINING AND EDUCATION</v>
          </cell>
        </row>
        <row r="2963">
          <cell r="A2963" t="str">
            <v>Mail ServicesOUTSIDE SERVICES  AND FEES</v>
          </cell>
        </row>
        <row r="2964">
          <cell r="A2964" t="str">
            <v>Mail ServicesSTATE, FOREIGN, LOCAL TAXES</v>
          </cell>
        </row>
        <row r="2965">
          <cell r="A2965" t="str">
            <v>Mail ServicesS/L TAX - INSURANCE PREMIUMS</v>
          </cell>
        </row>
        <row r="2966">
          <cell r="A2966" t="str">
            <v>Mail ServicesSATELLITE LEASE EXPENSE</v>
          </cell>
        </row>
        <row r="2967">
          <cell r="A2967" t="str">
            <v>Mail ServicesBUSINESS SHARE EXPENSE</v>
          </cell>
        </row>
        <row r="2968">
          <cell r="A2968" t="str">
            <v>Mail ServicesINSURANCE AFFILIATE EXPENSE</v>
          </cell>
        </row>
        <row r="2969">
          <cell r="A2969" t="str">
            <v>Mail ServicesOTHER FACILITY EXPENSE</v>
          </cell>
        </row>
        <row r="2970">
          <cell r="A2970" t="str">
            <v>Mail ServicesGROSS OP &amp; ADMIN BUS SHARE</v>
          </cell>
        </row>
        <row r="2971">
          <cell r="A2971" t="str">
            <v>Mail ServicesOTHER EXPENSE</v>
          </cell>
        </row>
        <row r="2972">
          <cell r="A2972" t="str">
            <v>Mail ServicesGECC INTERCO EXPENSES EXCL GECIS</v>
          </cell>
        </row>
        <row r="2973">
          <cell r="A2973" t="str">
            <v>Mail ServicesGECIS INTERCO CHARGES</v>
          </cell>
        </row>
        <row r="2974">
          <cell r="A2974" t="str">
            <v>Mail ServicesLOSS ADJUSTED EXPENSE</v>
          </cell>
        </row>
        <row r="2975">
          <cell r="A2975" t="str">
            <v>Mail ServicesALL OTHER EXPENSES</v>
          </cell>
        </row>
        <row r="2976">
          <cell r="A2976" t="str">
            <v>Mail ServicesASSESSMENTS</v>
          </cell>
        </row>
        <row r="2977">
          <cell r="A2977" t="str">
            <v>Mail ServicesFAS 91</v>
          </cell>
        </row>
        <row r="2978">
          <cell r="A2978" t="str">
            <v>Mail ServicesGOODWILL AMORTIZATION</v>
          </cell>
        </row>
        <row r="2979">
          <cell r="A2979" t="str">
            <v>Mail ServicesDEPRECIATION EXPENSE</v>
          </cell>
        </row>
        <row r="2980">
          <cell r="A2980" t="str">
            <v>Mail ServicesELTO AMORTIZATION</v>
          </cell>
        </row>
        <row r="2981">
          <cell r="A2981" t="str">
            <v>Mail ServicesINSURANCE LOSSES AND BENEFITS</v>
          </cell>
        </row>
        <row r="2982">
          <cell r="A2982" t="str">
            <v>Mail ServicesWRITE OFFS</v>
          </cell>
        </row>
        <row r="2983">
          <cell r="A2983" t="str">
            <v>Mail ServicesRESERVE CHANGE</v>
          </cell>
        </row>
        <row r="2984">
          <cell r="A2984" t="str">
            <v>Mail ServicesMINORITY INTEREST</v>
          </cell>
        </row>
        <row r="2985">
          <cell r="A2985" t="str">
            <v>Mail ServicesINCOME TAXES</v>
          </cell>
        </row>
        <row r="2986">
          <cell r="A2986" t="str">
            <v>Mail ServicesCUMULATIVE TRANSITION ADJUSTMENT</v>
          </cell>
        </row>
        <row r="2987">
          <cell r="A2987" t="str">
            <v>Mail ServicesASIA PACIFIC NI DIVIDEND</v>
          </cell>
        </row>
        <row r="2988">
          <cell r="A2988" t="str">
            <v>Mail ServicesNet Income</v>
          </cell>
        </row>
        <row r="2989">
          <cell r="A2989" t="str">
            <v>Mail ServicesSubPart F</v>
          </cell>
        </row>
        <row r="2990">
          <cell r="A2990" t="str">
            <v>Mail ServicesAssets</v>
          </cell>
        </row>
        <row r="2991">
          <cell r="A2991" t="str">
            <v>Mail ServicesEnding Net Investment (ENI) incl Asia</v>
          </cell>
        </row>
        <row r="2992">
          <cell r="A2992" t="str">
            <v>Mail ServicesANR YTD</v>
          </cell>
        </row>
        <row r="2993">
          <cell r="A2993" t="str">
            <v>Mail ServicesASA YTD</v>
          </cell>
        </row>
        <row r="2994">
          <cell r="A2994" t="str">
            <v>Mail ServicesANI YTD incl Asia - 5 pt</v>
          </cell>
        </row>
        <row r="2995">
          <cell r="A2995" t="str">
            <v>Mail ServicesOff Balance Sheet Assets</v>
          </cell>
        </row>
        <row r="2996">
          <cell r="A2996" t="str">
            <v>Mail ServicesJV Receivables</v>
          </cell>
        </row>
        <row r="2997">
          <cell r="A2997" t="str">
            <v>Mail Services30+ DELINQUENCY $</v>
          </cell>
        </row>
        <row r="2998">
          <cell r="A2998" t="str">
            <v>Mail Services90+ DELINQUENCY $</v>
          </cell>
        </row>
        <row r="2999">
          <cell r="A2999" t="str">
            <v>Mail ServicesTemporary Staff</v>
          </cell>
        </row>
        <row r="3000">
          <cell r="A3000" t="str">
            <v>Mail ServicesContractors</v>
          </cell>
        </row>
        <row r="3001">
          <cell r="A3001" t="str">
            <v>Mail ServicesOutsourced to LCC</v>
          </cell>
        </row>
        <row r="3002">
          <cell r="A3002" t="str">
            <v>Mail ServicesTotal Headcount</v>
          </cell>
        </row>
        <row r="3003">
          <cell r="A3003" t="str">
            <v>Mail ServicesTotal Workforce</v>
          </cell>
        </row>
        <row r="3004">
          <cell r="A3004" t="str">
            <v>Mail ServicesTotal Earned Revenue</v>
          </cell>
        </row>
        <row r="3005">
          <cell r="A3005" t="str">
            <v>Mail ServicesOrdinary Gains - PreTax</v>
          </cell>
        </row>
        <row r="3006">
          <cell r="A3006" t="str">
            <v>Mail ServicesOrdinary Gains - AfterTax</v>
          </cell>
        </row>
        <row r="3007">
          <cell r="A3007" t="str">
            <v>Mail ServicesTotal Volume</v>
          </cell>
        </row>
        <row r="3008">
          <cell r="A3008" t="str">
            <v>Mail ServicesTOTAL # ACTIVE ACCOUNTS</v>
          </cell>
        </row>
        <row r="3009">
          <cell r="A3009" t="str">
            <v>MalaysiaTOTAL FINANCING RECEIVABLES</v>
          </cell>
        </row>
        <row r="3010">
          <cell r="A3010" t="str">
            <v>MalaysiaRECEIVABLE RESERVES</v>
          </cell>
        </row>
        <row r="3011">
          <cell r="A3011" t="str">
            <v>MalaysiaCASH</v>
          </cell>
        </row>
        <row r="3012">
          <cell r="A3012" t="str">
            <v>MalaysiaINVESTMENT SECURITIES</v>
          </cell>
        </row>
        <row r="3013">
          <cell r="A3013" t="str">
            <v>MalaysiaINV IN NON CONSOL AFFILIATES</v>
          </cell>
        </row>
        <row r="3014">
          <cell r="A3014" t="str">
            <v>MalaysiaINVESTMENT IN JOINT VENTURE</v>
          </cell>
        </row>
        <row r="3015">
          <cell r="A3015" t="str">
            <v>MalaysiaALL OTHER RECEIVABLES (NON-FINANCING)</v>
          </cell>
        </row>
        <row r="3016">
          <cell r="A3016" t="str">
            <v>MalaysiaELTO (NET)</v>
          </cell>
        </row>
        <row r="3017">
          <cell r="A3017" t="str">
            <v>MalaysiaGOODWILL</v>
          </cell>
        </row>
        <row r="3018">
          <cell r="A3018" t="str">
            <v>MalaysiaOTHER ASSETS</v>
          </cell>
        </row>
        <row r="3019">
          <cell r="A3019" t="str">
            <v>MalaysiaACCOUNTS PAYABLE</v>
          </cell>
        </row>
        <row r="3020">
          <cell r="A3020" t="str">
            <v>MalaysiaDEFERRED INCOME TAXES</v>
          </cell>
        </row>
        <row r="3021">
          <cell r="A3021" t="str">
            <v>MalaysiaWRITE-OFF (MEMO)</v>
          </cell>
        </row>
        <row r="3022">
          <cell r="A3022" t="str">
            <v>MalaysiaINSURANCE RESERVES AND ANNUITY BENEFITS</v>
          </cell>
        </row>
        <row r="3023">
          <cell r="A3023" t="str">
            <v>MalaysiaALL OTHER NON DEBT LIABILITIES</v>
          </cell>
        </row>
        <row r="3024">
          <cell r="A3024" t="str">
            <v>MalaysiaMINORITY INTEREST (BS)</v>
          </cell>
        </row>
        <row r="3025">
          <cell r="A3025" t="str">
            <v>MalaysiaASIA PACIFIC ENI DIVIDEND</v>
          </cell>
        </row>
        <row r="3026">
          <cell r="A3026" t="str">
            <v>MalaysiaFINANCING INCOME</v>
          </cell>
        </row>
        <row r="3027">
          <cell r="A3027" t="str">
            <v>MalaysiaINSURANCE PREMIUM INCOME</v>
          </cell>
        </row>
        <row r="3028">
          <cell r="A3028" t="str">
            <v>MalaysiaINSURANCE INCOME (COMMISSIONS)</v>
          </cell>
        </row>
        <row r="3029">
          <cell r="A3029" t="str">
            <v>MalaysiaSUNDRY INCOME</v>
          </cell>
        </row>
        <row r="3030">
          <cell r="A3030" t="str">
            <v>MalaysiaINTEREST EXPENSE</v>
          </cell>
        </row>
        <row r="3031">
          <cell r="A3031" t="str">
            <v>MalaysiaINTEREST EXPENSE REDUCTIONS / BUS SHARING</v>
          </cell>
        </row>
        <row r="3032">
          <cell r="A3032" t="str">
            <v>MalaysiaALLOCATED COST OF PREFERRED EQUITY</v>
          </cell>
        </row>
        <row r="3033">
          <cell r="A3033" t="str">
            <v>MalaysiaSALARIES &amp; BENEFITS</v>
          </cell>
        </row>
        <row r="3034">
          <cell r="A3034" t="str">
            <v>MalaysiaLOSSES ON OTHER ASSETS</v>
          </cell>
        </row>
        <row r="3035">
          <cell r="A3035" t="str">
            <v>MalaysiaCOST OF GOODS SOLD</v>
          </cell>
        </row>
        <row r="3036">
          <cell r="A3036" t="str">
            <v>MalaysiaCOST OF GOODS SOLD - DISTRIBUTION</v>
          </cell>
        </row>
        <row r="3037">
          <cell r="A3037" t="str">
            <v>MalaysiaPOSTAGE</v>
          </cell>
        </row>
        <row r="3038">
          <cell r="A3038" t="str">
            <v>MalaysiaTELEPHONE</v>
          </cell>
        </row>
        <row r="3039">
          <cell r="A3039" t="str">
            <v>MalaysiaCUSTOMER SERVICE / COLLECTIONS</v>
          </cell>
        </row>
        <row r="3040">
          <cell r="A3040" t="str">
            <v>MalaysiaSTATIONARY - OFFICE SUPPLIES</v>
          </cell>
        </row>
        <row r="3041">
          <cell r="A3041" t="str">
            <v>MalaysiaT&amp;L</v>
          </cell>
        </row>
        <row r="3042">
          <cell r="A3042" t="str">
            <v>MalaysiaRENTAL - BLDG/FACILITIES</v>
          </cell>
        </row>
        <row r="3043">
          <cell r="A3043" t="str">
            <v>MalaysiaRENTAL - FURNITURE/EQUIP</v>
          </cell>
        </row>
        <row r="3044">
          <cell r="A3044" t="str">
            <v>MalaysiaRENTAL - COMPUTERS</v>
          </cell>
        </row>
        <row r="3045">
          <cell r="A3045" t="str">
            <v>MalaysiaLEASE IN - LEASE OUT</v>
          </cell>
        </row>
        <row r="3046">
          <cell r="A3046" t="str">
            <v>MalaysiaFURNITURE / EQUIPMENT / COMPUTER EXP</v>
          </cell>
        </row>
        <row r="3047">
          <cell r="A3047" t="str">
            <v>MalaysiaSOFTWARE EXPENSE</v>
          </cell>
        </row>
        <row r="3048">
          <cell r="A3048" t="str">
            <v>MalaysiaAMORTIZATION OF INTANGIBLES</v>
          </cell>
        </row>
        <row r="3049">
          <cell r="A3049" t="str">
            <v>MalaysiaELTO MAINTENANCE</v>
          </cell>
        </row>
        <row r="3050">
          <cell r="A3050" t="str">
            <v>MalaysiaELTO OTHER</v>
          </cell>
        </row>
        <row r="3051">
          <cell r="A3051" t="str">
            <v>MalaysiaLEGAL</v>
          </cell>
        </row>
        <row r="3052">
          <cell r="A3052" t="str">
            <v>MalaysiaADVERTISING</v>
          </cell>
        </row>
        <row r="3053">
          <cell r="A3053" t="str">
            <v>MalaysiaSALES PROMOTIONS</v>
          </cell>
        </row>
        <row r="3054">
          <cell r="A3054" t="str">
            <v>MalaysiaDIRECT MAIL</v>
          </cell>
        </row>
        <row r="3055">
          <cell r="A3055" t="str">
            <v>MalaysiaDATA PROCESSING</v>
          </cell>
        </row>
        <row r="3056">
          <cell r="A3056" t="str">
            <v>MalaysiaCONSULTING</v>
          </cell>
        </row>
        <row r="3057">
          <cell r="A3057" t="str">
            <v>MalaysiaTEMP SERVICES</v>
          </cell>
        </row>
        <row r="3058">
          <cell r="A3058" t="str">
            <v>MalaysiaGDC CHARGES</v>
          </cell>
        </row>
        <row r="3059">
          <cell r="A3059" t="str">
            <v>MalaysiaTRAINING AND EDUCATION</v>
          </cell>
        </row>
        <row r="3060">
          <cell r="A3060" t="str">
            <v>MalaysiaOUTSIDE SERVICES  AND FEES</v>
          </cell>
        </row>
        <row r="3061">
          <cell r="A3061" t="str">
            <v>MalaysiaSTATE, FOREIGN, LOCAL TAXES</v>
          </cell>
        </row>
        <row r="3062">
          <cell r="A3062" t="str">
            <v>MalaysiaS/L TAX - INSURANCE PREMIUMS</v>
          </cell>
        </row>
        <row r="3063">
          <cell r="A3063" t="str">
            <v>MalaysiaSATELLITE LEASE EXPENSE</v>
          </cell>
        </row>
        <row r="3064">
          <cell r="A3064" t="str">
            <v>MalaysiaBUSINESS SHARE EXPENSE</v>
          </cell>
        </row>
        <row r="3065">
          <cell r="A3065" t="str">
            <v>MalaysiaINSURANCE AFFILIATE EXPENSE</v>
          </cell>
        </row>
        <row r="3066">
          <cell r="A3066" t="str">
            <v>MalaysiaOTHER FACILITY EXPENSE</v>
          </cell>
        </row>
        <row r="3067">
          <cell r="A3067" t="str">
            <v>MalaysiaGROSS OP &amp; ADMIN BUS SHARE</v>
          </cell>
        </row>
        <row r="3068">
          <cell r="A3068" t="str">
            <v>MalaysiaOTHER EXPENSE</v>
          </cell>
        </row>
        <row r="3069">
          <cell r="A3069" t="str">
            <v>MalaysiaGECC INTERCO EXPENSES EXCL GECIS</v>
          </cell>
        </row>
        <row r="3070">
          <cell r="A3070" t="str">
            <v>MalaysiaGECIS INTERCO CHARGES</v>
          </cell>
        </row>
        <row r="3071">
          <cell r="A3071" t="str">
            <v>MalaysiaLOSS ADJUSTED EXPENSE</v>
          </cell>
        </row>
        <row r="3072">
          <cell r="A3072" t="str">
            <v>MalaysiaALL OTHER EXPENSES</v>
          </cell>
        </row>
        <row r="3073">
          <cell r="A3073" t="str">
            <v>MalaysiaASSESSMENTS</v>
          </cell>
        </row>
        <row r="3074">
          <cell r="A3074" t="str">
            <v>MalaysiaFAS 91</v>
          </cell>
        </row>
        <row r="3075">
          <cell r="A3075" t="str">
            <v>MalaysiaGOODWILL AMORTIZATION</v>
          </cell>
        </row>
        <row r="3076">
          <cell r="A3076" t="str">
            <v>MalaysiaDEPRECIATION EXPENSE</v>
          </cell>
        </row>
        <row r="3077">
          <cell r="A3077" t="str">
            <v>MalaysiaELTO AMORTIZATION</v>
          </cell>
        </row>
        <row r="3078">
          <cell r="A3078" t="str">
            <v>MalaysiaINSURANCE LOSSES AND BENEFITS</v>
          </cell>
        </row>
        <row r="3079">
          <cell r="A3079" t="str">
            <v>MalaysiaWRITE OFFS</v>
          </cell>
        </row>
        <row r="3080">
          <cell r="A3080" t="str">
            <v>MalaysiaRESERVE CHANGE</v>
          </cell>
        </row>
        <row r="3081">
          <cell r="A3081" t="str">
            <v>MalaysiaMINORITY INTEREST</v>
          </cell>
        </row>
        <row r="3082">
          <cell r="A3082" t="str">
            <v>MalaysiaINCOME TAXES</v>
          </cell>
        </row>
        <row r="3083">
          <cell r="A3083" t="str">
            <v>MalaysiaCUMULATIVE TRANSITION ADJUSTMENT</v>
          </cell>
        </row>
        <row r="3084">
          <cell r="A3084" t="str">
            <v>MalaysiaASIA PACIFIC NI DIVIDEND</v>
          </cell>
        </row>
        <row r="3085">
          <cell r="A3085" t="str">
            <v>MalaysiaNet Income</v>
          </cell>
        </row>
        <row r="3086">
          <cell r="A3086" t="str">
            <v>MalaysiaSubPart F</v>
          </cell>
        </row>
        <row r="3087">
          <cell r="A3087" t="str">
            <v>MalaysiaAssets</v>
          </cell>
        </row>
        <row r="3088">
          <cell r="A3088" t="str">
            <v>MalaysiaEnding Net Investment (ENI) incl Asia</v>
          </cell>
        </row>
        <row r="3089">
          <cell r="A3089" t="str">
            <v>MalaysiaANR YTD</v>
          </cell>
        </row>
        <row r="3090">
          <cell r="A3090" t="str">
            <v>MalaysiaASA YTD</v>
          </cell>
        </row>
        <row r="3091">
          <cell r="A3091" t="str">
            <v>MalaysiaANI YTD incl Asia - 5 pt</v>
          </cell>
        </row>
        <row r="3092">
          <cell r="A3092" t="str">
            <v>MalaysiaOff Balance Sheet Assets</v>
          </cell>
        </row>
        <row r="3093">
          <cell r="A3093" t="str">
            <v>MalaysiaJV Receivables</v>
          </cell>
        </row>
        <row r="3094">
          <cell r="A3094" t="str">
            <v>Malaysia30+ DELINQUENCY $</v>
          </cell>
        </row>
        <row r="3095">
          <cell r="A3095" t="str">
            <v>Malaysia90+ DELINQUENCY $</v>
          </cell>
        </row>
        <row r="3096">
          <cell r="A3096" t="str">
            <v>MalaysiaTemporary Staff</v>
          </cell>
        </row>
        <row r="3097">
          <cell r="A3097" t="str">
            <v>MalaysiaContractors</v>
          </cell>
        </row>
        <row r="3098">
          <cell r="A3098" t="str">
            <v>MalaysiaOutsourced to LCC</v>
          </cell>
        </row>
        <row r="3099">
          <cell r="A3099" t="str">
            <v>MalaysiaTotal Headcount</v>
          </cell>
        </row>
        <row r="3100">
          <cell r="A3100" t="str">
            <v>MalaysiaTotal Workforce</v>
          </cell>
        </row>
        <row r="3101">
          <cell r="A3101" t="str">
            <v>MalaysiaTotal Earned Revenue</v>
          </cell>
        </row>
        <row r="3102">
          <cell r="A3102" t="str">
            <v>MalaysiaOrdinary Gains - PreTax</v>
          </cell>
        </row>
        <row r="3103">
          <cell r="A3103" t="str">
            <v>MalaysiaOrdinary Gains - AfterTax</v>
          </cell>
        </row>
        <row r="3104">
          <cell r="A3104" t="str">
            <v>MalaysiaTotal Volume</v>
          </cell>
        </row>
        <row r="3105">
          <cell r="A3105" t="str">
            <v>MalaysiaTOTAL # ACTIVE ACCOUNTS</v>
          </cell>
        </row>
        <row r="3106">
          <cell r="A3106" t="str">
            <v>MexicoTOTAL FINANCING RECEIVABLES</v>
          </cell>
        </row>
        <row r="3107">
          <cell r="A3107" t="str">
            <v>MexicoRECEIVABLE RESERVES</v>
          </cell>
        </row>
        <row r="3108">
          <cell r="A3108" t="str">
            <v>MexicoCASH</v>
          </cell>
        </row>
        <row r="3109">
          <cell r="A3109" t="str">
            <v>MexicoINVESTMENT SECURITIES</v>
          </cell>
        </row>
        <row r="3110">
          <cell r="A3110" t="str">
            <v>MexicoINV IN NON CONSOL AFFILIATES</v>
          </cell>
        </row>
        <row r="3111">
          <cell r="A3111" t="str">
            <v>MexicoINVESTMENT IN JOINT VENTURE</v>
          </cell>
        </row>
        <row r="3112">
          <cell r="A3112" t="str">
            <v>MexicoALL OTHER RECEIVABLES (NON-FINANCING)</v>
          </cell>
        </row>
        <row r="3113">
          <cell r="A3113" t="str">
            <v>MexicoELTO (NET)</v>
          </cell>
        </row>
        <row r="3114">
          <cell r="A3114" t="str">
            <v>MexicoGOODWILL</v>
          </cell>
        </row>
        <row r="3115">
          <cell r="A3115" t="str">
            <v>MexicoOTHER ASSETS</v>
          </cell>
        </row>
        <row r="3116">
          <cell r="A3116" t="str">
            <v>MexicoACCOUNTS PAYABLE</v>
          </cell>
        </row>
        <row r="3117">
          <cell r="A3117" t="str">
            <v>MexicoDEFERRED INCOME TAXES</v>
          </cell>
        </row>
        <row r="3118">
          <cell r="A3118" t="str">
            <v>MexicoWRITE-OFF (MEMO)</v>
          </cell>
        </row>
        <row r="3119">
          <cell r="A3119" t="str">
            <v>MexicoINSURANCE RESERVES AND ANNUITY BENEFITS</v>
          </cell>
        </row>
        <row r="3120">
          <cell r="A3120" t="str">
            <v>MexicoALL OTHER NON DEBT LIABILITIES</v>
          </cell>
        </row>
        <row r="3121">
          <cell r="A3121" t="str">
            <v>MexicoMINORITY INTEREST (BS)</v>
          </cell>
        </row>
        <row r="3122">
          <cell r="A3122" t="str">
            <v>MexicoASIA PACIFIC ENI DIVIDEND</v>
          </cell>
        </row>
        <row r="3123">
          <cell r="A3123" t="str">
            <v>MexicoFINANCING INCOME</v>
          </cell>
        </row>
        <row r="3124">
          <cell r="A3124" t="str">
            <v>MexicoINSURANCE PREMIUM INCOME</v>
          </cell>
        </row>
        <row r="3125">
          <cell r="A3125" t="str">
            <v>MexicoINSURANCE INCOME (COMMISSIONS)</v>
          </cell>
        </row>
        <row r="3126">
          <cell r="A3126" t="str">
            <v>MexicoSUNDRY INCOME</v>
          </cell>
        </row>
        <row r="3127">
          <cell r="A3127" t="str">
            <v>MexicoINTEREST EXPENSE</v>
          </cell>
        </row>
        <row r="3128">
          <cell r="A3128" t="str">
            <v>MexicoINTEREST EXPENSE REDUCTIONS / BUS SHARING</v>
          </cell>
        </row>
        <row r="3129">
          <cell r="A3129" t="str">
            <v>MexicoALLOCATED COST OF PREFERRED EQUITY</v>
          </cell>
        </row>
        <row r="3130">
          <cell r="A3130" t="str">
            <v>MexicoSALARIES &amp; BENEFITS</v>
          </cell>
        </row>
        <row r="3131">
          <cell r="A3131" t="str">
            <v>MexicoLOSSES ON OTHER ASSETS</v>
          </cell>
        </row>
        <row r="3132">
          <cell r="A3132" t="str">
            <v>MexicoCOST OF GOODS SOLD</v>
          </cell>
        </row>
        <row r="3133">
          <cell r="A3133" t="str">
            <v>MexicoCOST OF GOODS SOLD - DISTRIBUTION</v>
          </cell>
        </row>
        <row r="3134">
          <cell r="A3134" t="str">
            <v>MexicoPOSTAGE</v>
          </cell>
        </row>
        <row r="3135">
          <cell r="A3135" t="str">
            <v>MexicoTELEPHONE</v>
          </cell>
        </row>
        <row r="3136">
          <cell r="A3136" t="str">
            <v>MexicoCUSTOMER SERVICE / COLLECTIONS</v>
          </cell>
        </row>
        <row r="3137">
          <cell r="A3137" t="str">
            <v>MexicoSTATIONARY - OFFICE SUPPLIES</v>
          </cell>
        </row>
        <row r="3138">
          <cell r="A3138" t="str">
            <v>MexicoT&amp;L</v>
          </cell>
        </row>
        <row r="3139">
          <cell r="A3139" t="str">
            <v>MexicoRENTAL - BLDG/FACILITIES</v>
          </cell>
        </row>
        <row r="3140">
          <cell r="A3140" t="str">
            <v>MexicoRENTAL - FURNITURE/EQUIP</v>
          </cell>
        </row>
        <row r="3141">
          <cell r="A3141" t="str">
            <v>MexicoRENTAL - COMPUTERS</v>
          </cell>
        </row>
        <row r="3142">
          <cell r="A3142" t="str">
            <v>MexicoLEASE IN - LEASE OUT</v>
          </cell>
        </row>
        <row r="3143">
          <cell r="A3143" t="str">
            <v>MexicoFURNITURE / EQUIPMENT / COMPUTER EXP</v>
          </cell>
        </row>
        <row r="3144">
          <cell r="A3144" t="str">
            <v>MexicoSOFTWARE EXPENSE</v>
          </cell>
        </row>
        <row r="3145">
          <cell r="A3145" t="str">
            <v>MexicoAMORTIZATION OF INTANGIBLES</v>
          </cell>
        </row>
        <row r="3146">
          <cell r="A3146" t="str">
            <v>MexicoELTO MAINTENANCE</v>
          </cell>
        </row>
        <row r="3147">
          <cell r="A3147" t="str">
            <v>MexicoELTO OTHER</v>
          </cell>
        </row>
        <row r="3148">
          <cell r="A3148" t="str">
            <v>MexicoLEGAL</v>
          </cell>
        </row>
        <row r="3149">
          <cell r="A3149" t="str">
            <v>MexicoADVERTISING</v>
          </cell>
        </row>
        <row r="3150">
          <cell r="A3150" t="str">
            <v>MexicoSALES PROMOTIONS</v>
          </cell>
        </row>
        <row r="3151">
          <cell r="A3151" t="str">
            <v>MexicoDIRECT MAIL</v>
          </cell>
        </row>
        <row r="3152">
          <cell r="A3152" t="str">
            <v>MexicoDATA PROCESSING</v>
          </cell>
        </row>
        <row r="3153">
          <cell r="A3153" t="str">
            <v>MexicoCONSULTING</v>
          </cell>
        </row>
        <row r="3154">
          <cell r="A3154" t="str">
            <v>MexicoTEMP SERVICES</v>
          </cell>
        </row>
        <row r="3155">
          <cell r="A3155" t="str">
            <v>MexicoGDC CHARGES</v>
          </cell>
        </row>
        <row r="3156">
          <cell r="A3156" t="str">
            <v>MexicoTRAINING AND EDUCATION</v>
          </cell>
        </row>
        <row r="3157">
          <cell r="A3157" t="str">
            <v>MexicoOUTSIDE SERVICES  AND FEES</v>
          </cell>
        </row>
        <row r="3158">
          <cell r="A3158" t="str">
            <v>MexicoSTATE, FOREIGN, LOCAL TAXES</v>
          </cell>
        </row>
        <row r="3159">
          <cell r="A3159" t="str">
            <v>MexicoS/L TAX - INSURANCE PREMIUMS</v>
          </cell>
        </row>
        <row r="3160">
          <cell r="A3160" t="str">
            <v>MexicoSATELLITE LEASE EXPENSE</v>
          </cell>
        </row>
        <row r="3161">
          <cell r="A3161" t="str">
            <v>MexicoBUSINESS SHARE EXPENSE</v>
          </cell>
        </row>
        <row r="3162">
          <cell r="A3162" t="str">
            <v>MexicoINSURANCE AFFILIATE EXPENSE</v>
          </cell>
        </row>
        <row r="3163">
          <cell r="A3163" t="str">
            <v>MexicoOTHER FACILITY EXPENSE</v>
          </cell>
        </row>
        <row r="3164">
          <cell r="A3164" t="str">
            <v>MexicoGROSS OP &amp; ADMIN BUS SHARE</v>
          </cell>
        </row>
        <row r="3165">
          <cell r="A3165" t="str">
            <v>MexicoOTHER EXPENSE</v>
          </cell>
        </row>
        <row r="3166">
          <cell r="A3166" t="str">
            <v>MexicoGECC INTERCO EXPENSES EXCL GECIS</v>
          </cell>
        </row>
        <row r="3167">
          <cell r="A3167" t="str">
            <v>MexicoGECIS INTERCO CHARGES</v>
          </cell>
        </row>
        <row r="3168">
          <cell r="A3168" t="str">
            <v>MexicoLOSS ADJUSTED EXPENSE</v>
          </cell>
        </row>
        <row r="3169">
          <cell r="A3169" t="str">
            <v>MexicoALL OTHER EXPENSES</v>
          </cell>
        </row>
        <row r="3170">
          <cell r="A3170" t="str">
            <v>MexicoASSESSMENTS</v>
          </cell>
        </row>
        <row r="3171">
          <cell r="A3171" t="str">
            <v>MexicoFAS 91</v>
          </cell>
        </row>
        <row r="3172">
          <cell r="A3172" t="str">
            <v>MexicoGOODWILL AMORTIZATION</v>
          </cell>
        </row>
        <row r="3173">
          <cell r="A3173" t="str">
            <v>MexicoDEPRECIATION EXPENSE</v>
          </cell>
        </row>
        <row r="3174">
          <cell r="A3174" t="str">
            <v>MexicoELTO AMORTIZATION</v>
          </cell>
        </row>
        <row r="3175">
          <cell r="A3175" t="str">
            <v>MexicoINSURANCE LOSSES AND BENEFITS</v>
          </cell>
        </row>
        <row r="3176">
          <cell r="A3176" t="str">
            <v>MexicoWRITE OFFS</v>
          </cell>
        </row>
        <row r="3177">
          <cell r="A3177" t="str">
            <v>MexicoRESERVE CHANGE</v>
          </cell>
        </row>
        <row r="3178">
          <cell r="A3178" t="str">
            <v>MexicoMINORITY INTEREST</v>
          </cell>
        </row>
        <row r="3179">
          <cell r="A3179" t="str">
            <v>MexicoINCOME TAXES</v>
          </cell>
        </row>
        <row r="3180">
          <cell r="A3180" t="str">
            <v>MexicoCUMULATIVE TRANSITION ADJUSTMENT</v>
          </cell>
        </row>
        <row r="3181">
          <cell r="A3181" t="str">
            <v>MexicoASIA PACIFIC NI DIVIDEND</v>
          </cell>
        </row>
        <row r="3182">
          <cell r="A3182" t="str">
            <v>MexicoNet Income</v>
          </cell>
        </row>
        <row r="3183">
          <cell r="A3183" t="str">
            <v>MexicoSubPart F</v>
          </cell>
        </row>
        <row r="3184">
          <cell r="A3184" t="str">
            <v>MexicoAssets</v>
          </cell>
        </row>
        <row r="3185">
          <cell r="A3185" t="str">
            <v>MexicoEnding Net Investment (ENI) incl Asia</v>
          </cell>
        </row>
        <row r="3186">
          <cell r="A3186" t="str">
            <v>MexicoANR YTD</v>
          </cell>
        </row>
        <row r="3187">
          <cell r="A3187" t="str">
            <v>MexicoASA YTD</v>
          </cell>
        </row>
        <row r="3188">
          <cell r="A3188" t="str">
            <v>MexicoANI YTD incl Asia - 5 pt</v>
          </cell>
        </row>
        <row r="3189">
          <cell r="A3189" t="str">
            <v>MexicoOff Balance Sheet Assets</v>
          </cell>
        </row>
        <row r="3190">
          <cell r="A3190" t="str">
            <v>MexicoJV Receivables</v>
          </cell>
        </row>
        <row r="3191">
          <cell r="A3191" t="str">
            <v>Mexico30+ DELINQUENCY $</v>
          </cell>
        </row>
        <row r="3192">
          <cell r="A3192" t="str">
            <v>Mexico90+ DELINQUENCY $</v>
          </cell>
        </row>
        <row r="3193">
          <cell r="A3193" t="str">
            <v>MexicoTemporary Staff</v>
          </cell>
        </row>
        <row r="3194">
          <cell r="A3194" t="str">
            <v>MexicoContractors</v>
          </cell>
        </row>
        <row r="3195">
          <cell r="A3195" t="str">
            <v>MexicoOutsourced to LCC</v>
          </cell>
        </row>
        <row r="3196">
          <cell r="A3196" t="str">
            <v>MexicoTotal Headcount</v>
          </cell>
        </row>
        <row r="3197">
          <cell r="A3197" t="str">
            <v>MexicoTotal Workforce</v>
          </cell>
        </row>
        <row r="3198">
          <cell r="A3198" t="str">
            <v>MexicoTotal Earned Revenue</v>
          </cell>
        </row>
        <row r="3199">
          <cell r="A3199" t="str">
            <v>MexicoOrdinary Gains - PreTax</v>
          </cell>
        </row>
        <row r="3200">
          <cell r="A3200" t="str">
            <v>MexicoOrdinary Gains - AfterTax</v>
          </cell>
        </row>
        <row r="3201">
          <cell r="A3201" t="str">
            <v>MexicoTotal Volume</v>
          </cell>
        </row>
        <row r="3202">
          <cell r="A3202" t="str">
            <v>MexicoTOTAL # ACTIVE ACCOUNTS</v>
          </cell>
        </row>
        <row r="3203">
          <cell r="A3203" t="str">
            <v>NorwayTOTAL FINANCING RECEIVABLES</v>
          </cell>
        </row>
        <row r="3204">
          <cell r="A3204" t="str">
            <v>NorwayRECEIVABLE RESERVES</v>
          </cell>
        </row>
        <row r="3205">
          <cell r="A3205" t="str">
            <v>NorwayCASH</v>
          </cell>
        </row>
        <row r="3206">
          <cell r="A3206" t="str">
            <v>NorwayINVESTMENT SECURITIES</v>
          </cell>
        </row>
        <row r="3207">
          <cell r="A3207" t="str">
            <v>NorwayINV IN NON CONSOL AFFILIATES</v>
          </cell>
        </row>
        <row r="3208">
          <cell r="A3208" t="str">
            <v>NorwayINVESTMENT IN JOINT VENTURE</v>
          </cell>
        </row>
        <row r="3209">
          <cell r="A3209" t="str">
            <v>NorwayALL OTHER RECEIVABLES (NON-FINANCING)</v>
          </cell>
        </row>
        <row r="3210">
          <cell r="A3210" t="str">
            <v>NorwayELTO (NET)</v>
          </cell>
        </row>
        <row r="3211">
          <cell r="A3211" t="str">
            <v>NorwayGOODWILL</v>
          </cell>
        </row>
        <row r="3212">
          <cell r="A3212" t="str">
            <v>NorwayOTHER ASSETS</v>
          </cell>
        </row>
        <row r="3213">
          <cell r="A3213" t="str">
            <v>NorwayACCOUNTS PAYABLE</v>
          </cell>
        </row>
        <row r="3214">
          <cell r="A3214" t="str">
            <v>NorwayDEFERRED INCOME TAXES</v>
          </cell>
        </row>
        <row r="3215">
          <cell r="A3215" t="str">
            <v>NorwayWRITE-OFF (MEMO)</v>
          </cell>
        </row>
        <row r="3216">
          <cell r="A3216" t="str">
            <v>NorwayINSURANCE RESERVES AND ANNUITY BENEFITS</v>
          </cell>
        </row>
        <row r="3217">
          <cell r="A3217" t="str">
            <v>NorwayALL OTHER NON DEBT LIABILITIES</v>
          </cell>
        </row>
        <row r="3218">
          <cell r="A3218" t="str">
            <v>NorwayMINORITY INTEREST (BS)</v>
          </cell>
        </row>
        <row r="3219">
          <cell r="A3219" t="str">
            <v>NorwayASIA PACIFIC ENI DIVIDEND</v>
          </cell>
        </row>
        <row r="3220">
          <cell r="A3220" t="str">
            <v>NorwayFINANCING INCOME</v>
          </cell>
        </row>
        <row r="3221">
          <cell r="A3221" t="str">
            <v>NorwayINSURANCE PREMIUM INCOME</v>
          </cell>
        </row>
        <row r="3222">
          <cell r="A3222" t="str">
            <v>NorwayINSURANCE INCOME (COMMISSIONS)</v>
          </cell>
        </row>
        <row r="3223">
          <cell r="A3223" t="str">
            <v>NorwaySUNDRY INCOME</v>
          </cell>
        </row>
        <row r="3224">
          <cell r="A3224" t="str">
            <v>NorwayINTEREST EXPENSE</v>
          </cell>
        </row>
        <row r="3225">
          <cell r="A3225" t="str">
            <v>NorwayINTEREST EXPENSE REDUCTIONS / BUS SHARING</v>
          </cell>
        </row>
        <row r="3226">
          <cell r="A3226" t="str">
            <v>NorwayALLOCATED COST OF PREFERRED EQUITY</v>
          </cell>
        </row>
        <row r="3227">
          <cell r="A3227" t="str">
            <v>NorwaySALARIES &amp; BENEFITS</v>
          </cell>
        </row>
        <row r="3228">
          <cell r="A3228" t="str">
            <v>NorwayLOSSES ON OTHER ASSETS</v>
          </cell>
        </row>
        <row r="3229">
          <cell r="A3229" t="str">
            <v>NorwayCOST OF GOODS SOLD</v>
          </cell>
        </row>
        <row r="3230">
          <cell r="A3230" t="str">
            <v>NorwayCOST OF GOODS SOLD - DISTRIBUTION</v>
          </cell>
        </row>
        <row r="3231">
          <cell r="A3231" t="str">
            <v>NorwayPOSTAGE</v>
          </cell>
        </row>
        <row r="3232">
          <cell r="A3232" t="str">
            <v>NorwayTELEPHONE</v>
          </cell>
        </row>
        <row r="3233">
          <cell r="A3233" t="str">
            <v>NorwayCUSTOMER SERVICE / COLLECTIONS</v>
          </cell>
        </row>
        <row r="3234">
          <cell r="A3234" t="str">
            <v>NorwaySTATIONARY - OFFICE SUPPLIES</v>
          </cell>
        </row>
        <row r="3235">
          <cell r="A3235" t="str">
            <v>NorwayT&amp;L</v>
          </cell>
        </row>
        <row r="3236">
          <cell r="A3236" t="str">
            <v>NorwayRENTAL - BLDG/FACILITIES</v>
          </cell>
        </row>
        <row r="3237">
          <cell r="A3237" t="str">
            <v>NorwayRENTAL - FURNITURE/EQUIP</v>
          </cell>
        </row>
        <row r="3238">
          <cell r="A3238" t="str">
            <v>NorwayRENTAL - COMPUTERS</v>
          </cell>
        </row>
        <row r="3239">
          <cell r="A3239" t="str">
            <v>NorwayLEASE IN - LEASE OUT</v>
          </cell>
        </row>
        <row r="3240">
          <cell r="A3240" t="str">
            <v>NorwayFURNITURE / EQUIPMENT / COMPUTER EXP</v>
          </cell>
        </row>
        <row r="3241">
          <cell r="A3241" t="str">
            <v>NorwaySOFTWARE EXPENSE</v>
          </cell>
        </row>
        <row r="3242">
          <cell r="A3242" t="str">
            <v>NorwayAMORTIZATION OF INTANGIBLES</v>
          </cell>
        </row>
        <row r="3243">
          <cell r="A3243" t="str">
            <v>NorwayELTO MAINTENANCE</v>
          </cell>
        </row>
        <row r="3244">
          <cell r="A3244" t="str">
            <v>NorwayELTO OTHER</v>
          </cell>
        </row>
        <row r="3245">
          <cell r="A3245" t="str">
            <v>NorwayLEGAL</v>
          </cell>
        </row>
        <row r="3246">
          <cell r="A3246" t="str">
            <v>NorwayADVERTISING</v>
          </cell>
        </row>
        <row r="3247">
          <cell r="A3247" t="str">
            <v>NorwaySALES PROMOTIONS</v>
          </cell>
        </row>
        <row r="3248">
          <cell r="A3248" t="str">
            <v>NorwayDIRECT MAIL</v>
          </cell>
        </row>
        <row r="3249">
          <cell r="A3249" t="str">
            <v>NorwayDATA PROCESSING</v>
          </cell>
        </row>
        <row r="3250">
          <cell r="A3250" t="str">
            <v>NorwayCONSULTING</v>
          </cell>
        </row>
        <row r="3251">
          <cell r="A3251" t="str">
            <v>NorwayTEMP SERVICES</v>
          </cell>
        </row>
        <row r="3252">
          <cell r="A3252" t="str">
            <v>NorwayGDC CHARGES</v>
          </cell>
        </row>
        <row r="3253">
          <cell r="A3253" t="str">
            <v>NorwayTRAINING AND EDUCATION</v>
          </cell>
        </row>
        <row r="3254">
          <cell r="A3254" t="str">
            <v>NorwayOUTSIDE SERVICES  AND FEES</v>
          </cell>
        </row>
        <row r="3255">
          <cell r="A3255" t="str">
            <v>NorwaySTATE, FOREIGN, LOCAL TAXES</v>
          </cell>
        </row>
        <row r="3256">
          <cell r="A3256" t="str">
            <v>NorwayS/L TAX - INSURANCE PREMIUMS</v>
          </cell>
        </row>
        <row r="3257">
          <cell r="A3257" t="str">
            <v>NorwaySATELLITE LEASE EXPENSE</v>
          </cell>
        </row>
        <row r="3258">
          <cell r="A3258" t="str">
            <v>NorwayBUSINESS SHARE EXPENSE</v>
          </cell>
        </row>
        <row r="3259">
          <cell r="A3259" t="str">
            <v>NorwayINSURANCE AFFILIATE EXPENSE</v>
          </cell>
        </row>
        <row r="3260">
          <cell r="A3260" t="str">
            <v>NorwayOTHER FACILITY EXPENSE</v>
          </cell>
        </row>
        <row r="3261">
          <cell r="A3261" t="str">
            <v>NorwayGROSS OP &amp; ADMIN BUS SHARE</v>
          </cell>
        </row>
        <row r="3262">
          <cell r="A3262" t="str">
            <v>NorwayOTHER EXPENSE</v>
          </cell>
        </row>
        <row r="3263">
          <cell r="A3263" t="str">
            <v>NorwayGECC INTERCO EXPENSES EXCL GECIS</v>
          </cell>
        </row>
        <row r="3264">
          <cell r="A3264" t="str">
            <v>NorwayGECIS INTERCO CHARGES</v>
          </cell>
        </row>
        <row r="3265">
          <cell r="A3265" t="str">
            <v>NorwayLOSS ADJUSTED EXPENSE</v>
          </cell>
        </row>
        <row r="3266">
          <cell r="A3266" t="str">
            <v>NorwayALL OTHER EXPENSES</v>
          </cell>
        </row>
        <row r="3267">
          <cell r="A3267" t="str">
            <v>NorwayASSESSMENTS</v>
          </cell>
        </row>
        <row r="3268">
          <cell r="A3268" t="str">
            <v>NorwayFAS 91</v>
          </cell>
        </row>
        <row r="3269">
          <cell r="A3269" t="str">
            <v>NorwayGOODWILL AMORTIZATION</v>
          </cell>
        </row>
        <row r="3270">
          <cell r="A3270" t="str">
            <v>NorwayDEPRECIATION EXPENSE</v>
          </cell>
        </row>
        <row r="3271">
          <cell r="A3271" t="str">
            <v>NorwayELTO AMORTIZATION</v>
          </cell>
        </row>
        <row r="3272">
          <cell r="A3272" t="str">
            <v>NorwayINSURANCE LOSSES AND BENEFITS</v>
          </cell>
        </row>
        <row r="3273">
          <cell r="A3273" t="str">
            <v>NorwayWRITE OFFS</v>
          </cell>
        </row>
        <row r="3274">
          <cell r="A3274" t="str">
            <v>NorwayRESERVE CHANGE</v>
          </cell>
        </row>
        <row r="3275">
          <cell r="A3275" t="str">
            <v>NorwayMINORITY INTEREST</v>
          </cell>
        </row>
        <row r="3276">
          <cell r="A3276" t="str">
            <v>NorwayINCOME TAXES</v>
          </cell>
        </row>
        <row r="3277">
          <cell r="A3277" t="str">
            <v>NorwayCUMULATIVE TRANSITION ADJUSTMENT</v>
          </cell>
        </row>
        <row r="3278">
          <cell r="A3278" t="str">
            <v>NorwayASIA PACIFIC NI DIVIDEND</v>
          </cell>
        </row>
        <row r="3279">
          <cell r="A3279" t="str">
            <v>NorwayNet Income</v>
          </cell>
        </row>
        <row r="3280">
          <cell r="A3280" t="str">
            <v>NorwaySubPart F</v>
          </cell>
        </row>
        <row r="3281">
          <cell r="A3281" t="str">
            <v>NorwayAssets</v>
          </cell>
        </row>
        <row r="3282">
          <cell r="A3282" t="str">
            <v>NorwayEnding Net Investment (ENI) incl Asia</v>
          </cell>
        </row>
        <row r="3283">
          <cell r="A3283" t="str">
            <v>NorwayANR YTD</v>
          </cell>
        </row>
        <row r="3284">
          <cell r="A3284" t="str">
            <v>NorwayASA YTD</v>
          </cell>
        </row>
        <row r="3285">
          <cell r="A3285" t="str">
            <v>NorwayANI YTD incl Asia - 5 pt</v>
          </cell>
        </row>
        <row r="3286">
          <cell r="A3286" t="str">
            <v>NorwayOff Balance Sheet Assets</v>
          </cell>
        </row>
        <row r="3287">
          <cell r="A3287" t="str">
            <v>NorwayJV Receivables</v>
          </cell>
        </row>
        <row r="3288">
          <cell r="A3288" t="str">
            <v>Norway30+ DELINQUENCY $</v>
          </cell>
        </row>
        <row r="3289">
          <cell r="A3289" t="str">
            <v>Norway90+ DELINQUENCY $</v>
          </cell>
        </row>
        <row r="3290">
          <cell r="A3290" t="str">
            <v>NorwayTemporary Staff</v>
          </cell>
        </row>
        <row r="3291">
          <cell r="A3291" t="str">
            <v>NorwayContractors</v>
          </cell>
        </row>
        <row r="3292">
          <cell r="A3292" t="str">
            <v>NorwayOutsourced to LCC</v>
          </cell>
        </row>
        <row r="3293">
          <cell r="A3293" t="str">
            <v>NorwayTotal Headcount</v>
          </cell>
        </row>
        <row r="3294">
          <cell r="A3294" t="str">
            <v>NorwayTotal Workforce</v>
          </cell>
        </row>
        <row r="3295">
          <cell r="A3295" t="str">
            <v>NorwayTotal Earned Revenue</v>
          </cell>
        </row>
        <row r="3296">
          <cell r="A3296" t="str">
            <v>NorwayOrdinary Gains - PreTax</v>
          </cell>
        </row>
        <row r="3297">
          <cell r="A3297" t="str">
            <v>NorwayOrdinary Gains - AfterTax</v>
          </cell>
        </row>
        <row r="3298">
          <cell r="A3298" t="str">
            <v>NorwayTotal Volume</v>
          </cell>
        </row>
        <row r="3299">
          <cell r="A3299" t="str">
            <v>NorwayTOTAL # ACTIVE ACCOUNTS</v>
          </cell>
        </row>
        <row r="3300">
          <cell r="A3300" t="str">
            <v>Poland GECBTOTAL FINANCING RECEIVABLES</v>
          </cell>
        </row>
        <row r="3301">
          <cell r="A3301" t="str">
            <v>Poland GECBRECEIVABLE RESERVES</v>
          </cell>
        </row>
        <row r="3302">
          <cell r="A3302" t="str">
            <v>Poland GECBCASH</v>
          </cell>
        </row>
        <row r="3303">
          <cell r="A3303" t="str">
            <v>Poland GECBINVESTMENT SECURITIES</v>
          </cell>
        </row>
        <row r="3304">
          <cell r="A3304" t="str">
            <v>Poland GECBINV IN NON CONSOL AFFILIATES</v>
          </cell>
        </row>
        <row r="3305">
          <cell r="A3305" t="str">
            <v>Poland GECBINVESTMENT IN JOINT VENTURE</v>
          </cell>
        </row>
        <row r="3306">
          <cell r="A3306" t="str">
            <v>Poland GECBALL OTHER RECEIVABLES (NON-FINANCING)</v>
          </cell>
        </row>
        <row r="3307">
          <cell r="A3307" t="str">
            <v>Poland GECBELTO (NET)</v>
          </cell>
        </row>
        <row r="3308">
          <cell r="A3308" t="str">
            <v>Poland GECBGOODWILL</v>
          </cell>
        </row>
        <row r="3309">
          <cell r="A3309" t="str">
            <v>Poland GECBOTHER ASSETS</v>
          </cell>
        </row>
        <row r="3310">
          <cell r="A3310" t="str">
            <v>Poland GECBACCOUNTS PAYABLE</v>
          </cell>
        </row>
        <row r="3311">
          <cell r="A3311" t="str">
            <v>Poland GECBDEFERRED INCOME TAXES</v>
          </cell>
        </row>
        <row r="3312">
          <cell r="A3312" t="str">
            <v>Poland GECBWRITE-OFF (MEMO)</v>
          </cell>
        </row>
        <row r="3313">
          <cell r="A3313" t="str">
            <v>Poland GECBINSURANCE RESERVES AND ANNUITY BENEFITS</v>
          </cell>
        </row>
        <row r="3314">
          <cell r="A3314" t="str">
            <v>Poland GECBALL OTHER NON DEBT LIABILITIES</v>
          </cell>
        </row>
        <row r="3315">
          <cell r="A3315" t="str">
            <v>Poland GECBMINORITY INTEREST (BS)</v>
          </cell>
        </row>
        <row r="3316">
          <cell r="A3316" t="str">
            <v>Poland GECBASIA PACIFIC ENI DIVIDEND</v>
          </cell>
        </row>
        <row r="3317">
          <cell r="A3317" t="str">
            <v>Poland GECBFINANCING INCOME</v>
          </cell>
        </row>
        <row r="3318">
          <cell r="A3318" t="str">
            <v>Poland GECBINSURANCE PREMIUM INCOME</v>
          </cell>
        </row>
        <row r="3319">
          <cell r="A3319" t="str">
            <v>Poland GECBINSURANCE INCOME (COMMISSIONS)</v>
          </cell>
        </row>
        <row r="3320">
          <cell r="A3320" t="str">
            <v>Poland GECBSUNDRY INCOME</v>
          </cell>
        </row>
        <row r="3321">
          <cell r="A3321" t="str">
            <v>Poland GECBINTEREST EXPENSE</v>
          </cell>
        </row>
        <row r="3322">
          <cell r="A3322" t="str">
            <v>Poland GECBINTEREST EXPENSE REDUCTIONS / BUS SHARING</v>
          </cell>
        </row>
        <row r="3323">
          <cell r="A3323" t="str">
            <v>Poland GECBALLOCATED COST OF PREFERRED EQUITY</v>
          </cell>
        </row>
        <row r="3324">
          <cell r="A3324" t="str">
            <v>Poland GECBSALARIES &amp; BENEFITS</v>
          </cell>
        </row>
        <row r="3325">
          <cell r="A3325" t="str">
            <v>Poland GECBLOSSES ON OTHER ASSETS</v>
          </cell>
        </row>
        <row r="3326">
          <cell r="A3326" t="str">
            <v>Poland GECBCOST OF GOODS SOLD</v>
          </cell>
        </row>
        <row r="3327">
          <cell r="A3327" t="str">
            <v>Poland GECBCOST OF GOODS SOLD - DISTRIBUTION</v>
          </cell>
        </row>
        <row r="3328">
          <cell r="A3328" t="str">
            <v>Poland GECBPOSTAGE</v>
          </cell>
        </row>
        <row r="3329">
          <cell r="A3329" t="str">
            <v>Poland GECBTELEPHONE</v>
          </cell>
        </row>
        <row r="3330">
          <cell r="A3330" t="str">
            <v>Poland GECBCUSTOMER SERVICE / COLLECTIONS</v>
          </cell>
        </row>
        <row r="3331">
          <cell r="A3331" t="str">
            <v>Poland GECBSTATIONARY - OFFICE SUPPLIES</v>
          </cell>
        </row>
        <row r="3332">
          <cell r="A3332" t="str">
            <v>Poland GECBT&amp;L</v>
          </cell>
        </row>
        <row r="3333">
          <cell r="A3333" t="str">
            <v>Poland GECBRENTAL - BLDG/FACILITIES</v>
          </cell>
        </row>
        <row r="3334">
          <cell r="A3334" t="str">
            <v>Poland GECBRENTAL - FURNITURE/EQUIP</v>
          </cell>
        </row>
        <row r="3335">
          <cell r="A3335" t="str">
            <v>Poland GECBRENTAL - COMPUTERS</v>
          </cell>
        </row>
        <row r="3336">
          <cell r="A3336" t="str">
            <v>Poland GECBLEASE IN - LEASE OUT</v>
          </cell>
        </row>
        <row r="3337">
          <cell r="A3337" t="str">
            <v>Poland GECBFURNITURE / EQUIPMENT / COMPUTER EXP</v>
          </cell>
        </row>
        <row r="3338">
          <cell r="A3338" t="str">
            <v>Poland GECBSOFTWARE EXPENSE</v>
          </cell>
        </row>
        <row r="3339">
          <cell r="A3339" t="str">
            <v>Poland GECBAMORTIZATION OF INTANGIBLES</v>
          </cell>
        </row>
        <row r="3340">
          <cell r="A3340" t="str">
            <v>Poland GECBELTO MAINTENANCE</v>
          </cell>
        </row>
        <row r="3341">
          <cell r="A3341" t="str">
            <v>Poland GECBELTO OTHER</v>
          </cell>
        </row>
        <row r="3342">
          <cell r="A3342" t="str">
            <v>Poland GECBLEGAL</v>
          </cell>
        </row>
        <row r="3343">
          <cell r="A3343" t="str">
            <v>Poland GECBADVERTISING</v>
          </cell>
        </row>
        <row r="3344">
          <cell r="A3344" t="str">
            <v>Poland GECBSALES PROMOTIONS</v>
          </cell>
        </row>
        <row r="3345">
          <cell r="A3345" t="str">
            <v>Poland GECBDIRECT MAIL</v>
          </cell>
        </row>
        <row r="3346">
          <cell r="A3346" t="str">
            <v>Poland GECBDATA PROCESSING</v>
          </cell>
        </row>
        <row r="3347">
          <cell r="A3347" t="str">
            <v>Poland GECBCONSULTING</v>
          </cell>
        </row>
        <row r="3348">
          <cell r="A3348" t="str">
            <v>Poland GECBTEMP SERVICES</v>
          </cell>
        </row>
        <row r="3349">
          <cell r="A3349" t="str">
            <v>Poland GECBGDC CHARGES</v>
          </cell>
        </row>
        <row r="3350">
          <cell r="A3350" t="str">
            <v>Poland GECBTRAINING AND EDUCATION</v>
          </cell>
        </row>
        <row r="3351">
          <cell r="A3351" t="str">
            <v>Poland GECBOUTSIDE SERVICES  AND FEES</v>
          </cell>
        </row>
        <row r="3352">
          <cell r="A3352" t="str">
            <v>Poland GECBSTATE, FOREIGN, LOCAL TAXES</v>
          </cell>
        </row>
        <row r="3353">
          <cell r="A3353" t="str">
            <v>Poland GECBS/L TAX - INSURANCE PREMIUMS</v>
          </cell>
        </row>
        <row r="3354">
          <cell r="A3354" t="str">
            <v>Poland GECBSATELLITE LEASE EXPENSE</v>
          </cell>
        </row>
        <row r="3355">
          <cell r="A3355" t="str">
            <v>Poland GECBBUSINESS SHARE EXPENSE</v>
          </cell>
        </row>
        <row r="3356">
          <cell r="A3356" t="str">
            <v>Poland GECBINSURANCE AFFILIATE EXPENSE</v>
          </cell>
        </row>
        <row r="3357">
          <cell r="A3357" t="str">
            <v>Poland GECBOTHER FACILITY EXPENSE</v>
          </cell>
        </row>
        <row r="3358">
          <cell r="A3358" t="str">
            <v>Poland GECBGROSS OP &amp; ADMIN BUS SHARE</v>
          </cell>
        </row>
        <row r="3359">
          <cell r="A3359" t="str">
            <v>Poland GECBOTHER EXPENSE</v>
          </cell>
        </row>
        <row r="3360">
          <cell r="A3360" t="str">
            <v>Poland GECBGECC INTERCO EXPENSES EXCL GECIS</v>
          </cell>
        </row>
        <row r="3361">
          <cell r="A3361" t="str">
            <v>Poland GECBGECIS INTERCO CHARGES</v>
          </cell>
        </row>
        <row r="3362">
          <cell r="A3362" t="str">
            <v>Poland GECBLOSS ADJUSTED EXPENSE</v>
          </cell>
        </row>
        <row r="3363">
          <cell r="A3363" t="str">
            <v>Poland GECBALL OTHER EXPENSES</v>
          </cell>
        </row>
        <row r="3364">
          <cell r="A3364" t="str">
            <v>Poland GECBASSESSMENTS</v>
          </cell>
        </row>
        <row r="3365">
          <cell r="A3365" t="str">
            <v>Poland GECBFAS 91</v>
          </cell>
        </row>
        <row r="3366">
          <cell r="A3366" t="str">
            <v>Poland GECBGOODWILL AMORTIZATION</v>
          </cell>
        </row>
        <row r="3367">
          <cell r="A3367" t="str">
            <v>Poland GECBDEPRECIATION EXPENSE</v>
          </cell>
        </row>
        <row r="3368">
          <cell r="A3368" t="str">
            <v>Poland GECBELTO AMORTIZATION</v>
          </cell>
        </row>
        <row r="3369">
          <cell r="A3369" t="str">
            <v>Poland GECBINSURANCE LOSSES AND BENEFITS</v>
          </cell>
        </row>
        <row r="3370">
          <cell r="A3370" t="str">
            <v>Poland GECBWRITE OFFS</v>
          </cell>
        </row>
        <row r="3371">
          <cell r="A3371" t="str">
            <v>Poland GECBRESERVE CHANGE</v>
          </cell>
        </row>
        <row r="3372">
          <cell r="A3372" t="str">
            <v>Poland GECBMINORITY INTEREST</v>
          </cell>
        </row>
        <row r="3373">
          <cell r="A3373" t="str">
            <v>Poland GECBINCOME TAXES</v>
          </cell>
        </row>
        <row r="3374">
          <cell r="A3374" t="str">
            <v>Poland GECBCUMULATIVE TRANSITION ADJUSTMENT</v>
          </cell>
        </row>
        <row r="3375">
          <cell r="A3375" t="str">
            <v>Poland GECBASIA PACIFIC NI DIVIDEND</v>
          </cell>
        </row>
        <row r="3376">
          <cell r="A3376" t="str">
            <v>Poland GECBNet Income</v>
          </cell>
        </row>
        <row r="3377">
          <cell r="A3377" t="str">
            <v>Poland GECBSubPart F</v>
          </cell>
        </row>
        <row r="3378">
          <cell r="A3378" t="str">
            <v>Poland GECBAssets</v>
          </cell>
        </row>
        <row r="3379">
          <cell r="A3379" t="str">
            <v>Poland GECBEnding Net Investment (ENI) incl Asia</v>
          </cell>
        </row>
        <row r="3380">
          <cell r="A3380" t="str">
            <v>Poland GECBANR YTD</v>
          </cell>
        </row>
        <row r="3381">
          <cell r="A3381" t="str">
            <v>Poland GECBASA YTD</v>
          </cell>
        </row>
        <row r="3382">
          <cell r="A3382" t="str">
            <v>Poland GECBANI YTD incl Asia - 5 pt</v>
          </cell>
        </row>
        <row r="3383">
          <cell r="A3383" t="str">
            <v>Poland GECBOff Balance Sheet Assets</v>
          </cell>
        </row>
        <row r="3384">
          <cell r="A3384" t="str">
            <v>Poland GECBJV Receivables</v>
          </cell>
        </row>
        <row r="3385">
          <cell r="A3385" t="str">
            <v>Poland GECB30+ DELINQUENCY $</v>
          </cell>
        </row>
        <row r="3386">
          <cell r="A3386" t="str">
            <v>Poland GECB90+ DELINQUENCY $</v>
          </cell>
        </row>
        <row r="3387">
          <cell r="A3387" t="str">
            <v>Poland GECBTemporary Staff</v>
          </cell>
        </row>
        <row r="3388">
          <cell r="A3388" t="str">
            <v>Poland GECBContractors</v>
          </cell>
        </row>
        <row r="3389">
          <cell r="A3389" t="str">
            <v>Poland GECBOutsourced to LCC</v>
          </cell>
        </row>
        <row r="3390">
          <cell r="A3390" t="str">
            <v>Poland GECBTotal Headcount</v>
          </cell>
        </row>
        <row r="3391">
          <cell r="A3391" t="str">
            <v>Poland GECBTotal Workforce</v>
          </cell>
        </row>
        <row r="3392">
          <cell r="A3392" t="str">
            <v>Poland GECBTotal Earned Revenue</v>
          </cell>
        </row>
        <row r="3393">
          <cell r="A3393" t="str">
            <v>Poland GECBOrdinary Gains - PreTax</v>
          </cell>
        </row>
        <row r="3394">
          <cell r="A3394" t="str">
            <v>Poland GECBOrdinary Gains - AfterTax</v>
          </cell>
        </row>
        <row r="3395">
          <cell r="A3395" t="str">
            <v>Poland GECBTotal Volume</v>
          </cell>
        </row>
        <row r="3396">
          <cell r="A3396" t="str">
            <v>Poland GECBTOTAL # ACTIVE ACCOUNTS</v>
          </cell>
        </row>
        <row r="3397">
          <cell r="A3397" t="str">
            <v>Poland CorporateTOTAL FINANCING RECEIVABLES</v>
          </cell>
        </row>
        <row r="3398">
          <cell r="A3398" t="str">
            <v>Poland CorporateRECEIVABLE RESERVES</v>
          </cell>
        </row>
        <row r="3399">
          <cell r="A3399" t="str">
            <v>Poland CorporateCASH</v>
          </cell>
        </row>
        <row r="3400">
          <cell r="A3400" t="str">
            <v>Poland CorporateINVESTMENT SECURITIES</v>
          </cell>
        </row>
        <row r="3401">
          <cell r="A3401" t="str">
            <v>Poland CorporateINV IN NON CONSOL AFFILIATES</v>
          </cell>
        </row>
        <row r="3402">
          <cell r="A3402" t="str">
            <v>Poland CorporateINVESTMENT IN JOINT VENTURE</v>
          </cell>
        </row>
        <row r="3403">
          <cell r="A3403" t="str">
            <v>Poland CorporateALL OTHER RECEIVABLES (NON-FINANCING)</v>
          </cell>
        </row>
        <row r="3404">
          <cell r="A3404" t="str">
            <v>Poland CorporateELTO (NET)</v>
          </cell>
        </row>
        <row r="3405">
          <cell r="A3405" t="str">
            <v>Poland CorporateGOODWILL</v>
          </cell>
        </row>
        <row r="3406">
          <cell r="A3406" t="str">
            <v>Poland CorporateOTHER ASSETS</v>
          </cell>
        </row>
        <row r="3407">
          <cell r="A3407" t="str">
            <v>Poland CorporateACCOUNTS PAYABLE</v>
          </cell>
        </row>
        <row r="3408">
          <cell r="A3408" t="str">
            <v>Poland CorporateDEFERRED INCOME TAXES</v>
          </cell>
        </row>
        <row r="3409">
          <cell r="A3409" t="str">
            <v>Poland CorporateWRITE-OFF (MEMO)</v>
          </cell>
        </row>
        <row r="3410">
          <cell r="A3410" t="str">
            <v>Poland CorporateINSURANCE RESERVES AND ANNUITY BENEFITS</v>
          </cell>
        </row>
        <row r="3411">
          <cell r="A3411" t="str">
            <v>Poland CorporateALL OTHER NON DEBT LIABILITIES</v>
          </cell>
        </row>
        <row r="3412">
          <cell r="A3412" t="str">
            <v>Poland CorporateMINORITY INTEREST (BS)</v>
          </cell>
        </row>
        <row r="3413">
          <cell r="A3413" t="str">
            <v>Poland CorporateASIA PACIFIC ENI DIVIDEND</v>
          </cell>
        </row>
        <row r="3414">
          <cell r="A3414" t="str">
            <v>Poland CorporateFINANCING INCOME</v>
          </cell>
        </row>
        <row r="3415">
          <cell r="A3415" t="str">
            <v>Poland CorporateINSURANCE PREMIUM INCOME</v>
          </cell>
        </row>
        <row r="3416">
          <cell r="A3416" t="str">
            <v>Poland CorporateINSURANCE INCOME (COMMISSIONS)</v>
          </cell>
        </row>
        <row r="3417">
          <cell r="A3417" t="str">
            <v>Poland CorporateSUNDRY INCOME</v>
          </cell>
        </row>
        <row r="3418">
          <cell r="A3418" t="str">
            <v>Poland CorporateINTEREST EXPENSE</v>
          </cell>
        </row>
        <row r="3419">
          <cell r="A3419" t="str">
            <v>Poland CorporateINTEREST EXPENSE REDUCTIONS / BUS SHARING</v>
          </cell>
        </row>
        <row r="3420">
          <cell r="A3420" t="str">
            <v>Poland CorporateALLOCATED COST OF PREFERRED EQUITY</v>
          </cell>
        </row>
        <row r="3421">
          <cell r="A3421" t="str">
            <v>Poland CorporateSALARIES &amp; BENEFITS</v>
          </cell>
        </row>
        <row r="3422">
          <cell r="A3422" t="str">
            <v>Poland CorporateLOSSES ON OTHER ASSETS</v>
          </cell>
        </row>
        <row r="3423">
          <cell r="A3423" t="str">
            <v>Poland CorporateCOST OF GOODS SOLD</v>
          </cell>
        </row>
        <row r="3424">
          <cell r="A3424" t="str">
            <v>Poland CorporateCOST OF GOODS SOLD - DISTRIBUTION</v>
          </cell>
        </row>
        <row r="3425">
          <cell r="A3425" t="str">
            <v>Poland CorporatePOSTAGE</v>
          </cell>
        </row>
        <row r="3426">
          <cell r="A3426" t="str">
            <v>Poland CorporateTELEPHONE</v>
          </cell>
        </row>
        <row r="3427">
          <cell r="A3427" t="str">
            <v>Poland CorporateCUSTOMER SERVICE / COLLECTIONS</v>
          </cell>
        </row>
        <row r="3428">
          <cell r="A3428" t="str">
            <v>Poland CorporateSTATIONARY - OFFICE SUPPLIES</v>
          </cell>
        </row>
        <row r="3429">
          <cell r="A3429" t="str">
            <v>Poland CorporateT&amp;L</v>
          </cell>
        </row>
        <row r="3430">
          <cell r="A3430" t="str">
            <v>Poland CorporateRENTAL - BLDG/FACILITIES</v>
          </cell>
        </row>
        <row r="3431">
          <cell r="A3431" t="str">
            <v>Poland CorporateRENTAL - FURNITURE/EQUIP</v>
          </cell>
        </row>
        <row r="3432">
          <cell r="A3432" t="str">
            <v>Poland CorporateRENTAL - COMPUTERS</v>
          </cell>
        </row>
        <row r="3433">
          <cell r="A3433" t="str">
            <v>Poland CorporateLEASE IN - LEASE OUT</v>
          </cell>
        </row>
        <row r="3434">
          <cell r="A3434" t="str">
            <v>Poland CorporateFURNITURE / EQUIPMENT / COMPUTER EXP</v>
          </cell>
        </row>
        <row r="3435">
          <cell r="A3435" t="str">
            <v>Poland CorporateSOFTWARE EXPENSE</v>
          </cell>
        </row>
        <row r="3436">
          <cell r="A3436" t="str">
            <v>Poland CorporateAMORTIZATION OF INTANGIBLES</v>
          </cell>
        </row>
        <row r="3437">
          <cell r="A3437" t="str">
            <v>Poland CorporateELTO MAINTENANCE</v>
          </cell>
        </row>
        <row r="3438">
          <cell r="A3438" t="str">
            <v>Poland CorporateELTO OTHER</v>
          </cell>
        </row>
        <row r="3439">
          <cell r="A3439" t="str">
            <v>Poland CorporateLEGAL</v>
          </cell>
        </row>
        <row r="3440">
          <cell r="A3440" t="str">
            <v>Poland CorporateADVERTISING</v>
          </cell>
        </row>
        <row r="3441">
          <cell r="A3441" t="str">
            <v>Poland CorporateSALES PROMOTIONS</v>
          </cell>
        </row>
        <row r="3442">
          <cell r="A3442" t="str">
            <v>Poland CorporateDIRECT MAIL</v>
          </cell>
        </row>
        <row r="3443">
          <cell r="A3443" t="str">
            <v>Poland CorporateDATA PROCESSING</v>
          </cell>
        </row>
        <row r="3444">
          <cell r="A3444" t="str">
            <v>Poland CorporateCONSULTING</v>
          </cell>
        </row>
        <row r="3445">
          <cell r="A3445" t="str">
            <v>Poland CorporateTEMP SERVICES</v>
          </cell>
        </row>
        <row r="3446">
          <cell r="A3446" t="str">
            <v>Poland CorporateGDC CHARGES</v>
          </cell>
        </row>
        <row r="3447">
          <cell r="A3447" t="str">
            <v>Poland CorporateTRAINING AND EDUCATION</v>
          </cell>
        </row>
        <row r="3448">
          <cell r="A3448" t="str">
            <v>Poland CorporateOUTSIDE SERVICES  AND FEES</v>
          </cell>
        </row>
        <row r="3449">
          <cell r="A3449" t="str">
            <v>Poland CorporateSTATE, FOREIGN, LOCAL TAXES</v>
          </cell>
        </row>
        <row r="3450">
          <cell r="A3450" t="str">
            <v>Poland CorporateS/L TAX - INSURANCE PREMIUMS</v>
          </cell>
        </row>
        <row r="3451">
          <cell r="A3451" t="str">
            <v>Poland CorporateSATELLITE LEASE EXPENSE</v>
          </cell>
        </row>
        <row r="3452">
          <cell r="A3452" t="str">
            <v>Poland CorporateBUSINESS SHARE EXPENSE</v>
          </cell>
        </row>
        <row r="3453">
          <cell r="A3453" t="str">
            <v>Poland CorporateINSURANCE AFFILIATE EXPENSE</v>
          </cell>
        </row>
        <row r="3454">
          <cell r="A3454" t="str">
            <v>Poland CorporateOTHER FACILITY EXPENSE</v>
          </cell>
        </row>
        <row r="3455">
          <cell r="A3455" t="str">
            <v>Poland CorporateGROSS OP &amp; ADMIN BUS SHARE</v>
          </cell>
        </row>
        <row r="3456">
          <cell r="A3456" t="str">
            <v>Poland CorporateOTHER EXPENSE</v>
          </cell>
        </row>
        <row r="3457">
          <cell r="A3457" t="str">
            <v>Poland CorporateGECC INTERCO EXPENSES EXCL GECIS</v>
          </cell>
        </row>
        <row r="3458">
          <cell r="A3458" t="str">
            <v>Poland CorporateGECIS INTERCO CHARGES</v>
          </cell>
        </row>
        <row r="3459">
          <cell r="A3459" t="str">
            <v>Poland CorporateLOSS ADJUSTED EXPENSE</v>
          </cell>
        </row>
        <row r="3460">
          <cell r="A3460" t="str">
            <v>Poland CorporateALL OTHER EXPENSES</v>
          </cell>
        </row>
        <row r="3461">
          <cell r="A3461" t="str">
            <v>Poland CorporateASSESSMENTS</v>
          </cell>
        </row>
        <row r="3462">
          <cell r="A3462" t="str">
            <v>Poland CorporateFAS 91</v>
          </cell>
        </row>
        <row r="3463">
          <cell r="A3463" t="str">
            <v>Poland CorporateGOODWILL AMORTIZATION</v>
          </cell>
        </row>
        <row r="3464">
          <cell r="A3464" t="str">
            <v>Poland CorporateDEPRECIATION EXPENSE</v>
          </cell>
        </row>
        <row r="3465">
          <cell r="A3465" t="str">
            <v>Poland CorporateELTO AMORTIZATION</v>
          </cell>
        </row>
        <row r="3466">
          <cell r="A3466" t="str">
            <v>Poland CorporateINSURANCE LOSSES AND BENEFITS</v>
          </cell>
        </row>
        <row r="3467">
          <cell r="A3467" t="str">
            <v>Poland CorporateWRITE OFFS</v>
          </cell>
        </row>
        <row r="3468">
          <cell r="A3468" t="str">
            <v>Poland CorporateRESERVE CHANGE</v>
          </cell>
        </row>
        <row r="3469">
          <cell r="A3469" t="str">
            <v>Poland CorporateMINORITY INTEREST</v>
          </cell>
        </row>
        <row r="3470">
          <cell r="A3470" t="str">
            <v>Poland CorporateINCOME TAXES</v>
          </cell>
        </row>
        <row r="3471">
          <cell r="A3471" t="str">
            <v>Poland CorporateCUMULATIVE TRANSITION ADJUSTMENT</v>
          </cell>
        </row>
        <row r="3472">
          <cell r="A3472" t="str">
            <v>Poland CorporateASIA PACIFIC NI DIVIDEND</v>
          </cell>
        </row>
        <row r="3473">
          <cell r="A3473" t="str">
            <v>Poland CorporateNet Income</v>
          </cell>
        </row>
        <row r="3474">
          <cell r="A3474" t="str">
            <v>Poland CorporateSubPart F</v>
          </cell>
        </row>
        <row r="3475">
          <cell r="A3475" t="str">
            <v>Poland CorporateAssets</v>
          </cell>
        </row>
        <row r="3476">
          <cell r="A3476" t="str">
            <v>Poland CorporateEnding Net Investment (ENI) incl Asia</v>
          </cell>
        </row>
        <row r="3477">
          <cell r="A3477" t="str">
            <v>Poland CorporateANR YTD</v>
          </cell>
        </row>
        <row r="3478">
          <cell r="A3478" t="str">
            <v>Poland CorporateASA YTD</v>
          </cell>
        </row>
        <row r="3479">
          <cell r="A3479" t="str">
            <v>Poland CorporateANI YTD incl Asia - 5 pt</v>
          </cell>
        </row>
        <row r="3480">
          <cell r="A3480" t="str">
            <v>Poland CorporateOff Balance Sheet Assets</v>
          </cell>
        </row>
        <row r="3481">
          <cell r="A3481" t="str">
            <v>Poland CorporateJV Receivables</v>
          </cell>
        </row>
        <row r="3482">
          <cell r="A3482" t="str">
            <v>Poland Corporate30+ DELINQUENCY $</v>
          </cell>
        </row>
        <row r="3483">
          <cell r="A3483" t="str">
            <v>Poland Corporate90+ DELINQUENCY $</v>
          </cell>
        </row>
        <row r="3484">
          <cell r="A3484" t="str">
            <v>Poland CorporateTemporary Staff</v>
          </cell>
        </row>
        <row r="3485">
          <cell r="A3485" t="str">
            <v>Poland CorporateContractors</v>
          </cell>
        </row>
        <row r="3486">
          <cell r="A3486" t="str">
            <v>Poland CorporateOutsourced to LCC</v>
          </cell>
        </row>
        <row r="3487">
          <cell r="A3487" t="str">
            <v>Poland CorporateTotal Headcount</v>
          </cell>
        </row>
        <row r="3488">
          <cell r="A3488" t="str">
            <v>Poland CorporateTotal Workforce</v>
          </cell>
        </row>
        <row r="3489">
          <cell r="A3489" t="str">
            <v>Poland CorporateTotal Earned Revenue</v>
          </cell>
        </row>
        <row r="3490">
          <cell r="A3490" t="str">
            <v>Poland CorporateOrdinary Gains - PreTax</v>
          </cell>
        </row>
        <row r="3491">
          <cell r="A3491" t="str">
            <v>Poland CorporateOrdinary Gains - AfterTax</v>
          </cell>
        </row>
        <row r="3492">
          <cell r="A3492" t="str">
            <v>Poland CorporateTotal Volume</v>
          </cell>
        </row>
        <row r="3493">
          <cell r="A3493" t="str">
            <v>Poland CorporateTOTAL # ACTIVE ACCOUNTS</v>
          </cell>
        </row>
        <row r="3494">
          <cell r="A3494" t="str">
            <v>Project ProphetTOTAL FINANCING RECEIVABLES</v>
          </cell>
        </row>
        <row r="3495">
          <cell r="A3495" t="str">
            <v>Project ProphetRECEIVABLE RESERVES</v>
          </cell>
        </row>
        <row r="3496">
          <cell r="A3496" t="str">
            <v>Project ProphetCASH</v>
          </cell>
        </row>
        <row r="3497">
          <cell r="A3497" t="str">
            <v>Project ProphetINVESTMENT SECURITIES</v>
          </cell>
        </row>
        <row r="3498">
          <cell r="A3498" t="str">
            <v>Project ProphetINV IN NON CONSOL AFFILIATES</v>
          </cell>
        </row>
        <row r="3499">
          <cell r="A3499" t="str">
            <v>Project ProphetINVESTMENT IN JOINT VENTURE</v>
          </cell>
        </row>
        <row r="3500">
          <cell r="A3500" t="str">
            <v>Project ProphetALL OTHER RECEIVABLES (NON-FINANCING)</v>
          </cell>
        </row>
        <row r="3501">
          <cell r="A3501" t="str">
            <v>Project ProphetELTO (NET)</v>
          </cell>
        </row>
        <row r="3502">
          <cell r="A3502" t="str">
            <v>Project ProphetGOODWILL</v>
          </cell>
        </row>
        <row r="3503">
          <cell r="A3503" t="str">
            <v>Project ProphetOTHER ASSETS</v>
          </cell>
        </row>
        <row r="3504">
          <cell r="A3504" t="str">
            <v>Project ProphetACCOUNTS PAYABLE</v>
          </cell>
        </row>
        <row r="3505">
          <cell r="A3505" t="str">
            <v>Project ProphetDEFERRED INCOME TAXES</v>
          </cell>
        </row>
        <row r="3506">
          <cell r="A3506" t="str">
            <v>Project ProphetWRITE-OFF (MEMO)</v>
          </cell>
        </row>
        <row r="3507">
          <cell r="A3507" t="str">
            <v>Project ProphetINSURANCE RESERVES AND ANNUITY BENEFITS</v>
          </cell>
        </row>
        <row r="3508">
          <cell r="A3508" t="str">
            <v>Project ProphetALL OTHER NON DEBT LIABILITIES</v>
          </cell>
        </row>
        <row r="3509">
          <cell r="A3509" t="str">
            <v>Project ProphetMINORITY INTEREST (BS)</v>
          </cell>
        </row>
        <row r="3510">
          <cell r="A3510" t="str">
            <v>Project ProphetASIA PACIFIC ENI DIVIDEND</v>
          </cell>
        </row>
        <row r="3511">
          <cell r="A3511" t="str">
            <v>Project ProphetFINANCING INCOME</v>
          </cell>
        </row>
        <row r="3512">
          <cell r="A3512" t="str">
            <v>Project ProphetINSURANCE PREMIUM INCOME</v>
          </cell>
        </row>
        <row r="3513">
          <cell r="A3513" t="str">
            <v>Project ProphetINSURANCE INCOME (COMMISSIONS)</v>
          </cell>
        </row>
        <row r="3514">
          <cell r="A3514" t="str">
            <v>Project ProphetSUNDRY INCOME</v>
          </cell>
        </row>
        <row r="3515">
          <cell r="A3515" t="str">
            <v>Project ProphetINTEREST EXPENSE</v>
          </cell>
        </row>
        <row r="3516">
          <cell r="A3516" t="str">
            <v>Project ProphetINTEREST EXPENSE REDUCTIONS / BUS SHARING</v>
          </cell>
        </row>
        <row r="3517">
          <cell r="A3517" t="str">
            <v>Project ProphetALLOCATED COST OF PREFERRED EQUITY</v>
          </cell>
        </row>
        <row r="3518">
          <cell r="A3518" t="str">
            <v>Project ProphetSALARIES &amp; BENEFITS</v>
          </cell>
        </row>
        <row r="3519">
          <cell r="A3519" t="str">
            <v>Project ProphetLOSSES ON OTHER ASSETS</v>
          </cell>
        </row>
        <row r="3520">
          <cell r="A3520" t="str">
            <v>Project ProphetCOST OF GOODS SOLD</v>
          </cell>
        </row>
        <row r="3521">
          <cell r="A3521" t="str">
            <v>Project ProphetCOST OF GOODS SOLD - DISTRIBUTION</v>
          </cell>
        </row>
        <row r="3522">
          <cell r="A3522" t="str">
            <v>Project ProphetPOSTAGE</v>
          </cell>
        </row>
        <row r="3523">
          <cell r="A3523" t="str">
            <v>Project ProphetTELEPHONE</v>
          </cell>
        </row>
        <row r="3524">
          <cell r="A3524" t="str">
            <v>Project ProphetCUSTOMER SERVICE / COLLECTIONS</v>
          </cell>
        </row>
        <row r="3525">
          <cell r="A3525" t="str">
            <v>Project ProphetSTATIONARY - OFFICE SUPPLIES</v>
          </cell>
        </row>
        <row r="3526">
          <cell r="A3526" t="str">
            <v>Project ProphetT&amp;L</v>
          </cell>
        </row>
        <row r="3527">
          <cell r="A3527" t="str">
            <v>Project ProphetRENTAL - BLDG/FACILITIES</v>
          </cell>
        </row>
        <row r="3528">
          <cell r="A3528" t="str">
            <v>Project ProphetRENTAL - FURNITURE/EQUIP</v>
          </cell>
        </row>
        <row r="3529">
          <cell r="A3529" t="str">
            <v>Project ProphetRENTAL - COMPUTERS</v>
          </cell>
        </row>
        <row r="3530">
          <cell r="A3530" t="str">
            <v>Project ProphetLEASE IN - LEASE OUT</v>
          </cell>
        </row>
        <row r="3531">
          <cell r="A3531" t="str">
            <v>Project ProphetFURNITURE / EQUIPMENT / COMPUTER EXP</v>
          </cell>
        </row>
        <row r="3532">
          <cell r="A3532" t="str">
            <v>Project ProphetSOFTWARE EXPENSE</v>
          </cell>
        </row>
        <row r="3533">
          <cell r="A3533" t="str">
            <v>Project ProphetAMORTIZATION OF INTANGIBLES</v>
          </cell>
        </row>
        <row r="3534">
          <cell r="A3534" t="str">
            <v>Project ProphetELTO MAINTENANCE</v>
          </cell>
        </row>
        <row r="3535">
          <cell r="A3535" t="str">
            <v>Project ProphetELTO OTHER</v>
          </cell>
        </row>
        <row r="3536">
          <cell r="A3536" t="str">
            <v>Project ProphetLEGAL</v>
          </cell>
        </row>
        <row r="3537">
          <cell r="A3537" t="str">
            <v>Project ProphetADVERTISING</v>
          </cell>
        </row>
        <row r="3538">
          <cell r="A3538" t="str">
            <v>Project ProphetSALES PROMOTIONS</v>
          </cell>
        </row>
        <row r="3539">
          <cell r="A3539" t="str">
            <v>Project ProphetDIRECT MAIL</v>
          </cell>
        </row>
        <row r="3540">
          <cell r="A3540" t="str">
            <v>Project ProphetDATA PROCESSING</v>
          </cell>
        </row>
        <row r="3541">
          <cell r="A3541" t="str">
            <v>Project ProphetCONSULTING</v>
          </cell>
        </row>
        <row r="3542">
          <cell r="A3542" t="str">
            <v>Project ProphetTEMP SERVICES</v>
          </cell>
        </row>
        <row r="3543">
          <cell r="A3543" t="str">
            <v>Project ProphetGDC CHARGES</v>
          </cell>
        </row>
        <row r="3544">
          <cell r="A3544" t="str">
            <v>Project ProphetTRAINING AND EDUCATION</v>
          </cell>
        </row>
        <row r="3545">
          <cell r="A3545" t="str">
            <v>Project ProphetOUTSIDE SERVICES  AND FEES</v>
          </cell>
        </row>
        <row r="3546">
          <cell r="A3546" t="str">
            <v>Project ProphetSTATE, FOREIGN, LOCAL TAXES</v>
          </cell>
        </row>
        <row r="3547">
          <cell r="A3547" t="str">
            <v>Project ProphetS/L TAX - INSURANCE PREMIUMS</v>
          </cell>
        </row>
        <row r="3548">
          <cell r="A3548" t="str">
            <v>Project ProphetSATELLITE LEASE EXPENSE</v>
          </cell>
        </row>
        <row r="3549">
          <cell r="A3549" t="str">
            <v>Project ProphetBUSINESS SHARE EXPENSE</v>
          </cell>
        </row>
        <row r="3550">
          <cell r="A3550" t="str">
            <v>Project ProphetINSURANCE AFFILIATE EXPENSE</v>
          </cell>
        </row>
        <row r="3551">
          <cell r="A3551" t="str">
            <v>Project ProphetOTHER FACILITY EXPENSE</v>
          </cell>
        </row>
        <row r="3552">
          <cell r="A3552" t="str">
            <v>Project ProphetGROSS OP &amp; ADMIN BUS SHARE</v>
          </cell>
        </row>
        <row r="3553">
          <cell r="A3553" t="str">
            <v>Project ProphetOTHER EXPENSE</v>
          </cell>
        </row>
        <row r="3554">
          <cell r="A3554" t="str">
            <v>Project ProphetGECC INTERCO EXPENSES EXCL GECIS</v>
          </cell>
        </row>
        <row r="3555">
          <cell r="A3555" t="str">
            <v>Project ProphetGECIS INTERCO CHARGES</v>
          </cell>
        </row>
        <row r="3556">
          <cell r="A3556" t="str">
            <v>Project ProphetLOSS ADJUSTED EXPENSE</v>
          </cell>
        </row>
        <row r="3557">
          <cell r="A3557" t="str">
            <v>Project ProphetALL OTHER EXPENSES</v>
          </cell>
        </row>
        <row r="3558">
          <cell r="A3558" t="str">
            <v>Project ProphetASSESSMENTS</v>
          </cell>
        </row>
        <row r="3559">
          <cell r="A3559" t="str">
            <v>Project ProphetFAS 91</v>
          </cell>
        </row>
        <row r="3560">
          <cell r="A3560" t="str">
            <v>Project ProphetGOODWILL AMORTIZATION</v>
          </cell>
        </row>
        <row r="3561">
          <cell r="A3561" t="str">
            <v>Project ProphetDEPRECIATION EXPENSE</v>
          </cell>
        </row>
        <row r="3562">
          <cell r="A3562" t="str">
            <v>Project ProphetELTO AMORTIZATION</v>
          </cell>
        </row>
        <row r="3563">
          <cell r="A3563" t="str">
            <v>Project ProphetINSURANCE LOSSES AND BENEFITS</v>
          </cell>
        </row>
        <row r="3564">
          <cell r="A3564" t="str">
            <v>Project ProphetWRITE OFFS</v>
          </cell>
        </row>
        <row r="3565">
          <cell r="A3565" t="str">
            <v>Project ProphetRESERVE CHANGE</v>
          </cell>
        </row>
        <row r="3566">
          <cell r="A3566" t="str">
            <v>Project ProphetMINORITY INTEREST</v>
          </cell>
        </row>
        <row r="3567">
          <cell r="A3567" t="str">
            <v>Project ProphetINCOME TAXES</v>
          </cell>
        </row>
        <row r="3568">
          <cell r="A3568" t="str">
            <v>Project ProphetCUMULATIVE TRANSITION ADJUSTMENT</v>
          </cell>
        </row>
        <row r="3569">
          <cell r="A3569" t="str">
            <v>Project ProphetASIA PACIFIC NI DIVIDEND</v>
          </cell>
        </row>
        <row r="3570">
          <cell r="A3570" t="str">
            <v>Project ProphetNet Income</v>
          </cell>
        </row>
        <row r="3571">
          <cell r="A3571" t="str">
            <v>Project ProphetSubPart F</v>
          </cell>
        </row>
        <row r="3572">
          <cell r="A3572" t="str">
            <v>Project ProphetAssets</v>
          </cell>
        </row>
        <row r="3573">
          <cell r="A3573" t="str">
            <v>Project ProphetEnding Net Investment (ENI) incl Asia</v>
          </cell>
        </row>
        <row r="3574">
          <cell r="A3574" t="str">
            <v>Project ProphetANR YTD</v>
          </cell>
        </row>
        <row r="3575">
          <cell r="A3575" t="str">
            <v>Project ProphetASA YTD</v>
          </cell>
        </row>
        <row r="3576">
          <cell r="A3576" t="str">
            <v>Project ProphetANI YTD incl Asia - 5 pt</v>
          </cell>
        </row>
        <row r="3577">
          <cell r="A3577" t="str">
            <v>Project ProphetOff Balance Sheet Assets</v>
          </cell>
        </row>
        <row r="3578">
          <cell r="A3578" t="str">
            <v>Project ProphetJV Receivables</v>
          </cell>
        </row>
        <row r="3579">
          <cell r="A3579" t="str">
            <v>Project Prophet30+ DELINQUENCY $</v>
          </cell>
        </row>
        <row r="3580">
          <cell r="A3580" t="str">
            <v>Project Prophet90+ DELINQUENCY $</v>
          </cell>
        </row>
        <row r="3581">
          <cell r="A3581" t="str">
            <v>Project ProphetTemporary Staff</v>
          </cell>
        </row>
        <row r="3582">
          <cell r="A3582" t="str">
            <v>Project ProphetContractors</v>
          </cell>
        </row>
        <row r="3583">
          <cell r="A3583" t="str">
            <v>Project ProphetOutsourced to LCC</v>
          </cell>
        </row>
        <row r="3584">
          <cell r="A3584" t="str">
            <v>Project ProphetTotal Headcount</v>
          </cell>
        </row>
        <row r="3585">
          <cell r="A3585" t="str">
            <v>Project ProphetTotal Workforce</v>
          </cell>
        </row>
        <row r="3586">
          <cell r="A3586" t="str">
            <v>Project ProphetTotal Earned Revenue</v>
          </cell>
        </row>
        <row r="3587">
          <cell r="A3587" t="str">
            <v>Project ProphetOrdinary Gains - PreTax</v>
          </cell>
        </row>
        <row r="3588">
          <cell r="A3588" t="str">
            <v>Project ProphetOrdinary Gains - AfterTax</v>
          </cell>
        </row>
        <row r="3589">
          <cell r="A3589" t="str">
            <v>Project ProphetTotal Volume</v>
          </cell>
        </row>
        <row r="3590">
          <cell r="A3590" t="str">
            <v>Project ProphetTOTAL # ACTIVE ACCOUNTS</v>
          </cell>
        </row>
        <row r="3591">
          <cell r="A3591" t="str">
            <v>RomaniaTOTAL FINANCING RECEIVABLES</v>
          </cell>
        </row>
        <row r="3592">
          <cell r="A3592" t="str">
            <v>RomaniaRECEIVABLE RESERVES</v>
          </cell>
        </row>
        <row r="3593">
          <cell r="A3593" t="str">
            <v>RomaniaCASH</v>
          </cell>
        </row>
        <row r="3594">
          <cell r="A3594" t="str">
            <v>RomaniaINVESTMENT SECURITIES</v>
          </cell>
        </row>
        <row r="3595">
          <cell r="A3595" t="str">
            <v>RomaniaINV IN NON CONSOL AFFILIATES</v>
          </cell>
        </row>
        <row r="3596">
          <cell r="A3596" t="str">
            <v>RomaniaINVESTMENT IN JOINT VENTURE</v>
          </cell>
        </row>
        <row r="3597">
          <cell r="A3597" t="str">
            <v>RomaniaALL OTHER RECEIVABLES (NON-FINANCING)</v>
          </cell>
        </row>
        <row r="3598">
          <cell r="A3598" t="str">
            <v>RomaniaELTO (NET)</v>
          </cell>
        </row>
        <row r="3599">
          <cell r="A3599" t="str">
            <v>RomaniaGOODWILL</v>
          </cell>
        </row>
        <row r="3600">
          <cell r="A3600" t="str">
            <v>RomaniaOTHER ASSETS</v>
          </cell>
        </row>
        <row r="3601">
          <cell r="A3601" t="str">
            <v>RomaniaACCOUNTS PAYABLE</v>
          </cell>
        </row>
        <row r="3602">
          <cell r="A3602" t="str">
            <v>RomaniaDEFERRED INCOME TAXES</v>
          </cell>
        </row>
        <row r="3603">
          <cell r="A3603" t="str">
            <v>RomaniaWRITE-OFF (MEMO)</v>
          </cell>
        </row>
        <row r="3604">
          <cell r="A3604" t="str">
            <v>RomaniaINSURANCE RESERVES AND ANNUITY BENEFITS</v>
          </cell>
        </row>
        <row r="3605">
          <cell r="A3605" t="str">
            <v>RomaniaALL OTHER NON DEBT LIABILITIES</v>
          </cell>
        </row>
        <row r="3606">
          <cell r="A3606" t="str">
            <v>RomaniaMINORITY INTEREST (BS)</v>
          </cell>
        </row>
        <row r="3607">
          <cell r="A3607" t="str">
            <v>RomaniaASIA PACIFIC ENI DIVIDEND</v>
          </cell>
        </row>
        <row r="3608">
          <cell r="A3608" t="str">
            <v>RomaniaFINANCING INCOME</v>
          </cell>
        </row>
        <row r="3609">
          <cell r="A3609" t="str">
            <v>RomaniaINSURANCE PREMIUM INCOME</v>
          </cell>
        </row>
        <row r="3610">
          <cell r="A3610" t="str">
            <v>RomaniaINSURANCE INCOME (COMMISSIONS)</v>
          </cell>
        </row>
        <row r="3611">
          <cell r="A3611" t="str">
            <v>RomaniaSUNDRY INCOME</v>
          </cell>
        </row>
        <row r="3612">
          <cell r="A3612" t="str">
            <v>RomaniaINTEREST EXPENSE</v>
          </cell>
        </row>
        <row r="3613">
          <cell r="A3613" t="str">
            <v>RomaniaINTEREST EXPENSE REDUCTIONS / BUS SHARING</v>
          </cell>
        </row>
        <row r="3614">
          <cell r="A3614" t="str">
            <v>RomaniaALLOCATED COST OF PREFERRED EQUITY</v>
          </cell>
        </row>
        <row r="3615">
          <cell r="A3615" t="str">
            <v>RomaniaSALARIES &amp; BENEFITS</v>
          </cell>
        </row>
        <row r="3616">
          <cell r="A3616" t="str">
            <v>RomaniaLOSSES ON OTHER ASSETS</v>
          </cell>
        </row>
        <row r="3617">
          <cell r="A3617" t="str">
            <v>RomaniaCOST OF GOODS SOLD</v>
          </cell>
        </row>
        <row r="3618">
          <cell r="A3618" t="str">
            <v>RomaniaCOST OF GOODS SOLD - DISTRIBUTION</v>
          </cell>
        </row>
        <row r="3619">
          <cell r="A3619" t="str">
            <v>RomaniaPOSTAGE</v>
          </cell>
        </row>
        <row r="3620">
          <cell r="A3620" t="str">
            <v>RomaniaTELEPHONE</v>
          </cell>
        </row>
        <row r="3621">
          <cell r="A3621" t="str">
            <v>RomaniaCUSTOMER SERVICE / COLLECTIONS</v>
          </cell>
        </row>
        <row r="3622">
          <cell r="A3622" t="str">
            <v>RomaniaSTATIONARY - OFFICE SUPPLIES</v>
          </cell>
        </row>
        <row r="3623">
          <cell r="A3623" t="str">
            <v>RomaniaT&amp;L</v>
          </cell>
        </row>
        <row r="3624">
          <cell r="A3624" t="str">
            <v>RomaniaRENTAL - BLDG/FACILITIES</v>
          </cell>
        </row>
        <row r="3625">
          <cell r="A3625" t="str">
            <v>RomaniaRENTAL - FURNITURE/EQUIP</v>
          </cell>
        </row>
        <row r="3626">
          <cell r="A3626" t="str">
            <v>RomaniaRENTAL - COMPUTERS</v>
          </cell>
        </row>
        <row r="3627">
          <cell r="A3627" t="str">
            <v>RomaniaLEASE IN - LEASE OUT</v>
          </cell>
        </row>
        <row r="3628">
          <cell r="A3628" t="str">
            <v>RomaniaFURNITURE / EQUIPMENT / COMPUTER EXP</v>
          </cell>
        </row>
        <row r="3629">
          <cell r="A3629" t="str">
            <v>RomaniaSOFTWARE EXPENSE</v>
          </cell>
        </row>
        <row r="3630">
          <cell r="A3630" t="str">
            <v>RomaniaAMORTIZATION OF INTANGIBLES</v>
          </cell>
        </row>
        <row r="3631">
          <cell r="A3631" t="str">
            <v>RomaniaELTO MAINTENANCE</v>
          </cell>
        </row>
        <row r="3632">
          <cell r="A3632" t="str">
            <v>RomaniaELTO OTHER</v>
          </cell>
        </row>
        <row r="3633">
          <cell r="A3633" t="str">
            <v>RomaniaLEGAL</v>
          </cell>
        </row>
        <row r="3634">
          <cell r="A3634" t="str">
            <v>RomaniaADVERTISING</v>
          </cell>
        </row>
        <row r="3635">
          <cell r="A3635" t="str">
            <v>RomaniaSALES PROMOTIONS</v>
          </cell>
        </row>
        <row r="3636">
          <cell r="A3636" t="str">
            <v>RomaniaDIRECT MAIL</v>
          </cell>
        </row>
        <row r="3637">
          <cell r="A3637" t="str">
            <v>RomaniaDATA PROCESSING</v>
          </cell>
        </row>
        <row r="3638">
          <cell r="A3638" t="str">
            <v>RomaniaCONSULTING</v>
          </cell>
        </row>
        <row r="3639">
          <cell r="A3639" t="str">
            <v>RomaniaTEMP SERVICES</v>
          </cell>
        </row>
        <row r="3640">
          <cell r="A3640" t="str">
            <v>RomaniaGDC CHARGES</v>
          </cell>
        </row>
        <row r="3641">
          <cell r="A3641" t="str">
            <v>RomaniaTRAINING AND EDUCATION</v>
          </cell>
        </row>
        <row r="3642">
          <cell r="A3642" t="str">
            <v>RomaniaOUTSIDE SERVICES  AND FEES</v>
          </cell>
        </row>
        <row r="3643">
          <cell r="A3643" t="str">
            <v>RomaniaSTATE, FOREIGN, LOCAL TAXES</v>
          </cell>
        </row>
        <row r="3644">
          <cell r="A3644" t="str">
            <v>RomaniaS/L TAX - INSURANCE PREMIUMS</v>
          </cell>
        </row>
        <row r="3645">
          <cell r="A3645" t="str">
            <v>RomaniaSATELLITE LEASE EXPENSE</v>
          </cell>
        </row>
        <row r="3646">
          <cell r="A3646" t="str">
            <v>RomaniaBUSINESS SHARE EXPENSE</v>
          </cell>
        </row>
        <row r="3647">
          <cell r="A3647" t="str">
            <v>RomaniaINSURANCE AFFILIATE EXPENSE</v>
          </cell>
        </row>
        <row r="3648">
          <cell r="A3648" t="str">
            <v>RomaniaOTHER FACILITY EXPENSE</v>
          </cell>
        </row>
        <row r="3649">
          <cell r="A3649" t="str">
            <v>RomaniaGROSS OP &amp; ADMIN BUS SHARE</v>
          </cell>
        </row>
        <row r="3650">
          <cell r="A3650" t="str">
            <v>RomaniaOTHER EXPENSE</v>
          </cell>
        </row>
        <row r="3651">
          <cell r="A3651" t="str">
            <v>RomaniaGECC INTERCO EXPENSES EXCL GECIS</v>
          </cell>
        </row>
        <row r="3652">
          <cell r="A3652" t="str">
            <v>RomaniaGECIS INTERCO CHARGES</v>
          </cell>
        </row>
        <row r="3653">
          <cell r="A3653" t="str">
            <v>RomaniaLOSS ADJUSTED EXPENSE</v>
          </cell>
        </row>
        <row r="3654">
          <cell r="A3654" t="str">
            <v>RomaniaALL OTHER EXPENSES</v>
          </cell>
        </row>
        <row r="3655">
          <cell r="A3655" t="str">
            <v>RomaniaASSESSMENTS</v>
          </cell>
        </row>
        <row r="3656">
          <cell r="A3656" t="str">
            <v>RomaniaFAS 91</v>
          </cell>
        </row>
        <row r="3657">
          <cell r="A3657" t="str">
            <v>RomaniaGOODWILL AMORTIZATION</v>
          </cell>
        </row>
        <row r="3658">
          <cell r="A3658" t="str">
            <v>RomaniaDEPRECIATION EXPENSE</v>
          </cell>
        </row>
        <row r="3659">
          <cell r="A3659" t="str">
            <v>RomaniaELTO AMORTIZATION</v>
          </cell>
        </row>
        <row r="3660">
          <cell r="A3660" t="str">
            <v>RomaniaINSURANCE LOSSES AND BENEFITS</v>
          </cell>
        </row>
        <row r="3661">
          <cell r="A3661" t="str">
            <v>RomaniaWRITE OFFS</v>
          </cell>
        </row>
        <row r="3662">
          <cell r="A3662" t="str">
            <v>RomaniaRESERVE CHANGE</v>
          </cell>
        </row>
        <row r="3663">
          <cell r="A3663" t="str">
            <v>RomaniaMINORITY INTEREST</v>
          </cell>
        </row>
        <row r="3664">
          <cell r="A3664" t="str">
            <v>RomaniaINCOME TAXES</v>
          </cell>
        </row>
        <row r="3665">
          <cell r="A3665" t="str">
            <v>RomaniaCUMULATIVE TRANSITION ADJUSTMENT</v>
          </cell>
        </row>
        <row r="3666">
          <cell r="A3666" t="str">
            <v>RomaniaASIA PACIFIC NI DIVIDEND</v>
          </cell>
        </row>
        <row r="3667">
          <cell r="A3667" t="str">
            <v>RomaniaNet Income</v>
          </cell>
        </row>
        <row r="3668">
          <cell r="A3668" t="str">
            <v>RomaniaSubPart F</v>
          </cell>
        </row>
        <row r="3669">
          <cell r="A3669" t="str">
            <v>RomaniaAssets</v>
          </cell>
        </row>
        <row r="3670">
          <cell r="A3670" t="str">
            <v>RomaniaEnding Net Investment (ENI) incl Asia</v>
          </cell>
        </row>
        <row r="3671">
          <cell r="A3671" t="str">
            <v>RomaniaANR YTD</v>
          </cell>
        </row>
        <row r="3672">
          <cell r="A3672" t="str">
            <v>RomaniaASA YTD</v>
          </cell>
        </row>
        <row r="3673">
          <cell r="A3673" t="str">
            <v>RomaniaANI YTD incl Asia - 5 pt</v>
          </cell>
        </row>
        <row r="3674">
          <cell r="A3674" t="str">
            <v>RomaniaOff Balance Sheet Assets</v>
          </cell>
        </row>
        <row r="3675">
          <cell r="A3675" t="str">
            <v>RomaniaJV Receivables</v>
          </cell>
        </row>
        <row r="3676">
          <cell r="A3676" t="str">
            <v>Romania30+ DELINQUENCY $</v>
          </cell>
        </row>
        <row r="3677">
          <cell r="A3677" t="str">
            <v>Romania90+ DELINQUENCY $</v>
          </cell>
        </row>
        <row r="3678">
          <cell r="A3678" t="str">
            <v>RomaniaTemporary Staff</v>
          </cell>
        </row>
        <row r="3679">
          <cell r="A3679" t="str">
            <v>RomaniaContractors</v>
          </cell>
        </row>
        <row r="3680">
          <cell r="A3680" t="str">
            <v>RomaniaOutsourced to LCC</v>
          </cell>
        </row>
        <row r="3681">
          <cell r="A3681" t="str">
            <v>RomaniaTotal Headcount</v>
          </cell>
        </row>
        <row r="3682">
          <cell r="A3682" t="str">
            <v>RomaniaTotal Workforce</v>
          </cell>
        </row>
        <row r="3683">
          <cell r="A3683" t="str">
            <v>RomaniaTotal Earned Revenue</v>
          </cell>
        </row>
        <row r="3684">
          <cell r="A3684" t="str">
            <v>RomaniaOrdinary Gains - PreTax</v>
          </cell>
        </row>
        <row r="3685">
          <cell r="A3685" t="str">
            <v>RomaniaOrdinary Gains - AfterTax</v>
          </cell>
        </row>
        <row r="3686">
          <cell r="A3686" t="str">
            <v>RomaniaTotal Volume</v>
          </cell>
        </row>
        <row r="3687">
          <cell r="A3687" t="str">
            <v>RomaniaTOTAL # ACTIVE ACCOUNTS</v>
          </cell>
        </row>
        <row r="3688">
          <cell r="A3688" t="str">
            <v>SBI India JVTOTAL FINANCING RECEIVABLES</v>
          </cell>
        </row>
        <row r="3689">
          <cell r="A3689" t="str">
            <v>SBI India JVRECEIVABLE RESERVES</v>
          </cell>
        </row>
        <row r="3690">
          <cell r="A3690" t="str">
            <v>SBI India JVCASH</v>
          </cell>
        </row>
        <row r="3691">
          <cell r="A3691" t="str">
            <v>SBI India JVINVESTMENT SECURITIES</v>
          </cell>
        </row>
        <row r="3692">
          <cell r="A3692" t="str">
            <v>SBI India JVINV IN NON CONSOL AFFILIATES</v>
          </cell>
        </row>
        <row r="3693">
          <cell r="A3693" t="str">
            <v>SBI India JVINVESTMENT IN JOINT VENTURE</v>
          </cell>
        </row>
        <row r="3694">
          <cell r="A3694" t="str">
            <v>SBI India JVALL OTHER RECEIVABLES (NON-FINANCING)</v>
          </cell>
        </row>
        <row r="3695">
          <cell r="A3695" t="str">
            <v>SBI India JVELTO (NET)</v>
          </cell>
        </row>
        <row r="3696">
          <cell r="A3696" t="str">
            <v>SBI India JVGOODWILL</v>
          </cell>
        </row>
        <row r="3697">
          <cell r="A3697" t="str">
            <v>SBI India JVOTHER ASSETS</v>
          </cell>
        </row>
        <row r="3698">
          <cell r="A3698" t="str">
            <v>SBI India JVACCOUNTS PAYABLE</v>
          </cell>
        </row>
        <row r="3699">
          <cell r="A3699" t="str">
            <v>SBI India JVDEFERRED INCOME TAXES</v>
          </cell>
        </row>
        <row r="3700">
          <cell r="A3700" t="str">
            <v>SBI India JVWRITE-OFF (MEMO)</v>
          </cell>
        </row>
        <row r="3701">
          <cell r="A3701" t="str">
            <v>SBI India JVINSURANCE RESERVES AND ANNUITY BENEFITS</v>
          </cell>
        </row>
        <row r="3702">
          <cell r="A3702" t="str">
            <v>SBI India JVALL OTHER NON DEBT LIABILITIES</v>
          </cell>
        </row>
        <row r="3703">
          <cell r="A3703" t="str">
            <v>SBI India JVMINORITY INTEREST (BS)</v>
          </cell>
        </row>
        <row r="3704">
          <cell r="A3704" t="str">
            <v>SBI India JVASIA PACIFIC ENI DIVIDEND</v>
          </cell>
        </row>
        <row r="3705">
          <cell r="A3705" t="str">
            <v>SBI India JVFINANCING INCOME</v>
          </cell>
        </row>
        <row r="3706">
          <cell r="A3706" t="str">
            <v>SBI India JVINSURANCE PREMIUM INCOME</v>
          </cell>
        </row>
        <row r="3707">
          <cell r="A3707" t="str">
            <v>SBI India JVINSURANCE INCOME (COMMISSIONS)</v>
          </cell>
        </row>
        <row r="3708">
          <cell r="A3708" t="str">
            <v>SBI India JVSUNDRY INCOME</v>
          </cell>
        </row>
        <row r="3709">
          <cell r="A3709" t="str">
            <v>SBI India JVINTEREST EXPENSE</v>
          </cell>
        </row>
        <row r="3710">
          <cell r="A3710" t="str">
            <v>SBI India JVINTEREST EXPENSE REDUCTIONS / BUS SHARING</v>
          </cell>
        </row>
        <row r="3711">
          <cell r="A3711" t="str">
            <v>SBI India JVALLOCATED COST OF PREFERRED EQUITY</v>
          </cell>
        </row>
        <row r="3712">
          <cell r="A3712" t="str">
            <v>SBI India JVSALARIES &amp; BENEFITS</v>
          </cell>
        </row>
        <row r="3713">
          <cell r="A3713" t="str">
            <v>SBI India JVLOSSES ON OTHER ASSETS</v>
          </cell>
        </row>
        <row r="3714">
          <cell r="A3714" t="str">
            <v>SBI India JVCOST OF GOODS SOLD</v>
          </cell>
        </row>
        <row r="3715">
          <cell r="A3715" t="str">
            <v>SBI India JVCOST OF GOODS SOLD - DISTRIBUTION</v>
          </cell>
        </row>
        <row r="3716">
          <cell r="A3716" t="str">
            <v>SBI India JVPOSTAGE</v>
          </cell>
        </row>
        <row r="3717">
          <cell r="A3717" t="str">
            <v>SBI India JVTELEPHONE</v>
          </cell>
        </row>
        <row r="3718">
          <cell r="A3718" t="str">
            <v>SBI India JVCUSTOMER SERVICE / COLLECTIONS</v>
          </cell>
        </row>
        <row r="3719">
          <cell r="A3719" t="str">
            <v>SBI India JVSTATIONARY - OFFICE SUPPLIES</v>
          </cell>
        </row>
        <row r="3720">
          <cell r="A3720" t="str">
            <v>SBI India JVT&amp;L</v>
          </cell>
        </row>
        <row r="3721">
          <cell r="A3721" t="str">
            <v>SBI India JVRENTAL - BLDG/FACILITIES</v>
          </cell>
        </row>
        <row r="3722">
          <cell r="A3722" t="str">
            <v>SBI India JVRENTAL - FURNITURE/EQUIP</v>
          </cell>
        </row>
        <row r="3723">
          <cell r="A3723" t="str">
            <v>SBI India JVRENTAL - COMPUTERS</v>
          </cell>
        </row>
        <row r="3724">
          <cell r="A3724" t="str">
            <v>SBI India JVLEASE IN - LEASE OUT</v>
          </cell>
        </row>
        <row r="3725">
          <cell r="A3725" t="str">
            <v>SBI India JVFURNITURE / EQUIPMENT / COMPUTER EXP</v>
          </cell>
        </row>
        <row r="3726">
          <cell r="A3726" t="str">
            <v>SBI India JVSOFTWARE EXPENSE</v>
          </cell>
        </row>
        <row r="3727">
          <cell r="A3727" t="str">
            <v>SBI India JVAMORTIZATION OF INTANGIBLES</v>
          </cell>
        </row>
        <row r="3728">
          <cell r="A3728" t="str">
            <v>SBI India JVELTO MAINTENANCE</v>
          </cell>
        </row>
        <row r="3729">
          <cell r="A3729" t="str">
            <v>SBI India JVELTO OTHER</v>
          </cell>
        </row>
        <row r="3730">
          <cell r="A3730" t="str">
            <v>SBI India JVLEGAL</v>
          </cell>
        </row>
        <row r="3731">
          <cell r="A3731" t="str">
            <v>SBI India JVADVERTISING</v>
          </cell>
        </row>
        <row r="3732">
          <cell r="A3732" t="str">
            <v>SBI India JVSALES PROMOTIONS</v>
          </cell>
        </row>
        <row r="3733">
          <cell r="A3733" t="str">
            <v>SBI India JVDIRECT MAIL</v>
          </cell>
        </row>
        <row r="3734">
          <cell r="A3734" t="str">
            <v>SBI India JVDATA PROCESSING</v>
          </cell>
        </row>
        <row r="3735">
          <cell r="A3735" t="str">
            <v>SBI India JVCONSULTING</v>
          </cell>
        </row>
        <row r="3736">
          <cell r="A3736" t="str">
            <v>SBI India JVTEMP SERVICES</v>
          </cell>
        </row>
        <row r="3737">
          <cell r="A3737" t="str">
            <v>SBI India JVGDC CHARGES</v>
          </cell>
        </row>
        <row r="3738">
          <cell r="A3738" t="str">
            <v>SBI India JVTRAINING AND EDUCATION</v>
          </cell>
        </row>
        <row r="3739">
          <cell r="A3739" t="str">
            <v>SBI India JVOUTSIDE SERVICES  AND FEES</v>
          </cell>
        </row>
        <row r="3740">
          <cell r="A3740" t="str">
            <v>SBI India JVSTATE, FOREIGN, LOCAL TAXES</v>
          </cell>
        </row>
        <row r="3741">
          <cell r="A3741" t="str">
            <v>SBI India JVS/L TAX - INSURANCE PREMIUMS</v>
          </cell>
        </row>
        <row r="3742">
          <cell r="A3742" t="str">
            <v>SBI India JVSATELLITE LEASE EXPENSE</v>
          </cell>
        </row>
        <row r="3743">
          <cell r="A3743" t="str">
            <v>SBI India JVBUSINESS SHARE EXPENSE</v>
          </cell>
        </row>
        <row r="3744">
          <cell r="A3744" t="str">
            <v>SBI India JVINSURANCE AFFILIATE EXPENSE</v>
          </cell>
        </row>
        <row r="3745">
          <cell r="A3745" t="str">
            <v>SBI India JVOTHER FACILITY EXPENSE</v>
          </cell>
        </row>
        <row r="3746">
          <cell r="A3746" t="str">
            <v>SBI India JVGROSS OP &amp; ADMIN BUS SHARE</v>
          </cell>
        </row>
        <row r="3747">
          <cell r="A3747" t="str">
            <v>SBI India JVOTHER EXPENSE</v>
          </cell>
        </row>
        <row r="3748">
          <cell r="A3748" t="str">
            <v>SBI India JVGECC INTERCO EXPENSES EXCL GECIS</v>
          </cell>
        </row>
        <row r="3749">
          <cell r="A3749" t="str">
            <v>SBI India JVGECIS INTERCO CHARGES</v>
          </cell>
        </row>
        <row r="3750">
          <cell r="A3750" t="str">
            <v>SBI India JVLOSS ADJUSTED EXPENSE</v>
          </cell>
        </row>
        <row r="3751">
          <cell r="A3751" t="str">
            <v>SBI India JVALL OTHER EXPENSES</v>
          </cell>
        </row>
        <row r="3752">
          <cell r="A3752" t="str">
            <v>SBI India JVASSESSMENTS</v>
          </cell>
        </row>
        <row r="3753">
          <cell r="A3753" t="str">
            <v>SBI India JVFAS 91</v>
          </cell>
        </row>
        <row r="3754">
          <cell r="A3754" t="str">
            <v>SBI India JVGOODWILL AMORTIZATION</v>
          </cell>
        </row>
        <row r="3755">
          <cell r="A3755" t="str">
            <v>SBI India JVDEPRECIATION EXPENSE</v>
          </cell>
        </row>
        <row r="3756">
          <cell r="A3756" t="str">
            <v>SBI India JVELTO AMORTIZATION</v>
          </cell>
        </row>
        <row r="3757">
          <cell r="A3757" t="str">
            <v>SBI India JVINSURANCE LOSSES AND BENEFITS</v>
          </cell>
        </row>
        <row r="3758">
          <cell r="A3758" t="str">
            <v>SBI India JVWRITE OFFS</v>
          </cell>
        </row>
        <row r="3759">
          <cell r="A3759" t="str">
            <v>SBI India JVRESERVE CHANGE</v>
          </cell>
        </row>
        <row r="3760">
          <cell r="A3760" t="str">
            <v>SBI India JVMINORITY INTEREST</v>
          </cell>
        </row>
        <row r="3761">
          <cell r="A3761" t="str">
            <v>SBI India JVINCOME TAXES</v>
          </cell>
        </row>
        <row r="3762">
          <cell r="A3762" t="str">
            <v>SBI India JVCUMULATIVE TRANSITION ADJUSTMENT</v>
          </cell>
        </row>
        <row r="3763">
          <cell r="A3763" t="str">
            <v>SBI India JVASIA PACIFIC NI DIVIDEND</v>
          </cell>
        </row>
        <row r="3764">
          <cell r="A3764" t="str">
            <v>SBI India JVNet Income</v>
          </cell>
        </row>
        <row r="3765">
          <cell r="A3765" t="str">
            <v>SBI India JVSubPart F</v>
          </cell>
        </row>
        <row r="3766">
          <cell r="A3766" t="str">
            <v>SBI India JVAssets</v>
          </cell>
        </row>
        <row r="3767">
          <cell r="A3767" t="str">
            <v>SBI India JVEnding Net Investment (ENI) incl Asia</v>
          </cell>
        </row>
        <row r="3768">
          <cell r="A3768" t="str">
            <v>SBI India JVANR YTD</v>
          </cell>
        </row>
        <row r="3769">
          <cell r="A3769" t="str">
            <v>SBI India JVASA YTD</v>
          </cell>
        </row>
        <row r="3770">
          <cell r="A3770" t="str">
            <v>SBI India JVANI YTD incl Asia - 5 pt</v>
          </cell>
        </row>
        <row r="3771">
          <cell r="A3771" t="str">
            <v>SBI India JVOff Balance Sheet Assets</v>
          </cell>
        </row>
        <row r="3772">
          <cell r="A3772" t="str">
            <v>SBI India JVJV Receivables</v>
          </cell>
        </row>
        <row r="3773">
          <cell r="A3773" t="str">
            <v>SBI India JV30+ DELINQUENCY $</v>
          </cell>
        </row>
        <row r="3774">
          <cell r="A3774" t="str">
            <v>SBI India JV90+ DELINQUENCY $</v>
          </cell>
        </row>
        <row r="3775">
          <cell r="A3775" t="str">
            <v>SBI India JVTemporary Staff</v>
          </cell>
        </row>
        <row r="3776">
          <cell r="A3776" t="str">
            <v>SBI India JVContractors</v>
          </cell>
        </row>
        <row r="3777">
          <cell r="A3777" t="str">
            <v>SBI India JVOutsourced to LCC</v>
          </cell>
        </row>
        <row r="3778">
          <cell r="A3778" t="str">
            <v>SBI India JVTotal Headcount</v>
          </cell>
        </row>
        <row r="3779">
          <cell r="A3779" t="str">
            <v>SBI India JVTotal Workforce</v>
          </cell>
        </row>
        <row r="3780">
          <cell r="A3780" t="str">
            <v>SBI India JVTotal Earned Revenue</v>
          </cell>
        </row>
        <row r="3781">
          <cell r="A3781" t="str">
            <v>SBI India JVOrdinary Gains - PreTax</v>
          </cell>
        </row>
        <row r="3782">
          <cell r="A3782" t="str">
            <v>SBI India JVOrdinary Gains - AfterTax</v>
          </cell>
        </row>
        <row r="3783">
          <cell r="A3783" t="str">
            <v>SBI India JVTotal Volume</v>
          </cell>
        </row>
        <row r="3784">
          <cell r="A3784" t="str">
            <v>SBI India JVTOTAL # ACTIVE ACCOUNTS</v>
          </cell>
        </row>
        <row r="3785">
          <cell r="A3785" t="str">
            <v>SingaporeTOTAL FINANCING RECEIVABLES</v>
          </cell>
        </row>
        <row r="3786">
          <cell r="A3786" t="str">
            <v>SingaporeRECEIVABLE RESERVES</v>
          </cell>
        </row>
        <row r="3787">
          <cell r="A3787" t="str">
            <v>SingaporeCASH</v>
          </cell>
        </row>
        <row r="3788">
          <cell r="A3788" t="str">
            <v>SingaporeINVESTMENT SECURITIES</v>
          </cell>
        </row>
        <row r="3789">
          <cell r="A3789" t="str">
            <v>SingaporeINV IN NON CONSOL AFFILIATES</v>
          </cell>
        </row>
        <row r="3790">
          <cell r="A3790" t="str">
            <v>SingaporeINVESTMENT IN JOINT VENTURE</v>
          </cell>
        </row>
        <row r="3791">
          <cell r="A3791" t="str">
            <v>SingaporeALL OTHER RECEIVABLES (NON-FINANCING)</v>
          </cell>
        </row>
        <row r="3792">
          <cell r="A3792" t="str">
            <v>SingaporeELTO (NET)</v>
          </cell>
        </row>
        <row r="3793">
          <cell r="A3793" t="str">
            <v>SingaporeGOODWILL</v>
          </cell>
        </row>
        <row r="3794">
          <cell r="A3794" t="str">
            <v>SingaporeOTHER ASSETS</v>
          </cell>
        </row>
        <row r="3795">
          <cell r="A3795" t="str">
            <v>SingaporeACCOUNTS PAYABLE</v>
          </cell>
        </row>
        <row r="3796">
          <cell r="A3796" t="str">
            <v>SingaporeDEFERRED INCOME TAXES</v>
          </cell>
        </row>
        <row r="3797">
          <cell r="A3797" t="str">
            <v>SingaporeWRITE-OFF (MEMO)</v>
          </cell>
        </row>
        <row r="3798">
          <cell r="A3798" t="str">
            <v>SingaporeINSURANCE RESERVES AND ANNUITY BENEFITS</v>
          </cell>
        </row>
        <row r="3799">
          <cell r="A3799" t="str">
            <v>SingaporeALL OTHER NON DEBT LIABILITIES</v>
          </cell>
        </row>
        <row r="3800">
          <cell r="A3800" t="str">
            <v>SingaporeMINORITY INTEREST (BS)</v>
          </cell>
        </row>
        <row r="3801">
          <cell r="A3801" t="str">
            <v>SingaporeASIA PACIFIC ENI DIVIDEND</v>
          </cell>
        </row>
        <row r="3802">
          <cell r="A3802" t="str">
            <v>SingaporeFINANCING INCOME</v>
          </cell>
        </row>
        <row r="3803">
          <cell r="A3803" t="str">
            <v>SingaporeINSURANCE PREMIUM INCOME</v>
          </cell>
        </row>
        <row r="3804">
          <cell r="A3804" t="str">
            <v>SingaporeINSURANCE INCOME (COMMISSIONS)</v>
          </cell>
        </row>
        <row r="3805">
          <cell r="A3805" t="str">
            <v>SingaporeSUNDRY INCOME</v>
          </cell>
        </row>
        <row r="3806">
          <cell r="A3806" t="str">
            <v>SingaporeINTEREST EXPENSE</v>
          </cell>
        </row>
        <row r="3807">
          <cell r="A3807" t="str">
            <v>SingaporeINTEREST EXPENSE REDUCTIONS / BUS SHARING</v>
          </cell>
        </row>
        <row r="3808">
          <cell r="A3808" t="str">
            <v>SingaporeALLOCATED COST OF PREFERRED EQUITY</v>
          </cell>
        </row>
        <row r="3809">
          <cell r="A3809" t="str">
            <v>SingaporeSALARIES &amp; BENEFITS</v>
          </cell>
        </row>
        <row r="3810">
          <cell r="A3810" t="str">
            <v>SingaporeLOSSES ON OTHER ASSETS</v>
          </cell>
        </row>
        <row r="3811">
          <cell r="A3811" t="str">
            <v>SingaporeCOST OF GOODS SOLD</v>
          </cell>
        </row>
        <row r="3812">
          <cell r="A3812" t="str">
            <v>SingaporeCOST OF GOODS SOLD - DISTRIBUTION</v>
          </cell>
        </row>
        <row r="3813">
          <cell r="A3813" t="str">
            <v>SingaporePOSTAGE</v>
          </cell>
        </row>
        <row r="3814">
          <cell r="A3814" t="str">
            <v>SingaporeTELEPHONE</v>
          </cell>
        </row>
        <row r="3815">
          <cell r="A3815" t="str">
            <v>SingaporeCUSTOMER SERVICE / COLLECTIONS</v>
          </cell>
        </row>
        <row r="3816">
          <cell r="A3816" t="str">
            <v>SingaporeSTATIONARY - OFFICE SUPPLIES</v>
          </cell>
        </row>
        <row r="3817">
          <cell r="A3817" t="str">
            <v>SingaporeT&amp;L</v>
          </cell>
        </row>
        <row r="3818">
          <cell r="A3818" t="str">
            <v>SingaporeRENTAL - BLDG/FACILITIES</v>
          </cell>
        </row>
        <row r="3819">
          <cell r="A3819" t="str">
            <v>SingaporeRENTAL - FURNITURE/EQUIP</v>
          </cell>
        </row>
        <row r="3820">
          <cell r="A3820" t="str">
            <v>SingaporeRENTAL - COMPUTERS</v>
          </cell>
        </row>
        <row r="3821">
          <cell r="A3821" t="str">
            <v>SingaporeLEASE IN - LEASE OUT</v>
          </cell>
        </row>
        <row r="3822">
          <cell r="A3822" t="str">
            <v>SingaporeFURNITURE / EQUIPMENT / COMPUTER EXP</v>
          </cell>
        </row>
        <row r="3823">
          <cell r="A3823" t="str">
            <v>SingaporeSOFTWARE EXPENSE</v>
          </cell>
        </row>
        <row r="3824">
          <cell r="A3824" t="str">
            <v>SingaporeAMORTIZATION OF INTANGIBLES</v>
          </cell>
        </row>
        <row r="3825">
          <cell r="A3825" t="str">
            <v>SingaporeELTO MAINTENANCE</v>
          </cell>
        </row>
        <row r="3826">
          <cell r="A3826" t="str">
            <v>SingaporeELTO OTHER</v>
          </cell>
        </row>
        <row r="3827">
          <cell r="A3827" t="str">
            <v>SingaporeLEGAL</v>
          </cell>
        </row>
        <row r="3828">
          <cell r="A3828" t="str">
            <v>SingaporeADVERTISING</v>
          </cell>
        </row>
        <row r="3829">
          <cell r="A3829" t="str">
            <v>SingaporeSALES PROMOTIONS</v>
          </cell>
        </row>
        <row r="3830">
          <cell r="A3830" t="str">
            <v>SingaporeDIRECT MAIL</v>
          </cell>
        </row>
        <row r="3831">
          <cell r="A3831" t="str">
            <v>SingaporeDATA PROCESSING</v>
          </cell>
        </row>
        <row r="3832">
          <cell r="A3832" t="str">
            <v>SingaporeCONSULTING</v>
          </cell>
        </row>
        <row r="3833">
          <cell r="A3833" t="str">
            <v>SingaporeTEMP SERVICES</v>
          </cell>
        </row>
        <row r="3834">
          <cell r="A3834" t="str">
            <v>SingaporeGDC CHARGES</v>
          </cell>
        </row>
        <row r="3835">
          <cell r="A3835" t="str">
            <v>SingaporeTRAINING AND EDUCATION</v>
          </cell>
        </row>
        <row r="3836">
          <cell r="A3836" t="str">
            <v>SingaporeOUTSIDE SERVICES  AND FEES</v>
          </cell>
        </row>
        <row r="3837">
          <cell r="A3837" t="str">
            <v>SingaporeSTATE, FOREIGN, LOCAL TAXES</v>
          </cell>
        </row>
        <row r="3838">
          <cell r="A3838" t="str">
            <v>SingaporeS/L TAX - INSURANCE PREMIUMS</v>
          </cell>
        </row>
        <row r="3839">
          <cell r="A3839" t="str">
            <v>SingaporeSATELLITE LEASE EXPENSE</v>
          </cell>
        </row>
        <row r="3840">
          <cell r="A3840" t="str">
            <v>SingaporeBUSINESS SHARE EXPENSE</v>
          </cell>
        </row>
        <row r="3841">
          <cell r="A3841" t="str">
            <v>SingaporeINSURANCE AFFILIATE EXPENSE</v>
          </cell>
        </row>
        <row r="3842">
          <cell r="A3842" t="str">
            <v>SingaporeOTHER FACILITY EXPENSE</v>
          </cell>
        </row>
        <row r="3843">
          <cell r="A3843" t="str">
            <v>SingaporeGROSS OP &amp; ADMIN BUS SHARE</v>
          </cell>
        </row>
        <row r="3844">
          <cell r="A3844" t="str">
            <v>SingaporeOTHER EXPENSE</v>
          </cell>
        </row>
        <row r="3845">
          <cell r="A3845" t="str">
            <v>SingaporeGECC INTERCO EXPENSES EXCL GECIS</v>
          </cell>
        </row>
        <row r="3846">
          <cell r="A3846" t="str">
            <v>SingaporeGECIS INTERCO CHARGES</v>
          </cell>
        </row>
        <row r="3847">
          <cell r="A3847" t="str">
            <v>SingaporeLOSS ADJUSTED EXPENSE</v>
          </cell>
        </row>
        <row r="3848">
          <cell r="A3848" t="str">
            <v>SingaporeALL OTHER EXPENSES</v>
          </cell>
        </row>
        <row r="3849">
          <cell r="A3849" t="str">
            <v>SingaporeASSESSMENTS</v>
          </cell>
        </row>
        <row r="3850">
          <cell r="A3850" t="str">
            <v>SingaporeFAS 91</v>
          </cell>
        </row>
        <row r="3851">
          <cell r="A3851" t="str">
            <v>SingaporeGOODWILL AMORTIZATION</v>
          </cell>
        </row>
        <row r="3852">
          <cell r="A3852" t="str">
            <v>SingaporeDEPRECIATION EXPENSE</v>
          </cell>
        </row>
        <row r="3853">
          <cell r="A3853" t="str">
            <v>SingaporeELTO AMORTIZATION</v>
          </cell>
        </row>
        <row r="3854">
          <cell r="A3854" t="str">
            <v>SingaporeINSURANCE LOSSES AND BENEFITS</v>
          </cell>
        </row>
        <row r="3855">
          <cell r="A3855" t="str">
            <v>SingaporeWRITE OFFS</v>
          </cell>
        </row>
        <row r="3856">
          <cell r="A3856" t="str">
            <v>SingaporeRESERVE CHANGE</v>
          </cell>
        </row>
        <row r="3857">
          <cell r="A3857" t="str">
            <v>SingaporeMINORITY INTEREST</v>
          </cell>
        </row>
        <row r="3858">
          <cell r="A3858" t="str">
            <v>SingaporeINCOME TAXES</v>
          </cell>
        </row>
        <row r="3859">
          <cell r="A3859" t="str">
            <v>SingaporeCUMULATIVE TRANSITION ADJUSTMENT</v>
          </cell>
        </row>
        <row r="3860">
          <cell r="A3860" t="str">
            <v>SingaporeASIA PACIFIC NI DIVIDEND</v>
          </cell>
        </row>
        <row r="3861">
          <cell r="A3861" t="str">
            <v>SingaporeNet Income</v>
          </cell>
        </row>
        <row r="3862">
          <cell r="A3862" t="str">
            <v>SingaporeSubPart F</v>
          </cell>
        </row>
        <row r="3863">
          <cell r="A3863" t="str">
            <v>SingaporeAssets</v>
          </cell>
        </row>
        <row r="3864">
          <cell r="A3864" t="str">
            <v>SingaporeEnding Net Investment (ENI) incl Asia</v>
          </cell>
        </row>
        <row r="3865">
          <cell r="A3865" t="str">
            <v>SingaporeANR YTD</v>
          </cell>
        </row>
        <row r="3866">
          <cell r="A3866" t="str">
            <v>SingaporeASA YTD</v>
          </cell>
        </row>
        <row r="3867">
          <cell r="A3867" t="str">
            <v>SingaporeANI YTD incl Asia - 5 pt</v>
          </cell>
        </row>
        <row r="3868">
          <cell r="A3868" t="str">
            <v>SingaporeOff Balance Sheet Assets</v>
          </cell>
        </row>
        <row r="3869">
          <cell r="A3869" t="str">
            <v>SingaporeJV Receivables</v>
          </cell>
        </row>
        <row r="3870">
          <cell r="A3870" t="str">
            <v>Singapore30+ DELINQUENCY $</v>
          </cell>
        </row>
        <row r="3871">
          <cell r="A3871" t="str">
            <v>Singapore90+ DELINQUENCY $</v>
          </cell>
        </row>
        <row r="3872">
          <cell r="A3872" t="str">
            <v>SingaporeTemporary Staff</v>
          </cell>
        </row>
        <row r="3873">
          <cell r="A3873" t="str">
            <v>SingaporeContractors</v>
          </cell>
        </row>
        <row r="3874">
          <cell r="A3874" t="str">
            <v>SingaporeOutsourced to LCC</v>
          </cell>
        </row>
        <row r="3875">
          <cell r="A3875" t="str">
            <v>SingaporeTotal Headcount</v>
          </cell>
        </row>
        <row r="3876">
          <cell r="A3876" t="str">
            <v>SingaporeTotal Workforce</v>
          </cell>
        </row>
        <row r="3877">
          <cell r="A3877" t="str">
            <v>SingaporeTotal Earned Revenue</v>
          </cell>
        </row>
        <row r="3878">
          <cell r="A3878" t="str">
            <v>SingaporeOrdinary Gains - PreTax</v>
          </cell>
        </row>
        <row r="3879">
          <cell r="A3879" t="str">
            <v>SingaporeOrdinary Gains - AfterTax</v>
          </cell>
        </row>
        <row r="3880">
          <cell r="A3880" t="str">
            <v>SingaporeTotal Volume</v>
          </cell>
        </row>
        <row r="3881">
          <cell r="A3881" t="str">
            <v>SingaporeTOTAL # ACTIVE ACCOUNTS</v>
          </cell>
        </row>
        <row r="3882">
          <cell r="A3882" t="str">
            <v>SwedenTOTAL FINANCING RECEIVABLES</v>
          </cell>
        </row>
        <row r="3883">
          <cell r="A3883" t="str">
            <v>SwedenRECEIVABLE RESERVES</v>
          </cell>
        </row>
        <row r="3884">
          <cell r="A3884" t="str">
            <v>SwedenCASH</v>
          </cell>
        </row>
        <row r="3885">
          <cell r="A3885" t="str">
            <v>SwedenINVESTMENT SECURITIES</v>
          </cell>
        </row>
        <row r="3886">
          <cell r="A3886" t="str">
            <v>SwedenINV IN NON CONSOL AFFILIATES</v>
          </cell>
        </row>
        <row r="3887">
          <cell r="A3887" t="str">
            <v>SwedenINVESTMENT IN JOINT VENTURE</v>
          </cell>
        </row>
        <row r="3888">
          <cell r="A3888" t="str">
            <v>SwedenALL OTHER RECEIVABLES (NON-FINANCING)</v>
          </cell>
        </row>
        <row r="3889">
          <cell r="A3889" t="str">
            <v>SwedenELTO (NET)</v>
          </cell>
        </row>
        <row r="3890">
          <cell r="A3890" t="str">
            <v>SwedenGOODWILL</v>
          </cell>
        </row>
        <row r="3891">
          <cell r="A3891" t="str">
            <v>SwedenOTHER ASSETS</v>
          </cell>
        </row>
        <row r="3892">
          <cell r="A3892" t="str">
            <v>SwedenACCOUNTS PAYABLE</v>
          </cell>
        </row>
        <row r="3893">
          <cell r="A3893" t="str">
            <v>SwedenDEFERRED INCOME TAXES</v>
          </cell>
        </row>
        <row r="3894">
          <cell r="A3894" t="str">
            <v>SwedenWRITE-OFF (MEMO)</v>
          </cell>
        </row>
        <row r="3895">
          <cell r="A3895" t="str">
            <v>SwedenINSURANCE RESERVES AND ANNUITY BENEFITS</v>
          </cell>
        </row>
        <row r="3896">
          <cell r="A3896" t="str">
            <v>SwedenALL OTHER NON DEBT LIABILITIES</v>
          </cell>
        </row>
        <row r="3897">
          <cell r="A3897" t="str">
            <v>SwedenMINORITY INTEREST (BS)</v>
          </cell>
        </row>
        <row r="3898">
          <cell r="A3898" t="str">
            <v>SwedenASIA PACIFIC ENI DIVIDEND</v>
          </cell>
        </row>
        <row r="3899">
          <cell r="A3899" t="str">
            <v>SwedenFINANCING INCOME</v>
          </cell>
        </row>
        <row r="3900">
          <cell r="A3900" t="str">
            <v>SwedenINSURANCE PREMIUM INCOME</v>
          </cell>
        </row>
        <row r="3901">
          <cell r="A3901" t="str">
            <v>SwedenINSURANCE INCOME (COMMISSIONS)</v>
          </cell>
        </row>
        <row r="3902">
          <cell r="A3902" t="str">
            <v>SwedenSUNDRY INCOME</v>
          </cell>
        </row>
        <row r="3903">
          <cell r="A3903" t="str">
            <v>SwedenINTEREST EXPENSE</v>
          </cell>
        </row>
        <row r="3904">
          <cell r="A3904" t="str">
            <v>SwedenINTEREST EXPENSE REDUCTIONS / BUS SHARING</v>
          </cell>
        </row>
        <row r="3905">
          <cell r="A3905" t="str">
            <v>SwedenALLOCATED COST OF PREFERRED EQUITY</v>
          </cell>
        </row>
        <row r="3906">
          <cell r="A3906" t="str">
            <v>SwedenSALARIES &amp; BENEFITS</v>
          </cell>
        </row>
        <row r="3907">
          <cell r="A3907" t="str">
            <v>SwedenLOSSES ON OTHER ASSETS</v>
          </cell>
        </row>
        <row r="3908">
          <cell r="A3908" t="str">
            <v>SwedenCOST OF GOODS SOLD</v>
          </cell>
        </row>
        <row r="3909">
          <cell r="A3909" t="str">
            <v>SwedenCOST OF GOODS SOLD - DISTRIBUTION</v>
          </cell>
        </row>
        <row r="3910">
          <cell r="A3910" t="str">
            <v>SwedenPOSTAGE</v>
          </cell>
        </row>
        <row r="3911">
          <cell r="A3911" t="str">
            <v>SwedenTELEPHONE</v>
          </cell>
        </row>
        <row r="3912">
          <cell r="A3912" t="str">
            <v>SwedenCUSTOMER SERVICE / COLLECTIONS</v>
          </cell>
        </row>
        <row r="3913">
          <cell r="A3913" t="str">
            <v>SwedenSTATIONARY - OFFICE SUPPLIES</v>
          </cell>
        </row>
        <row r="3914">
          <cell r="A3914" t="str">
            <v>SwedenT&amp;L</v>
          </cell>
        </row>
        <row r="3915">
          <cell r="A3915" t="str">
            <v>SwedenRENTAL - BLDG/FACILITIES</v>
          </cell>
        </row>
        <row r="3916">
          <cell r="A3916" t="str">
            <v>SwedenRENTAL - FURNITURE/EQUIP</v>
          </cell>
        </row>
        <row r="3917">
          <cell r="A3917" t="str">
            <v>SwedenRENTAL - COMPUTERS</v>
          </cell>
        </row>
        <row r="3918">
          <cell r="A3918" t="str">
            <v>SwedenLEASE IN - LEASE OUT</v>
          </cell>
        </row>
        <row r="3919">
          <cell r="A3919" t="str">
            <v>SwedenFURNITURE / EQUIPMENT / COMPUTER EXP</v>
          </cell>
        </row>
        <row r="3920">
          <cell r="A3920" t="str">
            <v>SwedenSOFTWARE EXPENSE</v>
          </cell>
        </row>
        <row r="3921">
          <cell r="A3921" t="str">
            <v>SwedenAMORTIZATION OF INTANGIBLES</v>
          </cell>
        </row>
        <row r="3922">
          <cell r="A3922" t="str">
            <v>SwedenELTO MAINTENANCE</v>
          </cell>
        </row>
        <row r="3923">
          <cell r="A3923" t="str">
            <v>SwedenELTO OTHER</v>
          </cell>
        </row>
        <row r="3924">
          <cell r="A3924" t="str">
            <v>SwedenLEGAL</v>
          </cell>
        </row>
        <row r="3925">
          <cell r="A3925" t="str">
            <v>SwedenADVERTISING</v>
          </cell>
        </row>
        <row r="3926">
          <cell r="A3926" t="str">
            <v>SwedenSALES PROMOTIONS</v>
          </cell>
        </row>
        <row r="3927">
          <cell r="A3927" t="str">
            <v>SwedenDIRECT MAIL</v>
          </cell>
        </row>
        <row r="3928">
          <cell r="A3928" t="str">
            <v>SwedenDATA PROCESSING</v>
          </cell>
        </row>
        <row r="3929">
          <cell r="A3929" t="str">
            <v>SwedenCONSULTING</v>
          </cell>
        </row>
        <row r="3930">
          <cell r="A3930" t="str">
            <v>SwedenTEMP SERVICES</v>
          </cell>
        </row>
        <row r="3931">
          <cell r="A3931" t="str">
            <v>SwedenGDC CHARGES</v>
          </cell>
        </row>
        <row r="3932">
          <cell r="A3932" t="str">
            <v>SwedenTRAINING AND EDUCATION</v>
          </cell>
        </row>
        <row r="3933">
          <cell r="A3933" t="str">
            <v>SwedenOUTSIDE SERVICES  AND FEES</v>
          </cell>
        </row>
        <row r="3934">
          <cell r="A3934" t="str">
            <v>SwedenSTATE, FOREIGN, LOCAL TAXES</v>
          </cell>
        </row>
        <row r="3935">
          <cell r="A3935" t="str">
            <v>SwedenS/L TAX - INSURANCE PREMIUMS</v>
          </cell>
        </row>
        <row r="3936">
          <cell r="A3936" t="str">
            <v>SwedenSATELLITE LEASE EXPENSE</v>
          </cell>
        </row>
        <row r="3937">
          <cell r="A3937" t="str">
            <v>SwedenBUSINESS SHARE EXPENSE</v>
          </cell>
        </row>
        <row r="3938">
          <cell r="A3938" t="str">
            <v>SwedenINSURANCE AFFILIATE EXPENSE</v>
          </cell>
        </row>
        <row r="3939">
          <cell r="A3939" t="str">
            <v>SwedenOTHER FACILITY EXPENSE</v>
          </cell>
        </row>
        <row r="3940">
          <cell r="A3940" t="str">
            <v>SwedenGROSS OP &amp; ADMIN BUS SHARE</v>
          </cell>
        </row>
        <row r="3941">
          <cell r="A3941" t="str">
            <v>SwedenOTHER EXPENSE</v>
          </cell>
        </row>
        <row r="3942">
          <cell r="A3942" t="str">
            <v>SwedenGECC INTERCO EXPENSES EXCL GECIS</v>
          </cell>
        </row>
        <row r="3943">
          <cell r="A3943" t="str">
            <v>SwedenGECIS INTERCO CHARGES</v>
          </cell>
        </row>
        <row r="3944">
          <cell r="A3944" t="str">
            <v>SwedenLOSS ADJUSTED EXPENSE</v>
          </cell>
        </row>
        <row r="3945">
          <cell r="A3945" t="str">
            <v>SwedenALL OTHER EXPENSES</v>
          </cell>
        </row>
        <row r="3946">
          <cell r="A3946" t="str">
            <v>SwedenASSESSMENTS</v>
          </cell>
        </row>
        <row r="3947">
          <cell r="A3947" t="str">
            <v>SwedenFAS 91</v>
          </cell>
        </row>
        <row r="3948">
          <cell r="A3948" t="str">
            <v>SwedenGOODWILL AMORTIZATION</v>
          </cell>
        </row>
        <row r="3949">
          <cell r="A3949" t="str">
            <v>SwedenDEPRECIATION EXPENSE</v>
          </cell>
        </row>
        <row r="3950">
          <cell r="A3950" t="str">
            <v>SwedenELTO AMORTIZATION</v>
          </cell>
        </row>
        <row r="3951">
          <cell r="A3951" t="str">
            <v>SwedenINSURANCE LOSSES AND BENEFITS</v>
          </cell>
        </row>
        <row r="3952">
          <cell r="A3952" t="str">
            <v>SwedenWRITE OFFS</v>
          </cell>
        </row>
        <row r="3953">
          <cell r="A3953" t="str">
            <v>SwedenRESERVE CHANGE</v>
          </cell>
        </row>
        <row r="3954">
          <cell r="A3954" t="str">
            <v>SwedenMINORITY INTEREST</v>
          </cell>
        </row>
        <row r="3955">
          <cell r="A3955" t="str">
            <v>SwedenINCOME TAXES</v>
          </cell>
        </row>
        <row r="3956">
          <cell r="A3956" t="str">
            <v>SwedenCUMULATIVE TRANSITION ADJUSTMENT</v>
          </cell>
        </row>
        <row r="3957">
          <cell r="A3957" t="str">
            <v>SwedenASIA PACIFIC NI DIVIDEND</v>
          </cell>
        </row>
        <row r="3958">
          <cell r="A3958" t="str">
            <v>SwedenNet Income</v>
          </cell>
        </row>
        <row r="3959">
          <cell r="A3959" t="str">
            <v>SwedenSubPart F</v>
          </cell>
        </row>
        <row r="3960">
          <cell r="A3960" t="str">
            <v>SwedenAssets</v>
          </cell>
        </row>
        <row r="3961">
          <cell r="A3961" t="str">
            <v>SwedenEnding Net Investment (ENI) incl Asia</v>
          </cell>
        </row>
        <row r="3962">
          <cell r="A3962" t="str">
            <v>SwedenANR YTD</v>
          </cell>
        </row>
        <row r="3963">
          <cell r="A3963" t="str">
            <v>SwedenASA YTD</v>
          </cell>
        </row>
        <row r="3964">
          <cell r="A3964" t="str">
            <v>SwedenANI YTD incl Asia - 5 pt</v>
          </cell>
        </row>
        <row r="3965">
          <cell r="A3965" t="str">
            <v>SwedenOff Balance Sheet Assets</v>
          </cell>
        </row>
        <row r="3966">
          <cell r="A3966" t="str">
            <v>SwedenJV Receivables</v>
          </cell>
        </row>
        <row r="3967">
          <cell r="A3967" t="str">
            <v>Sweden30+ DELINQUENCY $</v>
          </cell>
        </row>
        <row r="3968">
          <cell r="A3968" t="str">
            <v>Sweden90+ DELINQUENCY $</v>
          </cell>
        </row>
        <row r="3969">
          <cell r="A3969" t="str">
            <v>SwedenTemporary Staff</v>
          </cell>
        </row>
        <row r="3970">
          <cell r="A3970" t="str">
            <v>SwedenContractors</v>
          </cell>
        </row>
        <row r="3971">
          <cell r="A3971" t="str">
            <v>SwedenOutsourced to LCC</v>
          </cell>
        </row>
        <row r="3972">
          <cell r="A3972" t="str">
            <v>SwedenTotal Headcount</v>
          </cell>
        </row>
        <row r="3973">
          <cell r="A3973" t="str">
            <v>SwedenTotal Workforce</v>
          </cell>
        </row>
        <row r="3974">
          <cell r="A3974" t="str">
            <v>SwedenTotal Earned Revenue</v>
          </cell>
        </row>
        <row r="3975">
          <cell r="A3975" t="str">
            <v>SwedenOrdinary Gains - PreTax</v>
          </cell>
        </row>
        <row r="3976">
          <cell r="A3976" t="str">
            <v>SwedenOrdinary Gains - AfterTax</v>
          </cell>
        </row>
        <row r="3977">
          <cell r="A3977" t="str">
            <v>SwedenTotal Volume</v>
          </cell>
        </row>
        <row r="3978">
          <cell r="A3978" t="str">
            <v>SwedenTOTAL # ACTIVE ACCOUNTS</v>
          </cell>
        </row>
        <row r="3979">
          <cell r="A3979" t="str">
            <v>Sweden AutoTOTAL FINANCING RECEIVABLES</v>
          </cell>
        </row>
        <row r="3980">
          <cell r="A3980" t="str">
            <v>Sweden AutoRECEIVABLE RESERVES</v>
          </cell>
        </row>
        <row r="3981">
          <cell r="A3981" t="str">
            <v>Sweden AutoCASH</v>
          </cell>
        </row>
        <row r="3982">
          <cell r="A3982" t="str">
            <v>Sweden AutoINVESTMENT SECURITIES</v>
          </cell>
        </row>
        <row r="3983">
          <cell r="A3983" t="str">
            <v>Sweden AutoINV IN NON CONSOL AFFILIATES</v>
          </cell>
        </row>
        <row r="3984">
          <cell r="A3984" t="str">
            <v>Sweden AutoINVESTMENT IN JOINT VENTURE</v>
          </cell>
        </row>
        <row r="3985">
          <cell r="A3985" t="str">
            <v>Sweden AutoALL OTHER RECEIVABLES (NON-FINANCING)</v>
          </cell>
        </row>
        <row r="3986">
          <cell r="A3986" t="str">
            <v>Sweden AutoELTO (NET)</v>
          </cell>
        </row>
        <row r="3987">
          <cell r="A3987" t="str">
            <v>Sweden AutoGOODWILL</v>
          </cell>
        </row>
        <row r="3988">
          <cell r="A3988" t="str">
            <v>Sweden AutoOTHER ASSETS</v>
          </cell>
        </row>
        <row r="3989">
          <cell r="A3989" t="str">
            <v>Sweden AutoACCOUNTS PAYABLE</v>
          </cell>
        </row>
        <row r="3990">
          <cell r="A3990" t="str">
            <v>Sweden AutoDEFERRED INCOME TAXES</v>
          </cell>
        </row>
        <row r="3991">
          <cell r="A3991" t="str">
            <v>Sweden AutoWRITE-OFF (MEMO)</v>
          </cell>
        </row>
        <row r="3992">
          <cell r="A3992" t="str">
            <v>Sweden AutoINSURANCE RESERVES AND ANNUITY BENEFITS</v>
          </cell>
        </row>
        <row r="3993">
          <cell r="A3993" t="str">
            <v>Sweden AutoALL OTHER NON DEBT LIABILITIES</v>
          </cell>
        </row>
        <row r="3994">
          <cell r="A3994" t="str">
            <v>Sweden AutoMINORITY INTEREST (BS)</v>
          </cell>
        </row>
        <row r="3995">
          <cell r="A3995" t="str">
            <v>Sweden AutoASIA PACIFIC ENI DIVIDEND</v>
          </cell>
        </row>
        <row r="3996">
          <cell r="A3996" t="str">
            <v>Sweden AutoFINANCING INCOME</v>
          </cell>
        </row>
        <row r="3997">
          <cell r="A3997" t="str">
            <v>Sweden AutoINSURANCE PREMIUM INCOME</v>
          </cell>
        </row>
        <row r="3998">
          <cell r="A3998" t="str">
            <v>Sweden AutoINSURANCE INCOME (COMMISSIONS)</v>
          </cell>
        </row>
        <row r="3999">
          <cell r="A3999" t="str">
            <v>Sweden AutoSUNDRY INCOME</v>
          </cell>
        </row>
        <row r="4000">
          <cell r="A4000" t="str">
            <v>Sweden AutoINTEREST EXPENSE</v>
          </cell>
        </row>
        <row r="4001">
          <cell r="A4001" t="str">
            <v>Sweden AutoINTEREST EXPENSE REDUCTIONS / BUS SHARING</v>
          </cell>
        </row>
        <row r="4002">
          <cell r="A4002" t="str">
            <v>Sweden AutoALLOCATED COST OF PREFERRED EQUITY</v>
          </cell>
        </row>
        <row r="4003">
          <cell r="A4003" t="str">
            <v>Sweden AutoSALARIES &amp; BENEFITS</v>
          </cell>
        </row>
        <row r="4004">
          <cell r="A4004" t="str">
            <v>Sweden AutoLOSSES ON OTHER ASSETS</v>
          </cell>
        </row>
        <row r="4005">
          <cell r="A4005" t="str">
            <v>Sweden AutoCOST OF GOODS SOLD</v>
          </cell>
        </row>
        <row r="4006">
          <cell r="A4006" t="str">
            <v>Sweden AutoCOST OF GOODS SOLD - DISTRIBUTION</v>
          </cell>
        </row>
        <row r="4007">
          <cell r="A4007" t="str">
            <v>Sweden AutoPOSTAGE</v>
          </cell>
        </row>
        <row r="4008">
          <cell r="A4008" t="str">
            <v>Sweden AutoTELEPHONE</v>
          </cell>
        </row>
        <row r="4009">
          <cell r="A4009" t="str">
            <v>Sweden AutoCUSTOMER SERVICE / COLLECTIONS</v>
          </cell>
        </row>
        <row r="4010">
          <cell r="A4010" t="str">
            <v>Sweden AutoSTATIONARY - OFFICE SUPPLIES</v>
          </cell>
        </row>
        <row r="4011">
          <cell r="A4011" t="str">
            <v>Sweden AutoT&amp;L</v>
          </cell>
        </row>
        <row r="4012">
          <cell r="A4012" t="str">
            <v>Sweden AutoRENTAL - BLDG/FACILITIES</v>
          </cell>
        </row>
        <row r="4013">
          <cell r="A4013" t="str">
            <v>Sweden AutoRENTAL - FURNITURE/EQUIP</v>
          </cell>
        </row>
        <row r="4014">
          <cell r="A4014" t="str">
            <v>Sweden AutoRENTAL - COMPUTERS</v>
          </cell>
        </row>
        <row r="4015">
          <cell r="A4015" t="str">
            <v>Sweden AutoLEASE IN - LEASE OUT</v>
          </cell>
        </row>
        <row r="4016">
          <cell r="A4016" t="str">
            <v>Sweden AutoFURNITURE / EQUIPMENT / COMPUTER EXP</v>
          </cell>
        </row>
        <row r="4017">
          <cell r="A4017" t="str">
            <v>Sweden AutoSOFTWARE EXPENSE</v>
          </cell>
        </row>
        <row r="4018">
          <cell r="A4018" t="str">
            <v>Sweden AutoAMORTIZATION OF INTANGIBLES</v>
          </cell>
        </row>
        <row r="4019">
          <cell r="A4019" t="str">
            <v>Sweden AutoELTO MAINTENANCE</v>
          </cell>
        </row>
        <row r="4020">
          <cell r="A4020" t="str">
            <v>Sweden AutoELTO OTHER</v>
          </cell>
        </row>
        <row r="4021">
          <cell r="A4021" t="str">
            <v>Sweden AutoLEGAL</v>
          </cell>
        </row>
        <row r="4022">
          <cell r="A4022" t="str">
            <v>Sweden AutoADVERTISING</v>
          </cell>
        </row>
        <row r="4023">
          <cell r="A4023" t="str">
            <v>Sweden AutoSALES PROMOTIONS</v>
          </cell>
        </row>
        <row r="4024">
          <cell r="A4024" t="str">
            <v>Sweden AutoDIRECT MAIL</v>
          </cell>
        </row>
        <row r="4025">
          <cell r="A4025" t="str">
            <v>Sweden AutoDATA PROCESSING</v>
          </cell>
        </row>
        <row r="4026">
          <cell r="A4026" t="str">
            <v>Sweden AutoCONSULTING</v>
          </cell>
        </row>
        <row r="4027">
          <cell r="A4027" t="str">
            <v>Sweden AutoTEMP SERVICES</v>
          </cell>
        </row>
        <row r="4028">
          <cell r="A4028" t="str">
            <v>Sweden AutoGDC CHARGES</v>
          </cell>
        </row>
        <row r="4029">
          <cell r="A4029" t="str">
            <v>Sweden AutoTRAINING AND EDUCATION</v>
          </cell>
        </row>
        <row r="4030">
          <cell r="A4030" t="str">
            <v>Sweden AutoOUTSIDE SERVICES  AND FEES</v>
          </cell>
        </row>
        <row r="4031">
          <cell r="A4031" t="str">
            <v>Sweden AutoSTATE, FOREIGN, LOCAL TAXES</v>
          </cell>
        </row>
        <row r="4032">
          <cell r="A4032" t="str">
            <v>Sweden AutoS/L TAX - INSURANCE PREMIUMS</v>
          </cell>
        </row>
        <row r="4033">
          <cell r="A4033" t="str">
            <v>Sweden AutoSATELLITE LEASE EXPENSE</v>
          </cell>
        </row>
        <row r="4034">
          <cell r="A4034" t="str">
            <v>Sweden AutoBUSINESS SHARE EXPENSE</v>
          </cell>
        </row>
        <row r="4035">
          <cell r="A4035" t="str">
            <v>Sweden AutoINSURANCE AFFILIATE EXPENSE</v>
          </cell>
        </row>
        <row r="4036">
          <cell r="A4036" t="str">
            <v>Sweden AutoOTHER FACILITY EXPENSE</v>
          </cell>
        </row>
        <row r="4037">
          <cell r="A4037" t="str">
            <v>Sweden AutoGROSS OP &amp; ADMIN BUS SHARE</v>
          </cell>
        </row>
        <row r="4038">
          <cell r="A4038" t="str">
            <v>Sweden AutoOTHER EXPENSE</v>
          </cell>
        </row>
        <row r="4039">
          <cell r="A4039" t="str">
            <v>Sweden AutoGECC INTERCO EXPENSES EXCL GECIS</v>
          </cell>
        </row>
        <row r="4040">
          <cell r="A4040" t="str">
            <v>Sweden AutoGECIS INTERCO CHARGES</v>
          </cell>
        </row>
        <row r="4041">
          <cell r="A4041" t="str">
            <v>Sweden AutoLOSS ADJUSTED EXPENSE</v>
          </cell>
        </row>
        <row r="4042">
          <cell r="A4042" t="str">
            <v>Sweden AutoALL OTHER EXPENSES</v>
          </cell>
        </row>
        <row r="4043">
          <cell r="A4043" t="str">
            <v>Sweden AutoASSESSMENTS</v>
          </cell>
        </row>
        <row r="4044">
          <cell r="A4044" t="str">
            <v>Sweden AutoFAS 91</v>
          </cell>
        </row>
        <row r="4045">
          <cell r="A4045" t="str">
            <v>Sweden AutoGOODWILL AMORTIZATION</v>
          </cell>
        </row>
        <row r="4046">
          <cell r="A4046" t="str">
            <v>Sweden AutoDEPRECIATION EXPENSE</v>
          </cell>
        </row>
        <row r="4047">
          <cell r="A4047" t="str">
            <v>Sweden AutoELTO AMORTIZATION</v>
          </cell>
        </row>
        <row r="4048">
          <cell r="A4048" t="str">
            <v>Sweden AutoINSURANCE LOSSES AND BENEFITS</v>
          </cell>
        </row>
        <row r="4049">
          <cell r="A4049" t="str">
            <v>Sweden AutoWRITE OFFS</v>
          </cell>
        </row>
        <row r="4050">
          <cell r="A4050" t="str">
            <v>Sweden AutoRESERVE CHANGE</v>
          </cell>
        </row>
        <row r="4051">
          <cell r="A4051" t="str">
            <v>Sweden AutoMINORITY INTEREST</v>
          </cell>
        </row>
        <row r="4052">
          <cell r="A4052" t="str">
            <v>Sweden AutoINCOME TAXES</v>
          </cell>
        </row>
        <row r="4053">
          <cell r="A4053" t="str">
            <v>Sweden AutoCUMULATIVE TRANSITION ADJUSTMENT</v>
          </cell>
        </row>
        <row r="4054">
          <cell r="A4054" t="str">
            <v>Sweden AutoASIA PACIFIC NI DIVIDEND</v>
          </cell>
        </row>
        <row r="4055">
          <cell r="A4055" t="str">
            <v>Sweden AutoNet Income</v>
          </cell>
        </row>
        <row r="4056">
          <cell r="A4056" t="str">
            <v>Sweden AutoSubPart F</v>
          </cell>
        </row>
        <row r="4057">
          <cell r="A4057" t="str">
            <v>Sweden AutoAssets</v>
          </cell>
        </row>
        <row r="4058">
          <cell r="A4058" t="str">
            <v>Sweden AutoEnding Net Investment (ENI) incl Asia</v>
          </cell>
        </row>
        <row r="4059">
          <cell r="A4059" t="str">
            <v>Sweden AutoANR YTD</v>
          </cell>
        </row>
        <row r="4060">
          <cell r="A4060" t="str">
            <v>Sweden AutoASA YTD</v>
          </cell>
        </row>
        <row r="4061">
          <cell r="A4061" t="str">
            <v>Sweden AutoANI YTD incl Asia - 5 pt</v>
          </cell>
        </row>
        <row r="4062">
          <cell r="A4062" t="str">
            <v>Sweden AutoOff Balance Sheet Assets</v>
          </cell>
        </row>
        <row r="4063">
          <cell r="A4063" t="str">
            <v>Sweden AutoJV Receivables</v>
          </cell>
        </row>
        <row r="4064">
          <cell r="A4064" t="str">
            <v>Sweden Auto30+ DELINQUENCY $</v>
          </cell>
        </row>
        <row r="4065">
          <cell r="A4065" t="str">
            <v>Sweden Auto90+ DELINQUENCY $</v>
          </cell>
        </row>
        <row r="4066">
          <cell r="A4066" t="str">
            <v>Sweden AutoTemporary Staff</v>
          </cell>
        </row>
        <row r="4067">
          <cell r="A4067" t="str">
            <v>Sweden AutoContractors</v>
          </cell>
        </row>
        <row r="4068">
          <cell r="A4068" t="str">
            <v>Sweden AutoOutsourced to LCC</v>
          </cell>
        </row>
        <row r="4069">
          <cell r="A4069" t="str">
            <v>Sweden AutoTotal Headcount</v>
          </cell>
        </row>
        <row r="4070">
          <cell r="A4070" t="str">
            <v>Sweden AutoTotal Workforce</v>
          </cell>
        </row>
        <row r="4071">
          <cell r="A4071" t="str">
            <v>Sweden AutoTotal Earned Revenue</v>
          </cell>
        </row>
        <row r="4072">
          <cell r="A4072" t="str">
            <v>Sweden AutoOrdinary Gains - PreTax</v>
          </cell>
        </row>
        <row r="4073">
          <cell r="A4073" t="str">
            <v>Sweden AutoOrdinary Gains - AfterTax</v>
          </cell>
        </row>
        <row r="4074">
          <cell r="A4074" t="str">
            <v>Sweden AutoTotal Volume</v>
          </cell>
        </row>
        <row r="4075">
          <cell r="A4075" t="str">
            <v>Sweden AutoTOTAL # ACTIVE ACCOUNTS</v>
          </cell>
        </row>
        <row r="4076">
          <cell r="A4076" t="str">
            <v>SwitzerlandTOTAL FINANCING RECEIVABLES</v>
          </cell>
        </row>
        <row r="4077">
          <cell r="A4077" t="str">
            <v>SwitzerlandRECEIVABLE RESERVES</v>
          </cell>
        </row>
        <row r="4078">
          <cell r="A4078" t="str">
            <v>SwitzerlandCASH</v>
          </cell>
        </row>
        <row r="4079">
          <cell r="A4079" t="str">
            <v>SwitzerlandINVESTMENT SECURITIES</v>
          </cell>
        </row>
        <row r="4080">
          <cell r="A4080" t="str">
            <v>SwitzerlandINV IN NON CONSOL AFFILIATES</v>
          </cell>
        </row>
        <row r="4081">
          <cell r="A4081" t="str">
            <v>SwitzerlandINVESTMENT IN JOINT VENTURE</v>
          </cell>
        </row>
        <row r="4082">
          <cell r="A4082" t="str">
            <v>SwitzerlandALL OTHER RECEIVABLES (NON-FINANCING)</v>
          </cell>
        </row>
        <row r="4083">
          <cell r="A4083" t="str">
            <v>SwitzerlandELTO (NET)</v>
          </cell>
        </row>
        <row r="4084">
          <cell r="A4084" t="str">
            <v>SwitzerlandGOODWILL</v>
          </cell>
        </row>
        <row r="4085">
          <cell r="A4085" t="str">
            <v>SwitzerlandOTHER ASSETS</v>
          </cell>
        </row>
        <row r="4086">
          <cell r="A4086" t="str">
            <v>SwitzerlandACCOUNTS PAYABLE</v>
          </cell>
        </row>
        <row r="4087">
          <cell r="A4087" t="str">
            <v>SwitzerlandDEFERRED INCOME TAXES</v>
          </cell>
        </row>
        <row r="4088">
          <cell r="A4088" t="str">
            <v>SwitzerlandWRITE-OFF (MEMO)</v>
          </cell>
        </row>
        <row r="4089">
          <cell r="A4089" t="str">
            <v>SwitzerlandINSURANCE RESERVES AND ANNUITY BENEFITS</v>
          </cell>
        </row>
        <row r="4090">
          <cell r="A4090" t="str">
            <v>SwitzerlandALL OTHER NON DEBT LIABILITIES</v>
          </cell>
        </row>
        <row r="4091">
          <cell r="A4091" t="str">
            <v>SwitzerlandMINORITY INTEREST (BS)</v>
          </cell>
        </row>
        <row r="4092">
          <cell r="A4092" t="str">
            <v>SwitzerlandASIA PACIFIC ENI DIVIDEND</v>
          </cell>
        </row>
        <row r="4093">
          <cell r="A4093" t="str">
            <v>SwitzerlandFINANCING INCOME</v>
          </cell>
        </row>
        <row r="4094">
          <cell r="A4094" t="str">
            <v>SwitzerlandINSURANCE PREMIUM INCOME</v>
          </cell>
        </row>
        <row r="4095">
          <cell r="A4095" t="str">
            <v>SwitzerlandINSURANCE INCOME (COMMISSIONS)</v>
          </cell>
        </row>
        <row r="4096">
          <cell r="A4096" t="str">
            <v>SwitzerlandSUNDRY INCOME</v>
          </cell>
        </row>
        <row r="4097">
          <cell r="A4097" t="str">
            <v>SwitzerlandINTEREST EXPENSE</v>
          </cell>
        </row>
        <row r="4098">
          <cell r="A4098" t="str">
            <v>SwitzerlandINTEREST EXPENSE REDUCTIONS / BUS SHARING</v>
          </cell>
        </row>
        <row r="4099">
          <cell r="A4099" t="str">
            <v>SwitzerlandALLOCATED COST OF PREFERRED EQUITY</v>
          </cell>
        </row>
        <row r="4100">
          <cell r="A4100" t="str">
            <v>SwitzerlandSALARIES &amp; BENEFITS</v>
          </cell>
        </row>
        <row r="4101">
          <cell r="A4101" t="str">
            <v>SwitzerlandLOSSES ON OTHER ASSETS</v>
          </cell>
        </row>
        <row r="4102">
          <cell r="A4102" t="str">
            <v>SwitzerlandCOST OF GOODS SOLD</v>
          </cell>
        </row>
        <row r="4103">
          <cell r="A4103" t="str">
            <v>SwitzerlandCOST OF GOODS SOLD - DISTRIBUTION</v>
          </cell>
        </row>
        <row r="4104">
          <cell r="A4104" t="str">
            <v>SwitzerlandPOSTAGE</v>
          </cell>
        </row>
        <row r="4105">
          <cell r="A4105" t="str">
            <v>SwitzerlandTELEPHONE</v>
          </cell>
        </row>
        <row r="4106">
          <cell r="A4106" t="str">
            <v>SwitzerlandCUSTOMER SERVICE / COLLECTIONS</v>
          </cell>
        </row>
        <row r="4107">
          <cell r="A4107" t="str">
            <v>SwitzerlandSTATIONARY - OFFICE SUPPLIES</v>
          </cell>
        </row>
        <row r="4108">
          <cell r="A4108" t="str">
            <v>SwitzerlandT&amp;L</v>
          </cell>
        </row>
        <row r="4109">
          <cell r="A4109" t="str">
            <v>SwitzerlandRENTAL - BLDG/FACILITIES</v>
          </cell>
        </row>
        <row r="4110">
          <cell r="A4110" t="str">
            <v>SwitzerlandRENTAL - FURNITURE/EQUIP</v>
          </cell>
        </row>
        <row r="4111">
          <cell r="A4111" t="str">
            <v>SwitzerlandRENTAL - COMPUTERS</v>
          </cell>
        </row>
        <row r="4112">
          <cell r="A4112" t="str">
            <v>SwitzerlandLEASE IN - LEASE OUT</v>
          </cell>
        </row>
        <row r="4113">
          <cell r="A4113" t="str">
            <v>SwitzerlandFURNITURE / EQUIPMENT / COMPUTER EXP</v>
          </cell>
        </row>
        <row r="4114">
          <cell r="A4114" t="str">
            <v>SwitzerlandSOFTWARE EXPENSE</v>
          </cell>
        </row>
        <row r="4115">
          <cell r="A4115" t="str">
            <v>SwitzerlandAMORTIZATION OF INTANGIBLES</v>
          </cell>
        </row>
        <row r="4116">
          <cell r="A4116" t="str">
            <v>SwitzerlandELTO MAINTENANCE</v>
          </cell>
        </row>
        <row r="4117">
          <cell r="A4117" t="str">
            <v>SwitzerlandELTO OTHER</v>
          </cell>
        </row>
        <row r="4118">
          <cell r="A4118" t="str">
            <v>SwitzerlandLEGAL</v>
          </cell>
        </row>
        <row r="4119">
          <cell r="A4119" t="str">
            <v>SwitzerlandADVERTISING</v>
          </cell>
        </row>
        <row r="4120">
          <cell r="A4120" t="str">
            <v>SwitzerlandSALES PROMOTIONS</v>
          </cell>
        </row>
        <row r="4121">
          <cell r="A4121" t="str">
            <v>SwitzerlandDIRECT MAIL</v>
          </cell>
        </row>
        <row r="4122">
          <cell r="A4122" t="str">
            <v>SwitzerlandDATA PROCESSING</v>
          </cell>
        </row>
        <row r="4123">
          <cell r="A4123" t="str">
            <v>SwitzerlandCONSULTING</v>
          </cell>
        </row>
        <row r="4124">
          <cell r="A4124" t="str">
            <v>SwitzerlandTEMP SERVICES</v>
          </cell>
        </row>
        <row r="4125">
          <cell r="A4125" t="str">
            <v>SwitzerlandGDC CHARGES</v>
          </cell>
        </row>
        <row r="4126">
          <cell r="A4126" t="str">
            <v>SwitzerlandTRAINING AND EDUCATION</v>
          </cell>
        </row>
        <row r="4127">
          <cell r="A4127" t="str">
            <v>SwitzerlandOUTSIDE SERVICES  AND FEES</v>
          </cell>
        </row>
        <row r="4128">
          <cell r="A4128" t="str">
            <v>SwitzerlandSTATE, FOREIGN, LOCAL TAXES</v>
          </cell>
        </row>
        <row r="4129">
          <cell r="A4129" t="str">
            <v>SwitzerlandS/L TAX - INSURANCE PREMIUMS</v>
          </cell>
        </row>
        <row r="4130">
          <cell r="A4130" t="str">
            <v>SwitzerlandSATELLITE LEASE EXPENSE</v>
          </cell>
        </row>
        <row r="4131">
          <cell r="A4131" t="str">
            <v>SwitzerlandBUSINESS SHARE EXPENSE</v>
          </cell>
        </row>
        <row r="4132">
          <cell r="A4132" t="str">
            <v>SwitzerlandINSURANCE AFFILIATE EXPENSE</v>
          </cell>
        </row>
        <row r="4133">
          <cell r="A4133" t="str">
            <v>SwitzerlandOTHER FACILITY EXPENSE</v>
          </cell>
        </row>
        <row r="4134">
          <cell r="A4134" t="str">
            <v>SwitzerlandGROSS OP &amp; ADMIN BUS SHARE</v>
          </cell>
        </row>
        <row r="4135">
          <cell r="A4135" t="str">
            <v>SwitzerlandOTHER EXPENSE</v>
          </cell>
        </row>
        <row r="4136">
          <cell r="A4136" t="str">
            <v>SwitzerlandGECC INTERCO EXPENSES EXCL GECIS</v>
          </cell>
        </row>
        <row r="4137">
          <cell r="A4137" t="str">
            <v>SwitzerlandGECIS INTERCO CHARGES</v>
          </cell>
        </row>
        <row r="4138">
          <cell r="A4138" t="str">
            <v>SwitzerlandLOSS ADJUSTED EXPENSE</v>
          </cell>
        </row>
        <row r="4139">
          <cell r="A4139" t="str">
            <v>SwitzerlandALL OTHER EXPENSES</v>
          </cell>
        </row>
        <row r="4140">
          <cell r="A4140" t="str">
            <v>SwitzerlandASSESSMENTS</v>
          </cell>
        </row>
        <row r="4141">
          <cell r="A4141" t="str">
            <v>SwitzerlandFAS 91</v>
          </cell>
        </row>
        <row r="4142">
          <cell r="A4142" t="str">
            <v>SwitzerlandGOODWILL AMORTIZATION</v>
          </cell>
        </row>
        <row r="4143">
          <cell r="A4143" t="str">
            <v>SwitzerlandDEPRECIATION EXPENSE</v>
          </cell>
        </row>
        <row r="4144">
          <cell r="A4144" t="str">
            <v>SwitzerlandELTO AMORTIZATION</v>
          </cell>
        </row>
        <row r="4145">
          <cell r="A4145" t="str">
            <v>SwitzerlandINSURANCE LOSSES AND BENEFITS</v>
          </cell>
        </row>
        <row r="4146">
          <cell r="A4146" t="str">
            <v>SwitzerlandWRITE OFFS</v>
          </cell>
        </row>
        <row r="4147">
          <cell r="A4147" t="str">
            <v>SwitzerlandRESERVE CHANGE</v>
          </cell>
        </row>
        <row r="4148">
          <cell r="A4148" t="str">
            <v>SwitzerlandMINORITY INTEREST</v>
          </cell>
        </row>
        <row r="4149">
          <cell r="A4149" t="str">
            <v>SwitzerlandINCOME TAXES</v>
          </cell>
        </row>
        <row r="4150">
          <cell r="A4150" t="str">
            <v>SwitzerlandCUMULATIVE TRANSITION ADJUSTMENT</v>
          </cell>
        </row>
        <row r="4151">
          <cell r="A4151" t="str">
            <v>SwitzerlandASIA PACIFIC NI DIVIDEND</v>
          </cell>
        </row>
        <row r="4152">
          <cell r="A4152" t="str">
            <v>SwitzerlandNet Income</v>
          </cell>
        </row>
        <row r="4153">
          <cell r="A4153" t="str">
            <v>SwitzerlandSubPart F</v>
          </cell>
        </row>
        <row r="4154">
          <cell r="A4154" t="str">
            <v>SwitzerlandAssets</v>
          </cell>
        </row>
        <row r="4155">
          <cell r="A4155" t="str">
            <v>SwitzerlandEnding Net Investment (ENI) incl Asia</v>
          </cell>
        </row>
        <row r="4156">
          <cell r="A4156" t="str">
            <v>SwitzerlandANR YTD</v>
          </cell>
        </row>
        <row r="4157">
          <cell r="A4157" t="str">
            <v>SwitzerlandASA YTD</v>
          </cell>
        </row>
        <row r="4158">
          <cell r="A4158" t="str">
            <v>SwitzerlandANI YTD incl Asia - 5 pt</v>
          </cell>
        </row>
        <row r="4159">
          <cell r="A4159" t="str">
            <v>SwitzerlandOff Balance Sheet Assets</v>
          </cell>
        </row>
        <row r="4160">
          <cell r="A4160" t="str">
            <v>SwitzerlandJV Receivables</v>
          </cell>
        </row>
        <row r="4161">
          <cell r="A4161" t="str">
            <v>Switzerland30+ DELINQUENCY $</v>
          </cell>
        </row>
        <row r="4162">
          <cell r="A4162" t="str">
            <v>Switzerland90+ DELINQUENCY $</v>
          </cell>
        </row>
        <row r="4163">
          <cell r="A4163" t="str">
            <v>SwitzerlandTemporary Staff</v>
          </cell>
        </row>
        <row r="4164">
          <cell r="A4164" t="str">
            <v>SwitzerlandContractors</v>
          </cell>
        </row>
        <row r="4165">
          <cell r="A4165" t="str">
            <v>SwitzerlandOutsourced to LCC</v>
          </cell>
        </row>
        <row r="4166">
          <cell r="A4166" t="str">
            <v>SwitzerlandTotal Headcount</v>
          </cell>
        </row>
        <row r="4167">
          <cell r="A4167" t="str">
            <v>SwitzerlandTotal Workforce</v>
          </cell>
        </row>
        <row r="4168">
          <cell r="A4168" t="str">
            <v>SwitzerlandTotal Earned Revenue</v>
          </cell>
        </row>
        <row r="4169">
          <cell r="A4169" t="str">
            <v>SwitzerlandOrdinary Gains - PreTax</v>
          </cell>
        </row>
        <row r="4170">
          <cell r="A4170" t="str">
            <v>SwitzerlandOrdinary Gains - AfterTax</v>
          </cell>
        </row>
        <row r="4171">
          <cell r="A4171" t="str">
            <v>SwitzerlandTotal Volume</v>
          </cell>
        </row>
        <row r="4172">
          <cell r="A4172" t="str">
            <v>SwitzerlandTOTAL # ACTIVE ACCOUNTS</v>
          </cell>
        </row>
        <row r="4173">
          <cell r="A4173" t="str">
            <v>TaiwanTOTAL FINANCING RECEIVABLES</v>
          </cell>
        </row>
        <row r="4174">
          <cell r="A4174" t="str">
            <v>TaiwanRECEIVABLE RESERVES</v>
          </cell>
        </row>
        <row r="4175">
          <cell r="A4175" t="str">
            <v>TaiwanCASH</v>
          </cell>
        </row>
        <row r="4176">
          <cell r="A4176" t="str">
            <v>TaiwanINVESTMENT SECURITIES</v>
          </cell>
        </row>
        <row r="4177">
          <cell r="A4177" t="str">
            <v>TaiwanINV IN NON CONSOL AFFILIATES</v>
          </cell>
        </row>
        <row r="4178">
          <cell r="A4178" t="str">
            <v>TaiwanINVESTMENT IN JOINT VENTURE</v>
          </cell>
        </row>
        <row r="4179">
          <cell r="A4179" t="str">
            <v>TaiwanALL OTHER RECEIVABLES (NON-FINANCING)</v>
          </cell>
        </row>
        <row r="4180">
          <cell r="A4180" t="str">
            <v>TaiwanELTO (NET)</v>
          </cell>
        </row>
        <row r="4181">
          <cell r="A4181" t="str">
            <v>TaiwanGOODWILL</v>
          </cell>
        </row>
        <row r="4182">
          <cell r="A4182" t="str">
            <v>TaiwanOTHER ASSETS</v>
          </cell>
        </row>
        <row r="4183">
          <cell r="A4183" t="str">
            <v>TaiwanACCOUNTS PAYABLE</v>
          </cell>
        </row>
        <row r="4184">
          <cell r="A4184" t="str">
            <v>TaiwanDEFERRED INCOME TAXES</v>
          </cell>
        </row>
        <row r="4185">
          <cell r="A4185" t="str">
            <v>TaiwanWRITE-OFF (MEMO)</v>
          </cell>
        </row>
        <row r="4186">
          <cell r="A4186" t="str">
            <v>TaiwanINSURANCE RESERVES AND ANNUITY BENEFITS</v>
          </cell>
        </row>
        <row r="4187">
          <cell r="A4187" t="str">
            <v>TaiwanALL OTHER NON DEBT LIABILITIES</v>
          </cell>
        </row>
        <row r="4188">
          <cell r="A4188" t="str">
            <v>TaiwanMINORITY INTEREST (BS)</v>
          </cell>
        </row>
        <row r="4189">
          <cell r="A4189" t="str">
            <v>TaiwanASIA PACIFIC ENI DIVIDEND</v>
          </cell>
        </row>
        <row r="4190">
          <cell r="A4190" t="str">
            <v>TaiwanFINANCING INCOME</v>
          </cell>
        </row>
        <row r="4191">
          <cell r="A4191" t="str">
            <v>TaiwanINSURANCE PREMIUM INCOME</v>
          </cell>
        </row>
        <row r="4192">
          <cell r="A4192" t="str">
            <v>TaiwanINSURANCE INCOME (COMMISSIONS)</v>
          </cell>
        </row>
        <row r="4193">
          <cell r="A4193" t="str">
            <v>TaiwanSUNDRY INCOME</v>
          </cell>
        </row>
        <row r="4194">
          <cell r="A4194" t="str">
            <v>TaiwanINTEREST EXPENSE</v>
          </cell>
        </row>
        <row r="4195">
          <cell r="A4195" t="str">
            <v>TaiwanINTEREST EXPENSE REDUCTIONS / BUS SHARING</v>
          </cell>
        </row>
        <row r="4196">
          <cell r="A4196" t="str">
            <v>TaiwanALLOCATED COST OF PREFERRED EQUITY</v>
          </cell>
        </row>
        <row r="4197">
          <cell r="A4197" t="str">
            <v>TaiwanSALARIES &amp; BENEFITS</v>
          </cell>
        </row>
        <row r="4198">
          <cell r="A4198" t="str">
            <v>TaiwanLOSSES ON OTHER ASSETS</v>
          </cell>
        </row>
        <row r="4199">
          <cell r="A4199" t="str">
            <v>TaiwanCOST OF GOODS SOLD</v>
          </cell>
        </row>
        <row r="4200">
          <cell r="A4200" t="str">
            <v>TaiwanCOST OF GOODS SOLD - DISTRIBUTION</v>
          </cell>
        </row>
        <row r="4201">
          <cell r="A4201" t="str">
            <v>TaiwanPOSTAGE</v>
          </cell>
        </row>
        <row r="4202">
          <cell r="A4202" t="str">
            <v>TaiwanTELEPHONE</v>
          </cell>
        </row>
        <row r="4203">
          <cell r="A4203" t="str">
            <v>TaiwanCUSTOMER SERVICE / COLLECTIONS</v>
          </cell>
        </row>
        <row r="4204">
          <cell r="A4204" t="str">
            <v>TaiwanSTATIONARY - OFFICE SUPPLIES</v>
          </cell>
        </row>
        <row r="4205">
          <cell r="A4205" t="str">
            <v>TaiwanT&amp;L</v>
          </cell>
        </row>
        <row r="4206">
          <cell r="A4206" t="str">
            <v>TaiwanRENTAL - BLDG/FACILITIES</v>
          </cell>
        </row>
        <row r="4207">
          <cell r="A4207" t="str">
            <v>TaiwanRENTAL - FURNITURE/EQUIP</v>
          </cell>
        </row>
        <row r="4208">
          <cell r="A4208" t="str">
            <v>TaiwanRENTAL - COMPUTERS</v>
          </cell>
        </row>
        <row r="4209">
          <cell r="A4209" t="str">
            <v>TaiwanLEASE IN - LEASE OUT</v>
          </cell>
        </row>
        <row r="4210">
          <cell r="A4210" t="str">
            <v>TaiwanFURNITURE / EQUIPMENT / COMPUTER EXP</v>
          </cell>
        </row>
        <row r="4211">
          <cell r="A4211" t="str">
            <v>TaiwanSOFTWARE EXPENSE</v>
          </cell>
        </row>
        <row r="4212">
          <cell r="A4212" t="str">
            <v>TaiwanAMORTIZATION OF INTANGIBLES</v>
          </cell>
        </row>
        <row r="4213">
          <cell r="A4213" t="str">
            <v>TaiwanELTO MAINTENANCE</v>
          </cell>
        </row>
        <row r="4214">
          <cell r="A4214" t="str">
            <v>TaiwanELTO OTHER</v>
          </cell>
        </row>
        <row r="4215">
          <cell r="A4215" t="str">
            <v>TaiwanLEGAL</v>
          </cell>
        </row>
        <row r="4216">
          <cell r="A4216" t="str">
            <v>TaiwanADVERTISING</v>
          </cell>
        </row>
        <row r="4217">
          <cell r="A4217" t="str">
            <v>TaiwanSALES PROMOTIONS</v>
          </cell>
        </row>
        <row r="4218">
          <cell r="A4218" t="str">
            <v>TaiwanDIRECT MAIL</v>
          </cell>
        </row>
        <row r="4219">
          <cell r="A4219" t="str">
            <v>TaiwanDATA PROCESSING</v>
          </cell>
        </row>
        <row r="4220">
          <cell r="A4220" t="str">
            <v>TaiwanCONSULTING</v>
          </cell>
        </row>
        <row r="4221">
          <cell r="A4221" t="str">
            <v>TaiwanTEMP SERVICES</v>
          </cell>
        </row>
        <row r="4222">
          <cell r="A4222" t="str">
            <v>TaiwanGDC CHARGES</v>
          </cell>
        </row>
        <row r="4223">
          <cell r="A4223" t="str">
            <v>TaiwanTRAINING AND EDUCATION</v>
          </cell>
        </row>
        <row r="4224">
          <cell r="A4224" t="str">
            <v>TaiwanOUTSIDE SERVICES  AND FEES</v>
          </cell>
        </row>
        <row r="4225">
          <cell r="A4225" t="str">
            <v>TaiwanSTATE, FOREIGN, LOCAL TAXES</v>
          </cell>
        </row>
        <row r="4226">
          <cell r="A4226" t="str">
            <v>TaiwanS/L TAX - INSURANCE PREMIUMS</v>
          </cell>
        </row>
        <row r="4227">
          <cell r="A4227" t="str">
            <v>TaiwanSATELLITE LEASE EXPENSE</v>
          </cell>
        </row>
        <row r="4228">
          <cell r="A4228" t="str">
            <v>TaiwanBUSINESS SHARE EXPENSE</v>
          </cell>
        </row>
        <row r="4229">
          <cell r="A4229" t="str">
            <v>TaiwanINSURANCE AFFILIATE EXPENSE</v>
          </cell>
        </row>
        <row r="4230">
          <cell r="A4230" t="str">
            <v>TaiwanOTHER FACILITY EXPENSE</v>
          </cell>
        </row>
        <row r="4231">
          <cell r="A4231" t="str">
            <v>TaiwanGROSS OP &amp; ADMIN BUS SHARE</v>
          </cell>
        </row>
        <row r="4232">
          <cell r="A4232" t="str">
            <v>TaiwanOTHER EXPENSE</v>
          </cell>
        </row>
        <row r="4233">
          <cell r="A4233" t="str">
            <v>TaiwanGECC INTERCO EXPENSES EXCL GECIS</v>
          </cell>
        </row>
        <row r="4234">
          <cell r="A4234" t="str">
            <v>TaiwanGECIS INTERCO CHARGES</v>
          </cell>
        </row>
        <row r="4235">
          <cell r="A4235" t="str">
            <v>TaiwanLOSS ADJUSTED EXPENSE</v>
          </cell>
        </row>
        <row r="4236">
          <cell r="A4236" t="str">
            <v>TaiwanALL OTHER EXPENSES</v>
          </cell>
        </row>
        <row r="4237">
          <cell r="A4237" t="str">
            <v>TaiwanASSESSMENTS</v>
          </cell>
        </row>
        <row r="4238">
          <cell r="A4238" t="str">
            <v>TaiwanFAS 91</v>
          </cell>
        </row>
        <row r="4239">
          <cell r="A4239" t="str">
            <v>TaiwanGOODWILL AMORTIZATION</v>
          </cell>
        </row>
        <row r="4240">
          <cell r="A4240" t="str">
            <v>TaiwanDEPRECIATION EXPENSE</v>
          </cell>
        </row>
        <row r="4241">
          <cell r="A4241" t="str">
            <v>TaiwanELTO AMORTIZATION</v>
          </cell>
        </row>
        <row r="4242">
          <cell r="A4242" t="str">
            <v>TaiwanINSURANCE LOSSES AND BENEFITS</v>
          </cell>
        </row>
        <row r="4243">
          <cell r="A4243" t="str">
            <v>TaiwanWRITE OFFS</v>
          </cell>
        </row>
        <row r="4244">
          <cell r="A4244" t="str">
            <v>TaiwanRESERVE CHANGE</v>
          </cell>
        </row>
        <row r="4245">
          <cell r="A4245" t="str">
            <v>TaiwanMINORITY INTEREST</v>
          </cell>
        </row>
        <row r="4246">
          <cell r="A4246" t="str">
            <v>TaiwanINCOME TAXES</v>
          </cell>
        </row>
        <row r="4247">
          <cell r="A4247" t="str">
            <v>TaiwanCUMULATIVE TRANSITION ADJUSTMENT</v>
          </cell>
        </row>
        <row r="4248">
          <cell r="A4248" t="str">
            <v>TaiwanASIA PACIFIC NI DIVIDEND</v>
          </cell>
        </row>
        <row r="4249">
          <cell r="A4249" t="str">
            <v>TaiwanNet Income</v>
          </cell>
        </row>
        <row r="4250">
          <cell r="A4250" t="str">
            <v>TaiwanSubPart F</v>
          </cell>
        </row>
        <row r="4251">
          <cell r="A4251" t="str">
            <v>TaiwanAssets</v>
          </cell>
        </row>
        <row r="4252">
          <cell r="A4252" t="str">
            <v>TaiwanEnding Net Investment (ENI) incl Asia</v>
          </cell>
        </row>
        <row r="4253">
          <cell r="A4253" t="str">
            <v>TaiwanANR YTD</v>
          </cell>
        </row>
        <row r="4254">
          <cell r="A4254" t="str">
            <v>TaiwanASA YTD</v>
          </cell>
        </row>
        <row r="4255">
          <cell r="A4255" t="str">
            <v>TaiwanANI YTD incl Asia - 5 pt</v>
          </cell>
        </row>
        <row r="4256">
          <cell r="A4256" t="str">
            <v>TaiwanOff Balance Sheet Assets</v>
          </cell>
        </row>
        <row r="4257">
          <cell r="A4257" t="str">
            <v>TaiwanJV Receivables</v>
          </cell>
        </row>
        <row r="4258">
          <cell r="A4258" t="str">
            <v>Taiwan30+ DELINQUENCY $</v>
          </cell>
        </row>
        <row r="4259">
          <cell r="A4259" t="str">
            <v>Taiwan90+ DELINQUENCY $</v>
          </cell>
        </row>
        <row r="4260">
          <cell r="A4260" t="str">
            <v>TaiwanTemporary Staff</v>
          </cell>
        </row>
        <row r="4261">
          <cell r="A4261" t="str">
            <v>TaiwanContractors</v>
          </cell>
        </row>
        <row r="4262">
          <cell r="A4262" t="str">
            <v>TaiwanOutsourced to LCC</v>
          </cell>
        </row>
        <row r="4263">
          <cell r="A4263" t="str">
            <v>TaiwanTotal Headcount</v>
          </cell>
        </row>
        <row r="4264">
          <cell r="A4264" t="str">
            <v>TaiwanTotal Workforce</v>
          </cell>
        </row>
        <row r="4265">
          <cell r="A4265" t="str">
            <v>TaiwanTotal Earned Revenue</v>
          </cell>
        </row>
        <row r="4266">
          <cell r="A4266" t="str">
            <v>TaiwanOrdinary Gains - PreTax</v>
          </cell>
        </row>
        <row r="4267">
          <cell r="A4267" t="str">
            <v>TaiwanOrdinary Gains - AfterTax</v>
          </cell>
        </row>
        <row r="4268">
          <cell r="A4268" t="str">
            <v>TaiwanTotal Volume</v>
          </cell>
        </row>
        <row r="4269">
          <cell r="A4269" t="str">
            <v>TaiwanTOTAL # ACTIVE ACCOUNTS</v>
          </cell>
        </row>
        <row r="4270">
          <cell r="A4270" t="str">
            <v>ThailandTOTAL FINANCING RECEIVABLES</v>
          </cell>
        </row>
        <row r="4271">
          <cell r="A4271" t="str">
            <v>ThailandRECEIVABLE RESERVES</v>
          </cell>
        </row>
        <row r="4272">
          <cell r="A4272" t="str">
            <v>ThailandCASH</v>
          </cell>
        </row>
        <row r="4273">
          <cell r="A4273" t="str">
            <v>ThailandINVESTMENT SECURITIES</v>
          </cell>
        </row>
        <row r="4274">
          <cell r="A4274" t="str">
            <v>ThailandINV IN NON CONSOL AFFILIATES</v>
          </cell>
        </row>
        <row r="4275">
          <cell r="A4275" t="str">
            <v>ThailandINVESTMENT IN JOINT VENTURE</v>
          </cell>
        </row>
        <row r="4276">
          <cell r="A4276" t="str">
            <v>ThailandALL OTHER RECEIVABLES (NON-FINANCING)</v>
          </cell>
        </row>
        <row r="4277">
          <cell r="A4277" t="str">
            <v>ThailandELTO (NET)</v>
          </cell>
        </row>
        <row r="4278">
          <cell r="A4278" t="str">
            <v>ThailandGOODWILL</v>
          </cell>
        </row>
        <row r="4279">
          <cell r="A4279" t="str">
            <v>ThailandOTHER ASSETS</v>
          </cell>
        </row>
        <row r="4280">
          <cell r="A4280" t="str">
            <v>ThailandACCOUNTS PAYABLE</v>
          </cell>
        </row>
        <row r="4281">
          <cell r="A4281" t="str">
            <v>ThailandDEFERRED INCOME TAXES</v>
          </cell>
        </row>
        <row r="4282">
          <cell r="A4282" t="str">
            <v>ThailandWRITE-OFF (MEMO)</v>
          </cell>
        </row>
        <row r="4283">
          <cell r="A4283" t="str">
            <v>ThailandINSURANCE RESERVES AND ANNUITY BENEFITS</v>
          </cell>
        </row>
        <row r="4284">
          <cell r="A4284" t="str">
            <v>ThailandALL OTHER NON DEBT LIABILITIES</v>
          </cell>
        </row>
        <row r="4285">
          <cell r="A4285" t="str">
            <v>ThailandMINORITY INTEREST (BS)</v>
          </cell>
        </row>
        <row r="4286">
          <cell r="A4286" t="str">
            <v>ThailandASIA PACIFIC ENI DIVIDEND</v>
          </cell>
        </row>
        <row r="4287">
          <cell r="A4287" t="str">
            <v>ThailandFINANCING INCOME</v>
          </cell>
        </row>
        <row r="4288">
          <cell r="A4288" t="str">
            <v>ThailandINSURANCE PREMIUM INCOME</v>
          </cell>
        </row>
        <row r="4289">
          <cell r="A4289" t="str">
            <v>ThailandINSURANCE INCOME (COMMISSIONS)</v>
          </cell>
        </row>
        <row r="4290">
          <cell r="A4290" t="str">
            <v>ThailandSUNDRY INCOME</v>
          </cell>
        </row>
        <row r="4291">
          <cell r="A4291" t="str">
            <v>ThailandINTEREST EXPENSE</v>
          </cell>
        </row>
        <row r="4292">
          <cell r="A4292" t="str">
            <v>ThailandINTEREST EXPENSE REDUCTIONS / BUS SHARING</v>
          </cell>
        </row>
        <row r="4293">
          <cell r="A4293" t="str">
            <v>ThailandALLOCATED COST OF PREFERRED EQUITY</v>
          </cell>
        </row>
        <row r="4294">
          <cell r="A4294" t="str">
            <v>ThailandSALARIES &amp; BENEFITS</v>
          </cell>
        </row>
        <row r="4295">
          <cell r="A4295" t="str">
            <v>ThailandLOSSES ON OTHER ASSETS</v>
          </cell>
        </row>
        <row r="4296">
          <cell r="A4296" t="str">
            <v>ThailandCOST OF GOODS SOLD</v>
          </cell>
        </row>
        <row r="4297">
          <cell r="A4297" t="str">
            <v>ThailandCOST OF GOODS SOLD - DISTRIBUTION</v>
          </cell>
        </row>
        <row r="4298">
          <cell r="A4298" t="str">
            <v>ThailandPOSTAGE</v>
          </cell>
        </row>
        <row r="4299">
          <cell r="A4299" t="str">
            <v>ThailandTELEPHONE</v>
          </cell>
        </row>
        <row r="4300">
          <cell r="A4300" t="str">
            <v>ThailandCUSTOMER SERVICE / COLLECTIONS</v>
          </cell>
        </row>
        <row r="4301">
          <cell r="A4301" t="str">
            <v>ThailandSTATIONARY - OFFICE SUPPLIES</v>
          </cell>
        </row>
        <row r="4302">
          <cell r="A4302" t="str">
            <v>ThailandT&amp;L</v>
          </cell>
        </row>
        <row r="4303">
          <cell r="A4303" t="str">
            <v>ThailandRENTAL - BLDG/FACILITIES</v>
          </cell>
        </row>
        <row r="4304">
          <cell r="A4304" t="str">
            <v>ThailandRENTAL - FURNITURE/EQUIP</v>
          </cell>
        </row>
        <row r="4305">
          <cell r="A4305" t="str">
            <v>ThailandRENTAL - COMPUTERS</v>
          </cell>
        </row>
        <row r="4306">
          <cell r="A4306" t="str">
            <v>ThailandLEASE IN - LEASE OUT</v>
          </cell>
        </row>
        <row r="4307">
          <cell r="A4307" t="str">
            <v>ThailandFURNITURE / EQUIPMENT / COMPUTER EXP</v>
          </cell>
        </row>
        <row r="4308">
          <cell r="A4308" t="str">
            <v>ThailandSOFTWARE EXPENSE</v>
          </cell>
        </row>
        <row r="4309">
          <cell r="A4309" t="str">
            <v>ThailandAMORTIZATION OF INTANGIBLES</v>
          </cell>
        </row>
        <row r="4310">
          <cell r="A4310" t="str">
            <v>ThailandELTO MAINTENANCE</v>
          </cell>
        </row>
        <row r="4311">
          <cell r="A4311" t="str">
            <v>ThailandELTO OTHER</v>
          </cell>
        </row>
        <row r="4312">
          <cell r="A4312" t="str">
            <v>ThailandLEGAL</v>
          </cell>
        </row>
        <row r="4313">
          <cell r="A4313" t="str">
            <v>ThailandADVERTISING</v>
          </cell>
        </row>
        <row r="4314">
          <cell r="A4314" t="str">
            <v>ThailandSALES PROMOTIONS</v>
          </cell>
        </row>
        <row r="4315">
          <cell r="A4315" t="str">
            <v>ThailandDIRECT MAIL</v>
          </cell>
        </row>
        <row r="4316">
          <cell r="A4316" t="str">
            <v>ThailandDATA PROCESSING</v>
          </cell>
        </row>
        <row r="4317">
          <cell r="A4317" t="str">
            <v>ThailandCONSULTING</v>
          </cell>
        </row>
        <row r="4318">
          <cell r="A4318" t="str">
            <v>ThailandTEMP SERVICES</v>
          </cell>
        </row>
        <row r="4319">
          <cell r="A4319" t="str">
            <v>ThailandGDC CHARGES</v>
          </cell>
        </row>
        <row r="4320">
          <cell r="A4320" t="str">
            <v>ThailandTRAINING AND EDUCATION</v>
          </cell>
        </row>
        <row r="4321">
          <cell r="A4321" t="str">
            <v>ThailandOUTSIDE SERVICES  AND FEES</v>
          </cell>
        </row>
        <row r="4322">
          <cell r="A4322" t="str">
            <v>ThailandSTATE, FOREIGN, LOCAL TAXES</v>
          </cell>
        </row>
        <row r="4323">
          <cell r="A4323" t="str">
            <v>ThailandS/L TAX - INSURANCE PREMIUMS</v>
          </cell>
        </row>
        <row r="4324">
          <cell r="A4324" t="str">
            <v>ThailandSATELLITE LEASE EXPENSE</v>
          </cell>
        </row>
        <row r="4325">
          <cell r="A4325" t="str">
            <v>ThailandBUSINESS SHARE EXPENSE</v>
          </cell>
        </row>
        <row r="4326">
          <cell r="A4326" t="str">
            <v>ThailandINSURANCE AFFILIATE EXPENSE</v>
          </cell>
        </row>
        <row r="4327">
          <cell r="A4327" t="str">
            <v>ThailandOTHER FACILITY EXPENSE</v>
          </cell>
        </row>
        <row r="4328">
          <cell r="A4328" t="str">
            <v>ThailandGROSS OP &amp; ADMIN BUS SHARE</v>
          </cell>
        </row>
        <row r="4329">
          <cell r="A4329" t="str">
            <v>ThailandOTHER EXPENSE</v>
          </cell>
        </row>
        <row r="4330">
          <cell r="A4330" t="str">
            <v>ThailandGECC INTERCO EXPENSES EXCL GECIS</v>
          </cell>
        </row>
        <row r="4331">
          <cell r="A4331" t="str">
            <v>ThailandGECIS INTERCO CHARGES</v>
          </cell>
        </row>
        <row r="4332">
          <cell r="A4332" t="str">
            <v>ThailandLOSS ADJUSTED EXPENSE</v>
          </cell>
        </row>
        <row r="4333">
          <cell r="A4333" t="str">
            <v>ThailandALL OTHER EXPENSES</v>
          </cell>
        </row>
        <row r="4334">
          <cell r="A4334" t="str">
            <v>ThailandASSESSMENTS</v>
          </cell>
        </row>
        <row r="4335">
          <cell r="A4335" t="str">
            <v>ThailandFAS 91</v>
          </cell>
        </row>
        <row r="4336">
          <cell r="A4336" t="str">
            <v>ThailandGOODWILL AMORTIZATION</v>
          </cell>
        </row>
        <row r="4337">
          <cell r="A4337" t="str">
            <v>ThailandDEPRECIATION EXPENSE</v>
          </cell>
        </row>
        <row r="4338">
          <cell r="A4338" t="str">
            <v>ThailandELTO AMORTIZATION</v>
          </cell>
        </row>
        <row r="4339">
          <cell r="A4339" t="str">
            <v>ThailandINSURANCE LOSSES AND BENEFITS</v>
          </cell>
        </row>
        <row r="4340">
          <cell r="A4340" t="str">
            <v>ThailandWRITE OFFS</v>
          </cell>
        </row>
        <row r="4341">
          <cell r="A4341" t="str">
            <v>ThailandRESERVE CHANGE</v>
          </cell>
        </row>
        <row r="4342">
          <cell r="A4342" t="str">
            <v>ThailandMINORITY INTEREST</v>
          </cell>
        </row>
        <row r="4343">
          <cell r="A4343" t="str">
            <v>ThailandINCOME TAXES</v>
          </cell>
        </row>
        <row r="4344">
          <cell r="A4344" t="str">
            <v>ThailandCUMULATIVE TRANSITION ADJUSTMENT</v>
          </cell>
        </row>
        <row r="4345">
          <cell r="A4345" t="str">
            <v>ThailandASIA PACIFIC NI DIVIDEND</v>
          </cell>
        </row>
        <row r="4346">
          <cell r="A4346" t="str">
            <v>ThailandNet Income</v>
          </cell>
        </row>
        <row r="4347">
          <cell r="A4347" t="str">
            <v>ThailandSubPart F</v>
          </cell>
        </row>
        <row r="4348">
          <cell r="A4348" t="str">
            <v>ThailandAssets</v>
          </cell>
        </row>
        <row r="4349">
          <cell r="A4349" t="str">
            <v>ThailandEnding Net Investment (ENI) incl Asia</v>
          </cell>
        </row>
        <row r="4350">
          <cell r="A4350" t="str">
            <v>ThailandANR YTD</v>
          </cell>
        </row>
        <row r="4351">
          <cell r="A4351" t="str">
            <v>ThailandASA YTD</v>
          </cell>
        </row>
        <row r="4352">
          <cell r="A4352" t="str">
            <v>ThailandANI YTD incl Asia - 5 pt</v>
          </cell>
        </row>
        <row r="4353">
          <cell r="A4353" t="str">
            <v>ThailandOff Balance Sheet Assets</v>
          </cell>
        </row>
        <row r="4354">
          <cell r="A4354" t="str">
            <v>ThailandJV Receivables</v>
          </cell>
        </row>
        <row r="4355">
          <cell r="A4355" t="str">
            <v>Thailand30+ DELINQUENCY $</v>
          </cell>
        </row>
        <row r="4356">
          <cell r="A4356" t="str">
            <v>Thailand90+ DELINQUENCY $</v>
          </cell>
        </row>
        <row r="4357">
          <cell r="A4357" t="str">
            <v>ThailandTemporary Staff</v>
          </cell>
        </row>
        <row r="4358">
          <cell r="A4358" t="str">
            <v>ThailandContractors</v>
          </cell>
        </row>
        <row r="4359">
          <cell r="A4359" t="str">
            <v>ThailandOutsourced to LCC</v>
          </cell>
        </row>
        <row r="4360">
          <cell r="A4360" t="str">
            <v>ThailandTotal Headcount</v>
          </cell>
        </row>
        <row r="4361">
          <cell r="A4361" t="str">
            <v>ThailandTotal Workforce</v>
          </cell>
        </row>
        <row r="4362">
          <cell r="A4362" t="str">
            <v>ThailandTotal Earned Revenue</v>
          </cell>
        </row>
        <row r="4363">
          <cell r="A4363" t="str">
            <v>ThailandOrdinary Gains - PreTax</v>
          </cell>
        </row>
        <row r="4364">
          <cell r="A4364" t="str">
            <v>ThailandOrdinary Gains - AfterTax</v>
          </cell>
        </row>
        <row r="4365">
          <cell r="A4365" t="str">
            <v>ThailandTotal Volume</v>
          </cell>
        </row>
        <row r="4366">
          <cell r="A4366" t="str">
            <v>ThailandTOTAL # ACTIVE ACCOUNTS</v>
          </cell>
        </row>
        <row r="4367">
          <cell r="A4367" t="str">
            <v>HQTOTAL FINANCING RECEIVABLES</v>
          </cell>
        </row>
        <row r="4368">
          <cell r="A4368" t="str">
            <v>HQRECEIVABLE RESERVES</v>
          </cell>
        </row>
        <row r="4369">
          <cell r="A4369" t="str">
            <v>HQCASH</v>
          </cell>
        </row>
        <row r="4370">
          <cell r="A4370" t="str">
            <v>HQINVESTMENT SECURITIES</v>
          </cell>
        </row>
        <row r="4371">
          <cell r="A4371" t="str">
            <v>HQINV IN NON CONSOL AFFILIATES</v>
          </cell>
        </row>
        <row r="4372">
          <cell r="A4372" t="str">
            <v>HQINVESTMENT IN JOINT VENTURE</v>
          </cell>
        </row>
        <row r="4373">
          <cell r="A4373" t="str">
            <v>HQALL OTHER RECEIVABLES (NON-FINANCING)</v>
          </cell>
        </row>
        <row r="4374">
          <cell r="A4374" t="str">
            <v>HQELTO (NET)</v>
          </cell>
        </row>
        <row r="4375">
          <cell r="A4375" t="str">
            <v>HQGOODWILL</v>
          </cell>
        </row>
        <row r="4376">
          <cell r="A4376" t="str">
            <v>HQOTHER ASSETS</v>
          </cell>
        </row>
        <row r="4377">
          <cell r="A4377" t="str">
            <v>HQACCOUNTS PAYABLE</v>
          </cell>
        </row>
        <row r="4378">
          <cell r="A4378" t="str">
            <v>HQDEFERRED INCOME TAXES</v>
          </cell>
        </row>
        <row r="4379">
          <cell r="A4379" t="str">
            <v>HQWRITE-OFF (MEMO)</v>
          </cell>
        </row>
        <row r="4380">
          <cell r="A4380" t="str">
            <v>HQINSURANCE RESERVES AND ANNUITY BENEFITS</v>
          </cell>
        </row>
        <row r="4381">
          <cell r="A4381" t="str">
            <v>HQALL OTHER NON DEBT LIABILITIES</v>
          </cell>
        </row>
        <row r="4382">
          <cell r="A4382" t="str">
            <v>HQMINORITY INTEREST (BS)</v>
          </cell>
        </row>
        <row r="4383">
          <cell r="A4383" t="str">
            <v>HQASIA PACIFIC ENI DIVIDEND</v>
          </cell>
        </row>
        <row r="4384">
          <cell r="A4384" t="str">
            <v>HQFINANCING INCOME</v>
          </cell>
        </row>
        <row r="4385">
          <cell r="A4385" t="str">
            <v>HQINSURANCE PREMIUM INCOME</v>
          </cell>
        </row>
        <row r="4386">
          <cell r="A4386" t="str">
            <v>HQINSURANCE INCOME (COMMISSIONS)</v>
          </cell>
        </row>
        <row r="4387">
          <cell r="A4387" t="str">
            <v>HQSUNDRY INCOME</v>
          </cell>
        </row>
        <row r="4388">
          <cell r="A4388" t="str">
            <v>HQINTEREST EXPENSE</v>
          </cell>
        </row>
        <row r="4389">
          <cell r="A4389" t="str">
            <v>HQINTEREST EXPENSE REDUCTIONS / BUS SHARING</v>
          </cell>
        </row>
        <row r="4390">
          <cell r="A4390" t="str">
            <v>HQALLOCATED COST OF PREFERRED EQUITY</v>
          </cell>
        </row>
        <row r="4391">
          <cell r="A4391" t="str">
            <v>HQSALARIES &amp; BENEFITS</v>
          </cell>
        </row>
        <row r="4392">
          <cell r="A4392" t="str">
            <v>HQLOSSES ON OTHER ASSETS</v>
          </cell>
        </row>
        <row r="4393">
          <cell r="A4393" t="str">
            <v>HQCOST OF GOODS SOLD</v>
          </cell>
        </row>
        <row r="4394">
          <cell r="A4394" t="str">
            <v>HQCOST OF GOODS SOLD - DISTRIBUTION</v>
          </cell>
        </row>
        <row r="4395">
          <cell r="A4395" t="str">
            <v>HQPOSTAGE</v>
          </cell>
        </row>
        <row r="4396">
          <cell r="A4396" t="str">
            <v>HQTELEPHONE</v>
          </cell>
        </row>
        <row r="4397">
          <cell r="A4397" t="str">
            <v>HQCUSTOMER SERVICE / COLLECTIONS</v>
          </cell>
        </row>
        <row r="4398">
          <cell r="A4398" t="str">
            <v>HQSTATIONARY - OFFICE SUPPLIES</v>
          </cell>
        </row>
        <row r="4399">
          <cell r="A4399" t="str">
            <v>HQT&amp;L</v>
          </cell>
        </row>
        <row r="4400">
          <cell r="A4400" t="str">
            <v>HQRENTAL - BLDG/FACILITIES</v>
          </cell>
        </row>
        <row r="4401">
          <cell r="A4401" t="str">
            <v>HQRENTAL - FURNITURE/EQUIP</v>
          </cell>
        </row>
        <row r="4402">
          <cell r="A4402" t="str">
            <v>HQRENTAL - COMPUTERS</v>
          </cell>
        </row>
        <row r="4403">
          <cell r="A4403" t="str">
            <v>HQLEASE IN - LEASE OUT</v>
          </cell>
        </row>
        <row r="4404">
          <cell r="A4404" t="str">
            <v>HQFURNITURE / EQUIPMENT / COMPUTER EXP</v>
          </cell>
        </row>
        <row r="4405">
          <cell r="A4405" t="str">
            <v>HQSOFTWARE EXPENSE</v>
          </cell>
        </row>
        <row r="4406">
          <cell r="A4406" t="str">
            <v>HQAMORTIZATION OF INTANGIBLES</v>
          </cell>
        </row>
        <row r="4407">
          <cell r="A4407" t="str">
            <v>HQELTO MAINTENANCE</v>
          </cell>
        </row>
        <row r="4408">
          <cell r="A4408" t="str">
            <v>HQELTO OTHER</v>
          </cell>
        </row>
        <row r="4409">
          <cell r="A4409" t="str">
            <v>HQLEGAL</v>
          </cell>
        </row>
        <row r="4410">
          <cell r="A4410" t="str">
            <v>HQADVERTISING</v>
          </cell>
        </row>
        <row r="4411">
          <cell r="A4411" t="str">
            <v>HQSALES PROMOTIONS</v>
          </cell>
        </row>
        <row r="4412">
          <cell r="A4412" t="str">
            <v>HQDIRECT MAIL</v>
          </cell>
        </row>
        <row r="4413">
          <cell r="A4413" t="str">
            <v>HQDATA PROCESSING</v>
          </cell>
        </row>
        <row r="4414">
          <cell r="A4414" t="str">
            <v>HQCONSULTING</v>
          </cell>
        </row>
        <row r="4415">
          <cell r="A4415" t="str">
            <v>HQTEMP SERVICES</v>
          </cell>
        </row>
        <row r="4416">
          <cell r="A4416" t="str">
            <v>HQGDC CHARGES</v>
          </cell>
        </row>
        <row r="4417">
          <cell r="A4417" t="str">
            <v>HQTRAINING AND EDUCATION</v>
          </cell>
        </row>
        <row r="4418">
          <cell r="A4418" t="str">
            <v>HQOUTSIDE SERVICES  AND FEES</v>
          </cell>
        </row>
        <row r="4419">
          <cell r="A4419" t="str">
            <v>HQSTATE, FOREIGN, LOCAL TAXES</v>
          </cell>
        </row>
        <row r="4420">
          <cell r="A4420" t="str">
            <v>HQS/L TAX - INSURANCE PREMIUMS</v>
          </cell>
        </row>
        <row r="4421">
          <cell r="A4421" t="str">
            <v>HQSATELLITE LEASE EXPENSE</v>
          </cell>
        </row>
        <row r="4422">
          <cell r="A4422" t="str">
            <v>HQBUSINESS SHARE EXPENSE</v>
          </cell>
        </row>
        <row r="4423">
          <cell r="A4423" t="str">
            <v>HQINSURANCE AFFILIATE EXPENSE</v>
          </cell>
        </row>
        <row r="4424">
          <cell r="A4424" t="str">
            <v>HQOTHER FACILITY EXPENSE</v>
          </cell>
        </row>
        <row r="4425">
          <cell r="A4425" t="str">
            <v>HQGROSS OP &amp; ADMIN BUS SHARE</v>
          </cell>
        </row>
        <row r="4426">
          <cell r="A4426" t="str">
            <v>HQOTHER EXPENSE</v>
          </cell>
        </row>
        <row r="4427">
          <cell r="A4427" t="str">
            <v>HQGECC INTERCO EXPENSES EXCL GECIS</v>
          </cell>
        </row>
        <row r="4428">
          <cell r="A4428" t="str">
            <v>HQGECIS INTERCO CHARGES</v>
          </cell>
        </row>
        <row r="4429">
          <cell r="A4429" t="str">
            <v>HQLOSS ADJUSTED EXPENSE</v>
          </cell>
        </row>
        <row r="4430">
          <cell r="A4430" t="str">
            <v>HQALL OTHER EXPENSES</v>
          </cell>
        </row>
        <row r="4431">
          <cell r="A4431" t="str">
            <v>HQASSESSMENTS</v>
          </cell>
        </row>
        <row r="4432">
          <cell r="A4432" t="str">
            <v>HQFAS 91</v>
          </cell>
        </row>
        <row r="4433">
          <cell r="A4433" t="str">
            <v>HQGOODWILL AMORTIZATION</v>
          </cell>
        </row>
        <row r="4434">
          <cell r="A4434" t="str">
            <v>HQDEPRECIATION EXPENSE</v>
          </cell>
        </row>
        <row r="4435">
          <cell r="A4435" t="str">
            <v>HQELTO AMORTIZATION</v>
          </cell>
        </row>
        <row r="4436">
          <cell r="A4436" t="str">
            <v>HQINSURANCE LOSSES AND BENEFITS</v>
          </cell>
        </row>
        <row r="4437">
          <cell r="A4437" t="str">
            <v>HQWRITE OFFS</v>
          </cell>
        </row>
        <row r="4438">
          <cell r="A4438" t="str">
            <v>HQRESERVE CHANGE</v>
          </cell>
        </row>
        <row r="4439">
          <cell r="A4439" t="str">
            <v>HQMINORITY INTEREST</v>
          </cell>
        </row>
        <row r="4440">
          <cell r="A4440" t="str">
            <v>HQINCOME TAXES</v>
          </cell>
        </row>
        <row r="4441">
          <cell r="A4441" t="str">
            <v>HQCUMULATIVE TRANSITION ADJUSTMENT</v>
          </cell>
        </row>
        <row r="4442">
          <cell r="A4442" t="str">
            <v>HQASIA PACIFIC NI DIVIDEND</v>
          </cell>
        </row>
        <row r="4443">
          <cell r="A4443" t="str">
            <v>HQNet Income</v>
          </cell>
        </row>
        <row r="4444">
          <cell r="A4444" t="str">
            <v>HQSubPart F</v>
          </cell>
        </row>
        <row r="4445">
          <cell r="A4445" t="str">
            <v>HQAssets</v>
          </cell>
        </row>
        <row r="4446">
          <cell r="A4446" t="str">
            <v>HQEnding Net Investment (ENI) incl Asia</v>
          </cell>
        </row>
        <row r="4447">
          <cell r="A4447" t="str">
            <v>HQANR YTD</v>
          </cell>
        </row>
        <row r="4448">
          <cell r="A4448" t="str">
            <v>HQASA YTD</v>
          </cell>
        </row>
        <row r="4449">
          <cell r="A4449" t="str">
            <v>HQANI YTD incl Asia - 5 pt</v>
          </cell>
        </row>
        <row r="4450">
          <cell r="A4450" t="str">
            <v>HQOff Balance Sheet Assets</v>
          </cell>
        </row>
        <row r="4451">
          <cell r="A4451" t="str">
            <v>HQJV Receivables</v>
          </cell>
        </row>
        <row r="4452">
          <cell r="A4452" t="str">
            <v>HQ30+ DELINQUENCY $</v>
          </cell>
        </row>
        <row r="4453">
          <cell r="A4453" t="str">
            <v>HQ90+ DELINQUENCY $</v>
          </cell>
        </row>
        <row r="4454">
          <cell r="A4454" t="str">
            <v>HQTemporary Staff</v>
          </cell>
        </row>
        <row r="4455">
          <cell r="A4455" t="str">
            <v>HQContractors</v>
          </cell>
        </row>
        <row r="4456">
          <cell r="A4456" t="str">
            <v>HQOutsourced to LCC</v>
          </cell>
        </row>
        <row r="4457">
          <cell r="A4457" t="str">
            <v>HQTotal Headcount</v>
          </cell>
        </row>
        <row r="4458">
          <cell r="A4458" t="str">
            <v>HQTotal Workforce</v>
          </cell>
        </row>
        <row r="4459">
          <cell r="A4459" t="str">
            <v>HQTotal Earned Revenue</v>
          </cell>
        </row>
        <row r="4460">
          <cell r="A4460" t="str">
            <v>HQOrdinary Gains - PreTax</v>
          </cell>
        </row>
        <row r="4461">
          <cell r="A4461" t="str">
            <v>HQOrdinary Gains - AfterTax</v>
          </cell>
        </row>
        <row r="4462">
          <cell r="A4462" t="str">
            <v>HQTotal Volume</v>
          </cell>
        </row>
        <row r="4463">
          <cell r="A4463" t="str">
            <v>HQTOTAL # ACTIVE ACCOUNTS</v>
          </cell>
        </row>
        <row r="4464">
          <cell r="A4464" t="str">
            <v>Japan GECF (Business Split)TOTAL FINANCING RECEIVABLES</v>
          </cell>
        </row>
        <row r="4465">
          <cell r="A4465" t="str">
            <v>Japan GECF (Business Split)RECEIVABLE RESERVES</v>
          </cell>
        </row>
        <row r="4466">
          <cell r="A4466" t="str">
            <v>Japan GECF (Business Split)CASH</v>
          </cell>
        </row>
        <row r="4467">
          <cell r="A4467" t="str">
            <v>Japan GECF (Business Split)INVESTMENT SECURITIES</v>
          </cell>
        </row>
        <row r="4468">
          <cell r="A4468" t="str">
            <v>Japan GECF (Business Split)INV IN NON CONSOL AFFILIATES</v>
          </cell>
        </row>
        <row r="4469">
          <cell r="A4469" t="str">
            <v>Japan GECF (Business Split)INVESTMENT IN JOINT VENTURE</v>
          </cell>
        </row>
        <row r="4470">
          <cell r="A4470" t="str">
            <v>Japan GECF (Business Split)ALL OTHER RECEIVABLES (NON-FINANCING)</v>
          </cell>
        </row>
        <row r="4471">
          <cell r="A4471" t="str">
            <v>Japan GECF (Business Split)ELTO (NET)</v>
          </cell>
        </row>
        <row r="4472">
          <cell r="A4472" t="str">
            <v>Japan GECF (Business Split)GOODWILL</v>
          </cell>
        </row>
        <row r="4473">
          <cell r="A4473" t="str">
            <v>Japan GECF (Business Split)OTHER ASSETS</v>
          </cell>
        </row>
        <row r="4474">
          <cell r="A4474" t="str">
            <v>Japan GECF (Business Split)ACCOUNTS PAYABLE</v>
          </cell>
        </row>
        <row r="4475">
          <cell r="A4475" t="str">
            <v>Japan GECF (Business Split)DEFERRED INCOME TAXES</v>
          </cell>
        </row>
        <row r="4476">
          <cell r="A4476" t="str">
            <v>Japan GECF (Business Split)WRITE-OFF (MEMO)</v>
          </cell>
        </row>
        <row r="4477">
          <cell r="A4477" t="str">
            <v>Japan GECF (Business Split)INSURANCE RESERVES AND ANNUITY BENEFITS</v>
          </cell>
        </row>
        <row r="4478">
          <cell r="A4478" t="str">
            <v>Japan GECF (Business Split)ALL OTHER NON DEBT LIABILITIES</v>
          </cell>
        </row>
        <row r="4479">
          <cell r="A4479" t="str">
            <v>Japan GECF (Business Split)MINORITY INTEREST (BS)</v>
          </cell>
        </row>
        <row r="4480">
          <cell r="A4480" t="str">
            <v>Japan GECF (Business Split)ASIA PACIFIC ENI DIVIDEND</v>
          </cell>
        </row>
        <row r="4481">
          <cell r="A4481" t="str">
            <v>Japan GECF (Business Split)FINANCING INCOME</v>
          </cell>
        </row>
        <row r="4482">
          <cell r="A4482" t="str">
            <v>Japan GECF (Business Split)INSURANCE PREMIUM INCOME</v>
          </cell>
        </row>
        <row r="4483">
          <cell r="A4483" t="str">
            <v>Japan GECF (Business Split)INSURANCE INCOME (COMMISSIONS)</v>
          </cell>
        </row>
        <row r="4484">
          <cell r="A4484" t="str">
            <v>Japan GECF (Business Split)SUNDRY INCOME</v>
          </cell>
        </row>
        <row r="4485">
          <cell r="A4485" t="str">
            <v>Japan GECF (Business Split)INTEREST EXPENSE</v>
          </cell>
        </row>
        <row r="4486">
          <cell r="A4486" t="str">
            <v>Japan GECF (Business Split)INTEREST EXPENSE REDUCTIONS / BUS SHARING</v>
          </cell>
        </row>
        <row r="4487">
          <cell r="A4487" t="str">
            <v>Japan GECF (Business Split)ALLOCATED COST OF PREFERRED EQUITY</v>
          </cell>
        </row>
        <row r="4488">
          <cell r="A4488" t="str">
            <v>Japan GECF (Business Split)SALARIES &amp; BENEFITS</v>
          </cell>
        </row>
        <row r="4489">
          <cell r="A4489" t="str">
            <v>Japan GECF (Business Split)LOSSES ON OTHER ASSETS</v>
          </cell>
        </row>
        <row r="4490">
          <cell r="A4490" t="str">
            <v>Japan GECF (Business Split)COST OF GOODS SOLD</v>
          </cell>
        </row>
        <row r="4491">
          <cell r="A4491" t="str">
            <v>Japan GECF (Business Split)COST OF GOODS SOLD - DISTRIBUTION</v>
          </cell>
        </row>
        <row r="4492">
          <cell r="A4492" t="str">
            <v>Japan GECF (Business Split)POSTAGE</v>
          </cell>
        </row>
        <row r="4493">
          <cell r="A4493" t="str">
            <v>Japan GECF (Business Split)TELEPHONE</v>
          </cell>
        </row>
        <row r="4494">
          <cell r="A4494" t="str">
            <v>Japan GECF (Business Split)CUSTOMER SERVICE / COLLECTIONS</v>
          </cell>
        </row>
        <row r="4495">
          <cell r="A4495" t="str">
            <v>Japan GECF (Business Split)STATIONARY - OFFICE SUPPLIES</v>
          </cell>
        </row>
        <row r="4496">
          <cell r="A4496" t="str">
            <v>Japan GECF (Business Split)T&amp;L</v>
          </cell>
        </row>
        <row r="4497">
          <cell r="A4497" t="str">
            <v>Japan GECF (Business Split)RENTAL - BLDG/FACILITIES</v>
          </cell>
        </row>
        <row r="4498">
          <cell r="A4498" t="str">
            <v>Japan GECF (Business Split)RENTAL - FURNITURE/EQUIP</v>
          </cell>
        </row>
        <row r="4499">
          <cell r="A4499" t="str">
            <v>Japan GECF (Business Split)RENTAL - COMPUTERS</v>
          </cell>
        </row>
        <row r="4500">
          <cell r="A4500" t="str">
            <v>Japan GECF (Business Split)LEASE IN - LEASE OUT</v>
          </cell>
        </row>
        <row r="4501">
          <cell r="A4501" t="str">
            <v>Japan GECF (Business Split)FURNITURE / EQUIPMENT / COMPUTER EXP</v>
          </cell>
        </row>
        <row r="4502">
          <cell r="A4502" t="str">
            <v>Japan GECF (Business Split)SOFTWARE EXPENSE</v>
          </cell>
        </row>
        <row r="4503">
          <cell r="A4503" t="str">
            <v>Japan GECF (Business Split)AMORTIZATION OF INTANGIBLES</v>
          </cell>
        </row>
        <row r="4504">
          <cell r="A4504" t="str">
            <v>Japan GECF (Business Split)ELTO MAINTENANCE</v>
          </cell>
        </row>
        <row r="4505">
          <cell r="A4505" t="str">
            <v>Japan GECF (Business Split)ELTO OTHER</v>
          </cell>
        </row>
        <row r="4506">
          <cell r="A4506" t="str">
            <v>Japan GECF (Business Split)LEGAL</v>
          </cell>
        </row>
        <row r="4507">
          <cell r="A4507" t="str">
            <v>Japan GECF (Business Split)ADVERTISING</v>
          </cell>
        </row>
        <row r="4508">
          <cell r="A4508" t="str">
            <v>Japan GECF (Business Split)SALES PROMOTIONS</v>
          </cell>
        </row>
        <row r="4509">
          <cell r="A4509" t="str">
            <v>Japan GECF (Business Split)DIRECT MAIL</v>
          </cell>
        </row>
        <row r="4510">
          <cell r="A4510" t="str">
            <v>Japan GECF (Business Split)DATA PROCESSING</v>
          </cell>
        </row>
        <row r="4511">
          <cell r="A4511" t="str">
            <v>Japan GECF (Business Split)CONSULTING</v>
          </cell>
        </row>
        <row r="4512">
          <cell r="A4512" t="str">
            <v>Japan GECF (Business Split)TEMP SERVICES</v>
          </cell>
        </row>
        <row r="4513">
          <cell r="A4513" t="str">
            <v>Japan GECF (Business Split)GDC CHARGES</v>
          </cell>
        </row>
        <row r="4514">
          <cell r="A4514" t="str">
            <v>Japan GECF (Business Split)TRAINING AND EDUCATION</v>
          </cell>
        </row>
        <row r="4515">
          <cell r="A4515" t="str">
            <v>Japan GECF (Business Split)OUTSIDE SERVICES  AND FEES</v>
          </cell>
        </row>
        <row r="4516">
          <cell r="A4516" t="str">
            <v>Japan GECF (Business Split)STATE, FOREIGN, LOCAL TAXES</v>
          </cell>
        </row>
        <row r="4517">
          <cell r="A4517" t="str">
            <v>Japan GECF (Business Split)S/L TAX - INSURANCE PREMIUMS</v>
          </cell>
        </row>
        <row r="4518">
          <cell r="A4518" t="str">
            <v>Japan GECF (Business Split)SATELLITE LEASE EXPENSE</v>
          </cell>
        </row>
        <row r="4519">
          <cell r="A4519" t="str">
            <v>Japan GECF (Business Split)BUSINESS SHARE EXPENSE</v>
          </cell>
        </row>
        <row r="4520">
          <cell r="A4520" t="str">
            <v>Japan GECF (Business Split)INSURANCE AFFILIATE EXPENSE</v>
          </cell>
        </row>
        <row r="4521">
          <cell r="A4521" t="str">
            <v>Japan GECF (Business Split)OTHER FACILITY EXPENSE</v>
          </cell>
        </row>
        <row r="4522">
          <cell r="A4522" t="str">
            <v>Japan GECF (Business Split)GROSS OP &amp; ADMIN BUS SHARE</v>
          </cell>
        </row>
        <row r="4523">
          <cell r="A4523" t="str">
            <v>Japan GECF (Business Split)OTHER EXPENSE</v>
          </cell>
        </row>
        <row r="4524">
          <cell r="A4524" t="str">
            <v>Japan GECF (Business Split)GECC INTERCO EXPENSES EXCL GECIS</v>
          </cell>
        </row>
        <row r="4525">
          <cell r="A4525" t="str">
            <v>Japan GECF (Business Split)GECIS INTERCO CHARGES</v>
          </cell>
        </row>
        <row r="4526">
          <cell r="A4526" t="str">
            <v>Japan GECF (Business Split)LOSS ADJUSTED EXPENSE</v>
          </cell>
        </row>
        <row r="4527">
          <cell r="A4527" t="str">
            <v>Japan GECF (Business Split)ALL OTHER EXPENSES</v>
          </cell>
        </row>
        <row r="4528">
          <cell r="A4528" t="str">
            <v>Japan GECF (Business Split)ASSESSMENTS</v>
          </cell>
        </row>
        <row r="4529">
          <cell r="A4529" t="str">
            <v>Japan GECF (Business Split)FAS 91</v>
          </cell>
        </row>
        <row r="4530">
          <cell r="A4530" t="str">
            <v>Japan GECF (Business Split)GOODWILL AMORTIZATION</v>
          </cell>
        </row>
        <row r="4531">
          <cell r="A4531" t="str">
            <v>Japan GECF (Business Split)DEPRECIATION EXPENSE</v>
          </cell>
        </row>
        <row r="4532">
          <cell r="A4532" t="str">
            <v>Japan GECF (Business Split)ELTO AMORTIZATION</v>
          </cell>
        </row>
        <row r="4533">
          <cell r="A4533" t="str">
            <v>Japan GECF (Business Split)INSURANCE LOSSES AND BENEFITS</v>
          </cell>
        </row>
        <row r="4534">
          <cell r="A4534" t="str">
            <v>Japan GECF (Business Split)WRITE OFFS</v>
          </cell>
        </row>
        <row r="4535">
          <cell r="A4535" t="str">
            <v>Japan GECF (Business Split)RESERVE CHANGE</v>
          </cell>
        </row>
        <row r="4536">
          <cell r="A4536" t="str">
            <v>Japan GECF (Business Split)MINORITY INTEREST</v>
          </cell>
        </row>
        <row r="4537">
          <cell r="A4537" t="str">
            <v>Japan GECF (Business Split)INCOME TAXES</v>
          </cell>
        </row>
        <row r="4538">
          <cell r="A4538" t="str">
            <v>Japan GECF (Business Split)CUMULATIVE TRANSITION ADJUSTMENT</v>
          </cell>
        </row>
        <row r="4539">
          <cell r="A4539" t="str">
            <v>Japan GECF (Business Split)ASIA PACIFIC NI DIVIDEND</v>
          </cell>
        </row>
        <row r="4540">
          <cell r="A4540" t="str">
            <v>Japan GECF (Business Split)Net Income</v>
          </cell>
        </row>
        <row r="4541">
          <cell r="A4541" t="str">
            <v>Japan GECF (Business Split)SubPart F</v>
          </cell>
        </row>
        <row r="4542">
          <cell r="A4542" t="str">
            <v>Japan GECF (Business Split)Assets</v>
          </cell>
        </row>
        <row r="4543">
          <cell r="A4543" t="str">
            <v>Japan GECF (Business Split)Ending Net Investment (ENI) incl Asia</v>
          </cell>
        </row>
        <row r="4544">
          <cell r="A4544" t="str">
            <v>Japan GECF (Business Split)ANR YTD</v>
          </cell>
        </row>
        <row r="4545">
          <cell r="A4545" t="str">
            <v>Japan GECF (Business Split)ASA YTD</v>
          </cell>
        </row>
        <row r="4546">
          <cell r="A4546" t="str">
            <v>Japan GECF (Business Split)ANI YTD incl Asia - 5 pt</v>
          </cell>
        </row>
        <row r="4547">
          <cell r="A4547" t="str">
            <v>Japan GECF (Business Split)Off Balance Sheet Assets</v>
          </cell>
        </row>
        <row r="4548">
          <cell r="A4548" t="str">
            <v>Japan GECF (Business Split)JV Receivables</v>
          </cell>
        </row>
        <row r="4549">
          <cell r="A4549" t="str">
            <v>Japan GECF (Business Split)30+ DELINQUENCY $</v>
          </cell>
        </row>
        <row r="4550">
          <cell r="A4550" t="str">
            <v>Japan GECF (Business Split)90+ DELINQUENCY $</v>
          </cell>
        </row>
        <row r="4551">
          <cell r="A4551" t="str">
            <v>Japan GECF (Business Split)Temporary Staff</v>
          </cell>
        </row>
        <row r="4552">
          <cell r="A4552" t="str">
            <v>Japan GECF (Business Split)Contractors</v>
          </cell>
        </row>
        <row r="4553">
          <cell r="A4553" t="str">
            <v>Japan GECF (Business Split)Outsourced to LCC</v>
          </cell>
        </row>
        <row r="4554">
          <cell r="A4554" t="str">
            <v>Japan GECF (Business Split)Total Headcount</v>
          </cell>
        </row>
        <row r="4555">
          <cell r="A4555" t="str">
            <v>Japan GECF (Business Split)Total Workforce</v>
          </cell>
        </row>
        <row r="4556">
          <cell r="A4556" t="str">
            <v>Japan GECF (Business Split)Total Earned Revenue</v>
          </cell>
        </row>
        <row r="4557">
          <cell r="A4557" t="str">
            <v>Japan GECF (Business Split)Ordinary Gains - PreTax</v>
          </cell>
        </row>
        <row r="4558">
          <cell r="A4558" t="str">
            <v>Japan GECF (Business Split)Ordinary Gains - AfterTax</v>
          </cell>
        </row>
        <row r="4559">
          <cell r="A4559" t="str">
            <v>Japan GECF (Business Split)Total Volume</v>
          </cell>
        </row>
        <row r="4560">
          <cell r="A4560" t="str">
            <v>Japan GECF (Business Split)TOTAL # ACTIVE ACCOUNTS</v>
          </cell>
        </row>
        <row r="4561">
          <cell r="A4561" t="str">
            <v>Japan KOEI (Business Split)TOTAL FINANCING RECEIVABLES</v>
          </cell>
        </row>
        <row r="4562">
          <cell r="A4562" t="str">
            <v>Japan KOEI (Business Split)RECEIVABLE RESERVES</v>
          </cell>
        </row>
        <row r="4563">
          <cell r="A4563" t="str">
            <v>Japan KOEI (Business Split)CASH</v>
          </cell>
        </row>
        <row r="4564">
          <cell r="A4564" t="str">
            <v>Japan KOEI (Business Split)INVESTMENT SECURITIES</v>
          </cell>
        </row>
        <row r="4565">
          <cell r="A4565" t="str">
            <v>Japan KOEI (Business Split)INV IN NON CONSOL AFFILIATES</v>
          </cell>
        </row>
        <row r="4566">
          <cell r="A4566" t="str">
            <v>Japan KOEI (Business Split)INVESTMENT IN JOINT VENTURE</v>
          </cell>
        </row>
        <row r="4567">
          <cell r="A4567" t="str">
            <v>Japan KOEI (Business Split)ALL OTHER RECEIVABLES (NON-FINANCING)</v>
          </cell>
        </row>
        <row r="4568">
          <cell r="A4568" t="str">
            <v>Japan KOEI (Business Split)ELTO (NET)</v>
          </cell>
        </row>
        <row r="4569">
          <cell r="A4569" t="str">
            <v>Japan KOEI (Business Split)GOODWILL</v>
          </cell>
        </row>
        <row r="4570">
          <cell r="A4570" t="str">
            <v>Japan KOEI (Business Split)OTHER ASSETS</v>
          </cell>
        </row>
        <row r="4571">
          <cell r="A4571" t="str">
            <v>Japan KOEI (Business Split)ACCOUNTS PAYABLE</v>
          </cell>
        </row>
        <row r="4572">
          <cell r="A4572" t="str">
            <v>Japan KOEI (Business Split)DEFERRED INCOME TAXES</v>
          </cell>
        </row>
        <row r="4573">
          <cell r="A4573" t="str">
            <v>Japan KOEI (Business Split)WRITE-OFF (MEMO)</v>
          </cell>
        </row>
        <row r="4574">
          <cell r="A4574" t="str">
            <v>Japan KOEI (Business Split)INSURANCE RESERVES AND ANNUITY BENEFITS</v>
          </cell>
        </row>
        <row r="4575">
          <cell r="A4575" t="str">
            <v>Japan KOEI (Business Split)ALL OTHER NON DEBT LIABILITIES</v>
          </cell>
        </row>
        <row r="4576">
          <cell r="A4576" t="str">
            <v>Japan KOEI (Business Split)MINORITY INTEREST (BS)</v>
          </cell>
        </row>
        <row r="4577">
          <cell r="A4577" t="str">
            <v>Japan KOEI (Business Split)ASIA PACIFIC ENI DIVIDEND</v>
          </cell>
        </row>
        <row r="4578">
          <cell r="A4578" t="str">
            <v>Japan KOEI (Business Split)FINANCING INCOME</v>
          </cell>
        </row>
        <row r="4579">
          <cell r="A4579" t="str">
            <v>Japan KOEI (Business Split)INSURANCE PREMIUM INCOME</v>
          </cell>
        </row>
        <row r="4580">
          <cell r="A4580" t="str">
            <v>Japan KOEI (Business Split)INSURANCE INCOME (COMMISSIONS)</v>
          </cell>
        </row>
        <row r="4581">
          <cell r="A4581" t="str">
            <v>Japan KOEI (Business Split)SUNDRY INCOME</v>
          </cell>
        </row>
        <row r="4582">
          <cell r="A4582" t="str">
            <v>Japan KOEI (Business Split)INTEREST EXPENSE</v>
          </cell>
        </row>
        <row r="4583">
          <cell r="A4583" t="str">
            <v>Japan KOEI (Business Split)INTEREST EXPENSE REDUCTIONS / BUS SHARING</v>
          </cell>
        </row>
        <row r="4584">
          <cell r="A4584" t="str">
            <v>Japan KOEI (Business Split)ALLOCATED COST OF PREFERRED EQUITY</v>
          </cell>
        </row>
        <row r="4585">
          <cell r="A4585" t="str">
            <v>Japan KOEI (Business Split)SALARIES &amp; BENEFITS</v>
          </cell>
        </row>
        <row r="4586">
          <cell r="A4586" t="str">
            <v>Japan KOEI (Business Split)LOSSES ON OTHER ASSETS</v>
          </cell>
        </row>
        <row r="4587">
          <cell r="A4587" t="str">
            <v>Japan KOEI (Business Split)COST OF GOODS SOLD</v>
          </cell>
        </row>
        <row r="4588">
          <cell r="A4588" t="str">
            <v>Japan KOEI (Business Split)COST OF GOODS SOLD - DISTRIBUTION</v>
          </cell>
        </row>
        <row r="4589">
          <cell r="A4589" t="str">
            <v>Japan KOEI (Business Split)POSTAGE</v>
          </cell>
        </row>
        <row r="4590">
          <cell r="A4590" t="str">
            <v>Japan KOEI (Business Split)TELEPHONE</v>
          </cell>
        </row>
        <row r="4591">
          <cell r="A4591" t="str">
            <v>Japan KOEI (Business Split)CUSTOMER SERVICE / COLLECTIONS</v>
          </cell>
        </row>
        <row r="4592">
          <cell r="A4592" t="str">
            <v>Japan KOEI (Business Split)STATIONARY - OFFICE SUPPLIES</v>
          </cell>
        </row>
        <row r="4593">
          <cell r="A4593" t="str">
            <v>Japan KOEI (Business Split)T&amp;L</v>
          </cell>
        </row>
        <row r="4594">
          <cell r="A4594" t="str">
            <v>Japan KOEI (Business Split)RENTAL - BLDG/FACILITIES</v>
          </cell>
        </row>
        <row r="4595">
          <cell r="A4595" t="str">
            <v>Japan KOEI (Business Split)RENTAL - FURNITURE/EQUIP</v>
          </cell>
        </row>
        <row r="4596">
          <cell r="A4596" t="str">
            <v>Japan KOEI (Business Split)RENTAL - COMPUTERS</v>
          </cell>
        </row>
        <row r="4597">
          <cell r="A4597" t="str">
            <v>Japan KOEI (Business Split)LEASE IN - LEASE OUT</v>
          </cell>
        </row>
        <row r="4598">
          <cell r="A4598" t="str">
            <v>Japan KOEI (Business Split)FURNITURE / EQUIPMENT / COMPUTER EXP</v>
          </cell>
        </row>
        <row r="4599">
          <cell r="A4599" t="str">
            <v>Japan KOEI (Business Split)SOFTWARE EXPENSE</v>
          </cell>
        </row>
        <row r="4600">
          <cell r="A4600" t="str">
            <v>Japan KOEI (Business Split)AMORTIZATION OF INTANGIBLES</v>
          </cell>
        </row>
        <row r="4601">
          <cell r="A4601" t="str">
            <v>Japan KOEI (Business Split)ELTO MAINTENANCE</v>
          </cell>
        </row>
        <row r="4602">
          <cell r="A4602" t="str">
            <v>Japan KOEI (Business Split)ELTO OTHER</v>
          </cell>
        </row>
        <row r="4603">
          <cell r="A4603" t="str">
            <v>Japan KOEI (Business Split)LEGAL</v>
          </cell>
        </row>
        <row r="4604">
          <cell r="A4604" t="str">
            <v>Japan KOEI (Business Split)ADVERTISING</v>
          </cell>
        </row>
        <row r="4605">
          <cell r="A4605" t="str">
            <v>Japan KOEI (Business Split)SALES PROMOTIONS</v>
          </cell>
        </row>
        <row r="4606">
          <cell r="A4606" t="str">
            <v>Japan KOEI (Business Split)DIRECT MAIL</v>
          </cell>
        </row>
        <row r="4607">
          <cell r="A4607" t="str">
            <v>Japan KOEI (Business Split)DATA PROCESSING</v>
          </cell>
        </row>
        <row r="4608">
          <cell r="A4608" t="str">
            <v>Japan KOEI (Business Split)CONSULTING</v>
          </cell>
        </row>
        <row r="4609">
          <cell r="A4609" t="str">
            <v>Japan KOEI (Business Split)TEMP SERVICES</v>
          </cell>
        </row>
        <row r="4610">
          <cell r="A4610" t="str">
            <v>Japan KOEI (Business Split)GDC CHARGES</v>
          </cell>
        </row>
        <row r="4611">
          <cell r="A4611" t="str">
            <v>Japan KOEI (Business Split)TRAINING AND EDUCATION</v>
          </cell>
        </row>
        <row r="4612">
          <cell r="A4612" t="str">
            <v>Japan KOEI (Business Split)OUTSIDE SERVICES  AND FEES</v>
          </cell>
        </row>
        <row r="4613">
          <cell r="A4613" t="str">
            <v>Japan KOEI (Business Split)STATE, FOREIGN, LOCAL TAXES</v>
          </cell>
        </row>
        <row r="4614">
          <cell r="A4614" t="str">
            <v>Japan KOEI (Business Split)S/L TAX - INSURANCE PREMIUMS</v>
          </cell>
        </row>
        <row r="4615">
          <cell r="A4615" t="str">
            <v>Japan KOEI (Business Split)SATELLITE LEASE EXPENSE</v>
          </cell>
        </row>
        <row r="4616">
          <cell r="A4616" t="str">
            <v>Japan KOEI (Business Split)BUSINESS SHARE EXPENSE</v>
          </cell>
        </row>
        <row r="4617">
          <cell r="A4617" t="str">
            <v>Japan KOEI (Business Split)INSURANCE AFFILIATE EXPENSE</v>
          </cell>
        </row>
        <row r="4618">
          <cell r="A4618" t="str">
            <v>Japan KOEI (Business Split)OTHER FACILITY EXPENSE</v>
          </cell>
        </row>
        <row r="4619">
          <cell r="A4619" t="str">
            <v>Japan KOEI (Business Split)GROSS OP &amp; ADMIN BUS SHARE</v>
          </cell>
        </row>
        <row r="4620">
          <cell r="A4620" t="str">
            <v>Japan KOEI (Business Split)OTHER EXPENSE</v>
          </cell>
        </row>
        <row r="4621">
          <cell r="A4621" t="str">
            <v>Japan KOEI (Business Split)GECC INTERCO EXPENSES EXCL GECIS</v>
          </cell>
        </row>
        <row r="4622">
          <cell r="A4622" t="str">
            <v>Japan KOEI (Business Split)GECIS INTERCO CHARGES</v>
          </cell>
        </row>
        <row r="4623">
          <cell r="A4623" t="str">
            <v>Japan KOEI (Business Split)LOSS ADJUSTED EXPENSE</v>
          </cell>
        </row>
        <row r="4624">
          <cell r="A4624" t="str">
            <v>Japan KOEI (Business Split)ALL OTHER EXPENSES</v>
          </cell>
        </row>
        <row r="4625">
          <cell r="A4625" t="str">
            <v>Japan KOEI (Business Split)ASSESSMENTS</v>
          </cell>
        </row>
        <row r="4626">
          <cell r="A4626" t="str">
            <v>Japan KOEI (Business Split)FAS 91</v>
          </cell>
        </row>
        <row r="4627">
          <cell r="A4627" t="str">
            <v>Japan KOEI (Business Split)GOODWILL AMORTIZATION</v>
          </cell>
        </row>
        <row r="4628">
          <cell r="A4628" t="str">
            <v>Japan KOEI (Business Split)DEPRECIATION EXPENSE</v>
          </cell>
        </row>
        <row r="4629">
          <cell r="A4629" t="str">
            <v>Japan KOEI (Business Split)ELTO AMORTIZATION</v>
          </cell>
        </row>
        <row r="4630">
          <cell r="A4630" t="str">
            <v>Japan KOEI (Business Split)INSURANCE LOSSES AND BENEFITS</v>
          </cell>
        </row>
        <row r="4631">
          <cell r="A4631" t="str">
            <v>Japan KOEI (Business Split)WRITE OFFS</v>
          </cell>
        </row>
        <row r="4632">
          <cell r="A4632" t="str">
            <v>Japan KOEI (Business Split)RESERVE CHANGE</v>
          </cell>
        </row>
        <row r="4633">
          <cell r="A4633" t="str">
            <v>Japan KOEI (Business Split)MINORITY INTEREST</v>
          </cell>
        </row>
        <row r="4634">
          <cell r="A4634" t="str">
            <v>Japan KOEI (Business Split)INCOME TAXES</v>
          </cell>
        </row>
        <row r="4635">
          <cell r="A4635" t="str">
            <v>Japan KOEI (Business Split)CUMULATIVE TRANSITION ADJUSTMENT</v>
          </cell>
        </row>
        <row r="4636">
          <cell r="A4636" t="str">
            <v>Japan KOEI (Business Split)ASIA PACIFIC NI DIVIDEND</v>
          </cell>
        </row>
        <row r="4637">
          <cell r="A4637" t="str">
            <v>Japan KOEI (Business Split)Net Income</v>
          </cell>
        </row>
        <row r="4638">
          <cell r="A4638" t="str">
            <v>Japan KOEI (Business Split)SubPart F</v>
          </cell>
        </row>
        <row r="4639">
          <cell r="A4639" t="str">
            <v>Japan KOEI (Business Split)Assets</v>
          </cell>
        </row>
        <row r="4640">
          <cell r="A4640" t="str">
            <v>Japan KOEI (Business Split)Ending Net Investment (ENI) incl Asia</v>
          </cell>
        </row>
        <row r="4641">
          <cell r="A4641" t="str">
            <v>Japan KOEI (Business Split)ANR YTD</v>
          </cell>
        </row>
        <row r="4642">
          <cell r="A4642" t="str">
            <v>Japan KOEI (Business Split)ASA YTD</v>
          </cell>
        </row>
        <row r="4643">
          <cell r="A4643" t="str">
            <v>Japan KOEI (Business Split)ANI YTD incl Asia - 5 pt</v>
          </cell>
        </row>
        <row r="4644">
          <cell r="A4644" t="str">
            <v>Japan KOEI (Business Split)Off Balance Sheet Assets</v>
          </cell>
        </row>
        <row r="4645">
          <cell r="A4645" t="str">
            <v>Japan KOEI (Business Split)JV Receivables</v>
          </cell>
        </row>
        <row r="4646">
          <cell r="A4646" t="str">
            <v>Japan KOEI (Business Split)30+ DELINQUENCY $</v>
          </cell>
        </row>
        <row r="4647">
          <cell r="A4647" t="str">
            <v>Japan KOEI (Business Split)90+ DELINQUENCY $</v>
          </cell>
        </row>
        <row r="4648">
          <cell r="A4648" t="str">
            <v>Japan KOEI (Business Split)Temporary Staff</v>
          </cell>
        </row>
        <row r="4649">
          <cell r="A4649" t="str">
            <v>Japan KOEI (Business Split)Contractors</v>
          </cell>
        </row>
        <row r="4650">
          <cell r="A4650" t="str">
            <v>Japan KOEI (Business Split)Outsourced to LCC</v>
          </cell>
        </row>
        <row r="4651">
          <cell r="A4651" t="str">
            <v>Japan KOEI (Business Split)Total Headcount</v>
          </cell>
        </row>
        <row r="4652">
          <cell r="A4652" t="str">
            <v>Japan KOEI (Business Split)Total Workforce</v>
          </cell>
        </row>
        <row r="4653">
          <cell r="A4653" t="str">
            <v>Japan KOEI (Business Split)Total Earned Revenue</v>
          </cell>
        </row>
        <row r="4654">
          <cell r="A4654" t="str">
            <v>Japan KOEI (Business Split)Ordinary Gains - PreTax</v>
          </cell>
        </row>
        <row r="4655">
          <cell r="A4655" t="str">
            <v>Japan KOEI (Business Split)Ordinary Gains - AfterTax</v>
          </cell>
        </row>
        <row r="4656">
          <cell r="A4656" t="str">
            <v>Japan KOEI (Business Split)Total Volume</v>
          </cell>
        </row>
        <row r="4657">
          <cell r="A4657" t="str">
            <v>Japan KOEI (Business Split)TOTAL # ACTIVE ACCOUNTS</v>
          </cell>
        </row>
        <row r="4658">
          <cell r="A4658" t="str">
            <v>Total GCFTOTAL FINANCING RECEIVABLES</v>
          </cell>
        </row>
        <row r="4659">
          <cell r="A4659" t="str">
            <v>Total GCFRECEIVABLE RESERVES</v>
          </cell>
        </row>
        <row r="4660">
          <cell r="A4660" t="str">
            <v>Total GCFCASH</v>
          </cell>
        </row>
        <row r="4661">
          <cell r="A4661" t="str">
            <v>Total GCFINVESTMENT SECURITIES</v>
          </cell>
        </row>
        <row r="4662">
          <cell r="A4662" t="str">
            <v>Total GCFINV IN NON CONSOL AFFILIATES</v>
          </cell>
        </row>
        <row r="4663">
          <cell r="A4663" t="str">
            <v>Total GCFINVESTMENT IN JOINT VENTURE</v>
          </cell>
        </row>
        <row r="4664">
          <cell r="A4664" t="str">
            <v>Total GCFALL OTHER RECEIVABLES (NON-FINANCING)</v>
          </cell>
        </row>
        <row r="4665">
          <cell r="A4665" t="str">
            <v>Total GCFELTO (NET)</v>
          </cell>
        </row>
        <row r="4666">
          <cell r="A4666" t="str">
            <v>Total GCFGOODWILL</v>
          </cell>
        </row>
        <row r="4667">
          <cell r="A4667" t="str">
            <v>Total GCFOTHER ASSETS</v>
          </cell>
        </row>
        <row r="4668">
          <cell r="A4668" t="str">
            <v>Total GCFACCOUNTS PAYABLE</v>
          </cell>
        </row>
        <row r="4669">
          <cell r="A4669" t="str">
            <v>Total GCFDEFERRED INCOME TAXES</v>
          </cell>
        </row>
        <row r="4670">
          <cell r="A4670" t="str">
            <v>Total GCFWRITE-OFF (MEMO)</v>
          </cell>
        </row>
        <row r="4671">
          <cell r="A4671" t="str">
            <v>Total GCFINSURANCE RESERVES AND ANNUITY BENEFITS</v>
          </cell>
        </row>
        <row r="4672">
          <cell r="A4672" t="str">
            <v>Total GCFALL OTHER NON DEBT LIABILITIES</v>
          </cell>
        </row>
        <row r="4673">
          <cell r="A4673" t="str">
            <v>Total GCFMINORITY INTEREST (BS)</v>
          </cell>
        </row>
        <row r="4674">
          <cell r="A4674" t="str">
            <v>Total GCFASIA PACIFIC ENI DIVIDEND</v>
          </cell>
        </row>
        <row r="4675">
          <cell r="A4675" t="str">
            <v>Total GCFFINANCING INCOME</v>
          </cell>
        </row>
        <row r="4676">
          <cell r="A4676" t="str">
            <v>Total GCFINSURANCE PREMIUM INCOME</v>
          </cell>
        </row>
        <row r="4677">
          <cell r="A4677" t="str">
            <v>Total GCFINSURANCE INCOME (COMMISSIONS)</v>
          </cell>
        </row>
        <row r="4678">
          <cell r="A4678" t="str">
            <v>Total GCFSUNDRY INCOME</v>
          </cell>
        </row>
        <row r="4679">
          <cell r="A4679" t="str">
            <v>Total GCFINTEREST EXPENSE</v>
          </cell>
        </row>
        <row r="4680">
          <cell r="A4680" t="str">
            <v>Total GCFINTEREST EXPENSE REDUCTIONS / BUS SHARING</v>
          </cell>
        </row>
        <row r="4681">
          <cell r="A4681" t="str">
            <v>Total GCFALLOCATED COST OF PREFERRED EQUITY</v>
          </cell>
        </row>
        <row r="4682">
          <cell r="A4682" t="str">
            <v>Total GCFSALARIES &amp; BENEFITS</v>
          </cell>
        </row>
        <row r="4683">
          <cell r="A4683" t="str">
            <v>Total GCFLOSSES ON OTHER ASSETS</v>
          </cell>
        </row>
        <row r="4684">
          <cell r="A4684" t="str">
            <v>Total GCFCOST OF GOODS SOLD</v>
          </cell>
        </row>
        <row r="4685">
          <cell r="A4685" t="str">
            <v>Total GCFCOST OF GOODS SOLD - DISTRIBUTION</v>
          </cell>
        </row>
        <row r="4686">
          <cell r="A4686" t="str">
            <v>Total GCFPOSTAGE</v>
          </cell>
        </row>
        <row r="4687">
          <cell r="A4687" t="str">
            <v>Total GCFTELEPHONE</v>
          </cell>
        </row>
        <row r="4688">
          <cell r="A4688" t="str">
            <v>Total GCFCUSTOMER SERVICE / COLLECTIONS</v>
          </cell>
        </row>
        <row r="4689">
          <cell r="A4689" t="str">
            <v>Total GCFSTATIONARY - OFFICE SUPPLIES</v>
          </cell>
        </row>
        <row r="4690">
          <cell r="A4690" t="str">
            <v>Total GCFT&amp;L</v>
          </cell>
        </row>
        <row r="4691">
          <cell r="A4691" t="str">
            <v>Total GCFRENTAL - BLDG/FACILITIES</v>
          </cell>
        </row>
        <row r="4692">
          <cell r="A4692" t="str">
            <v>Total GCFRENTAL - FURNITURE/EQUIP</v>
          </cell>
        </row>
        <row r="4693">
          <cell r="A4693" t="str">
            <v>Total GCFRENTAL - COMPUTERS</v>
          </cell>
        </row>
        <row r="4694">
          <cell r="A4694" t="str">
            <v>Total GCFLEASE IN - LEASE OUT</v>
          </cell>
        </row>
        <row r="4695">
          <cell r="A4695" t="str">
            <v>Total GCFFURNITURE / EQUIPMENT / COMPUTER EXP</v>
          </cell>
        </row>
        <row r="4696">
          <cell r="A4696" t="str">
            <v>Total GCFSOFTWARE EXPENSE</v>
          </cell>
        </row>
        <row r="4697">
          <cell r="A4697" t="str">
            <v>Total GCFAMORTIZATION OF INTANGIBLES</v>
          </cell>
        </row>
        <row r="4698">
          <cell r="A4698" t="str">
            <v>Total GCFELTO MAINTENANCE</v>
          </cell>
        </row>
        <row r="4699">
          <cell r="A4699" t="str">
            <v>Total GCFELTO OTHER</v>
          </cell>
        </row>
        <row r="4700">
          <cell r="A4700" t="str">
            <v>Total GCFLEGAL</v>
          </cell>
        </row>
        <row r="4701">
          <cell r="A4701" t="str">
            <v>Total GCFADVERTISING</v>
          </cell>
        </row>
        <row r="4702">
          <cell r="A4702" t="str">
            <v>Total GCFSALES PROMOTIONS</v>
          </cell>
        </row>
        <row r="4703">
          <cell r="A4703" t="str">
            <v>Total GCFDIRECT MAIL</v>
          </cell>
        </row>
        <row r="4704">
          <cell r="A4704" t="str">
            <v>Total GCFDATA PROCESSING</v>
          </cell>
        </row>
        <row r="4705">
          <cell r="A4705" t="str">
            <v>Total GCFCONSULTING</v>
          </cell>
        </row>
        <row r="4706">
          <cell r="A4706" t="str">
            <v>Total GCFTEMP SERVICES</v>
          </cell>
        </row>
        <row r="4707">
          <cell r="A4707" t="str">
            <v>Total GCFGDC CHARGES</v>
          </cell>
        </row>
        <row r="4708">
          <cell r="A4708" t="str">
            <v>Total GCFTRAINING AND EDUCATION</v>
          </cell>
        </row>
        <row r="4709">
          <cell r="A4709" t="str">
            <v>Total GCFOUTSIDE SERVICES  AND FEES</v>
          </cell>
        </row>
        <row r="4710">
          <cell r="A4710" t="str">
            <v>Total GCFSTATE, FOREIGN, LOCAL TAXES</v>
          </cell>
        </row>
        <row r="4711">
          <cell r="A4711" t="str">
            <v>Total GCFS/L TAX - INSURANCE PREMIUMS</v>
          </cell>
        </row>
        <row r="4712">
          <cell r="A4712" t="str">
            <v>Total GCFSATELLITE LEASE EXPENSE</v>
          </cell>
        </row>
        <row r="4713">
          <cell r="A4713" t="str">
            <v>Total GCFBUSINESS SHARE EXPENSE</v>
          </cell>
        </row>
        <row r="4714">
          <cell r="A4714" t="str">
            <v>Total GCFINSURANCE AFFILIATE EXPENSE</v>
          </cell>
        </row>
        <row r="4715">
          <cell r="A4715" t="str">
            <v>Total GCFOTHER FACILITY EXPENSE</v>
          </cell>
        </row>
        <row r="4716">
          <cell r="A4716" t="str">
            <v>Total GCFGROSS OP &amp; ADMIN BUS SHARE</v>
          </cell>
        </row>
        <row r="4717">
          <cell r="A4717" t="str">
            <v>Total GCFOTHER EXPENSE</v>
          </cell>
        </row>
        <row r="4718">
          <cell r="A4718" t="str">
            <v>Total GCFGECC INTERCO EXPENSES EXCL GECIS</v>
          </cell>
        </row>
        <row r="4719">
          <cell r="A4719" t="str">
            <v>Total GCFGECIS INTERCO CHARGES</v>
          </cell>
        </row>
        <row r="4720">
          <cell r="A4720" t="str">
            <v>Total GCFLOSS ADJUSTED EXPENSE</v>
          </cell>
        </row>
        <row r="4721">
          <cell r="A4721" t="str">
            <v>Total GCFALL OTHER EXPENSES</v>
          </cell>
        </row>
        <row r="4722">
          <cell r="A4722" t="str">
            <v>Total GCFASSESSMENTS</v>
          </cell>
        </row>
        <row r="4723">
          <cell r="A4723" t="str">
            <v>Total GCFFAS 91</v>
          </cell>
        </row>
        <row r="4724">
          <cell r="A4724" t="str">
            <v>Total GCFGOODWILL AMORTIZATION</v>
          </cell>
        </row>
        <row r="4725">
          <cell r="A4725" t="str">
            <v>Total GCFDEPRECIATION EXPENSE</v>
          </cell>
        </row>
        <row r="4726">
          <cell r="A4726" t="str">
            <v>Total GCFELTO AMORTIZATION</v>
          </cell>
        </row>
        <row r="4727">
          <cell r="A4727" t="str">
            <v>Total GCFINSURANCE LOSSES AND BENEFITS</v>
          </cell>
        </row>
        <row r="4728">
          <cell r="A4728" t="str">
            <v>Total GCFWRITE OFFS</v>
          </cell>
        </row>
        <row r="4729">
          <cell r="A4729" t="str">
            <v>Total GCFRESERVE CHANGE</v>
          </cell>
        </row>
        <row r="4730">
          <cell r="A4730" t="str">
            <v>Total GCFMINORITY INTEREST</v>
          </cell>
        </row>
        <row r="4731">
          <cell r="A4731" t="str">
            <v>Total GCFINCOME TAXES</v>
          </cell>
        </row>
        <row r="4732">
          <cell r="A4732" t="str">
            <v>Total GCFCUMULATIVE TRANSITION ADJUSTMENT</v>
          </cell>
        </row>
        <row r="4733">
          <cell r="A4733" t="str">
            <v>Total GCFASIA PACIFIC NI DIVIDEND</v>
          </cell>
        </row>
        <row r="4734">
          <cell r="A4734" t="str">
            <v>Total GCFNet Income</v>
          </cell>
        </row>
        <row r="4735">
          <cell r="A4735" t="str">
            <v>Total GCFSubPart F</v>
          </cell>
        </row>
        <row r="4736">
          <cell r="A4736" t="str">
            <v>Total GCFAssets</v>
          </cell>
        </row>
        <row r="4737">
          <cell r="A4737" t="str">
            <v>Total GCFEnding Net Investment (ENI) incl Asia</v>
          </cell>
        </row>
        <row r="4738">
          <cell r="A4738" t="str">
            <v>Total GCFANR YTD</v>
          </cell>
        </row>
        <row r="4739">
          <cell r="A4739" t="str">
            <v>Total GCFASA YTD</v>
          </cell>
        </row>
        <row r="4740">
          <cell r="A4740" t="str">
            <v>Total GCFANI YTD incl Asia - 5 pt</v>
          </cell>
        </row>
        <row r="4741">
          <cell r="A4741" t="str">
            <v>Total GCFOff Balance Sheet Assets</v>
          </cell>
        </row>
        <row r="4742">
          <cell r="A4742" t="str">
            <v>Total GCFJV Receivables</v>
          </cell>
        </row>
        <row r="4743">
          <cell r="A4743" t="str">
            <v>Total GCF30+ DELINQUENCY $</v>
          </cell>
        </row>
        <row r="4744">
          <cell r="A4744" t="str">
            <v>Total GCF90+ DELINQUENCY $</v>
          </cell>
        </row>
        <row r="4745">
          <cell r="A4745" t="str">
            <v>Total GCFTemporary Staff</v>
          </cell>
        </row>
        <row r="4746">
          <cell r="A4746" t="str">
            <v>Total GCFContractors</v>
          </cell>
        </row>
        <row r="4747">
          <cell r="A4747" t="str">
            <v>Total GCFOutsourced to LCC</v>
          </cell>
        </row>
        <row r="4748">
          <cell r="A4748" t="str">
            <v>Total GCFTotal Headcount</v>
          </cell>
        </row>
        <row r="4749">
          <cell r="A4749" t="str">
            <v>Total GCFTotal Workforce</v>
          </cell>
        </row>
        <row r="4750">
          <cell r="A4750" t="str">
            <v>Total GCFTotal Earned Revenue</v>
          </cell>
        </row>
        <row r="4751">
          <cell r="A4751" t="str">
            <v>Total GCFOrdinary Gains - PreTax</v>
          </cell>
        </row>
        <row r="4752">
          <cell r="A4752" t="str">
            <v>Total GCFOrdinary Gains - AfterTax</v>
          </cell>
        </row>
        <row r="4753">
          <cell r="A4753" t="str">
            <v>Total GCFTotal Volume</v>
          </cell>
        </row>
        <row r="4754">
          <cell r="A4754" t="str">
            <v>Total GCFTOTAL # ACTIVE ACCOUNTS</v>
          </cell>
        </row>
        <row r="4755">
          <cell r="A4755" t="str">
            <v>ArgentinaNEA - Fixed Rate</v>
          </cell>
        </row>
        <row r="4756">
          <cell r="A4756" t="str">
            <v>ArgentinaNEA - Floating Rate</v>
          </cell>
        </row>
        <row r="4757">
          <cell r="A4757" t="str">
            <v>ArgentinaReserves - FX Gain / Loss</v>
          </cell>
        </row>
        <row r="4758">
          <cell r="A4758" t="str">
            <v>ArgentinaReserves - Provisons</v>
          </cell>
        </row>
        <row r="4759">
          <cell r="A4759" t="str">
            <v>ArgentinaReserves - Recoveries</v>
          </cell>
        </row>
        <row r="4760">
          <cell r="A4760" t="str">
            <v>ArgentinaReserves - BOP</v>
          </cell>
        </row>
        <row r="4761">
          <cell r="A4761" t="str">
            <v>ArgentinaReserves - Transfers &amp; Others</v>
          </cell>
        </row>
        <row r="4762">
          <cell r="A4762" t="str">
            <v>ArgentinaReserves - Write-Offs</v>
          </cell>
        </row>
        <row r="4763">
          <cell r="A4763" t="str">
            <v>Argentina780 FR Provision</v>
          </cell>
        </row>
        <row r="4764">
          <cell r="A4764" t="str">
            <v>Argentina780 FR Recovery</v>
          </cell>
        </row>
        <row r="4765">
          <cell r="A4765" t="str">
            <v>Argentina781 LL Provision</v>
          </cell>
        </row>
        <row r="4766">
          <cell r="A4766" t="str">
            <v>Argentina781 LL Recovery</v>
          </cell>
        </row>
        <row r="4767">
          <cell r="A4767" t="str">
            <v>Argentina782 DF Provision</v>
          </cell>
        </row>
        <row r="4768">
          <cell r="A4768" t="str">
            <v>Argentina782 DF Recovery</v>
          </cell>
        </row>
        <row r="4769">
          <cell r="A4769" t="str">
            <v>Argentina783 Corp Level Provision</v>
          </cell>
        </row>
        <row r="4770">
          <cell r="A4770" t="str">
            <v>Argentina783 Corp Level Recovery</v>
          </cell>
        </row>
        <row r="4771">
          <cell r="A4771" t="str">
            <v>Argentina784 Business Share Provision</v>
          </cell>
        </row>
        <row r="4772">
          <cell r="A4772" t="str">
            <v>ArgentinaReserves - Business Sharing</v>
          </cell>
        </row>
        <row r="4773">
          <cell r="A4773" t="str">
            <v>AustraliaNEA - Fixed Rate</v>
          </cell>
        </row>
        <row r="4774">
          <cell r="A4774" t="str">
            <v>AustraliaNEA - Floating Rate</v>
          </cell>
        </row>
        <row r="4775">
          <cell r="A4775" t="str">
            <v>AustraliaReserves - FX Gain / Loss</v>
          </cell>
        </row>
        <row r="4776">
          <cell r="A4776" t="str">
            <v>AustraliaReserves - Provisons</v>
          </cell>
        </row>
        <row r="4777">
          <cell r="A4777" t="str">
            <v>AustraliaReserves - Recoveries</v>
          </cell>
        </row>
        <row r="4778">
          <cell r="A4778" t="str">
            <v>AustraliaReserves - BOP</v>
          </cell>
        </row>
        <row r="4779">
          <cell r="A4779" t="str">
            <v>AustraliaReserves - Transfers &amp; Others</v>
          </cell>
        </row>
        <row r="4780">
          <cell r="A4780" t="str">
            <v>AustraliaReserves - Write-Offs</v>
          </cell>
        </row>
        <row r="4781">
          <cell r="A4781" t="str">
            <v>Australia780 FR Provision</v>
          </cell>
        </row>
        <row r="4782">
          <cell r="A4782" t="str">
            <v>Australia780 FR Recovery</v>
          </cell>
        </row>
        <row r="4783">
          <cell r="A4783" t="str">
            <v>Australia781 LL Provision</v>
          </cell>
        </row>
        <row r="4784">
          <cell r="A4784" t="str">
            <v>Australia781 LL Recovery</v>
          </cell>
        </row>
        <row r="4785">
          <cell r="A4785" t="str">
            <v>Australia782 DF Provision</v>
          </cell>
        </row>
        <row r="4786">
          <cell r="A4786" t="str">
            <v>Australia782 DF Recovery</v>
          </cell>
        </row>
        <row r="4787">
          <cell r="A4787" t="str">
            <v>Australia783 Corp Level Provision</v>
          </cell>
        </row>
        <row r="4788">
          <cell r="A4788" t="str">
            <v>Australia783 Corp Level Recovery</v>
          </cell>
        </row>
        <row r="4789">
          <cell r="A4789" t="str">
            <v>Australia784 Business Share Provision</v>
          </cell>
        </row>
        <row r="4790">
          <cell r="A4790" t="str">
            <v>AustraliaReserves - Business Sharing</v>
          </cell>
        </row>
        <row r="4791">
          <cell r="A4791" t="str">
            <v>AustriaNEA - Fixed Rate</v>
          </cell>
        </row>
        <row r="4792">
          <cell r="A4792" t="str">
            <v>AustriaNEA - Floating Rate</v>
          </cell>
        </row>
        <row r="4793">
          <cell r="A4793" t="str">
            <v>AustriaReserves - FX Gain / Loss</v>
          </cell>
        </row>
        <row r="4794">
          <cell r="A4794" t="str">
            <v>AustriaReserves - Provisons</v>
          </cell>
        </row>
        <row r="4795">
          <cell r="A4795" t="str">
            <v>AustriaReserves - Recoveries</v>
          </cell>
        </row>
        <row r="4796">
          <cell r="A4796" t="str">
            <v>AustriaReserves - BOP</v>
          </cell>
        </row>
        <row r="4797">
          <cell r="A4797" t="str">
            <v>AustriaReserves - Transfers &amp; Others</v>
          </cell>
        </row>
        <row r="4798">
          <cell r="A4798" t="str">
            <v>AustriaReserves - Write-Offs</v>
          </cell>
        </row>
        <row r="4799">
          <cell r="A4799" t="str">
            <v>Austria780 FR Provision</v>
          </cell>
        </row>
        <row r="4800">
          <cell r="A4800" t="str">
            <v>Austria780 FR Recovery</v>
          </cell>
        </row>
        <row r="4801">
          <cell r="A4801" t="str">
            <v>Austria781 LL Provision</v>
          </cell>
        </row>
        <row r="4802">
          <cell r="A4802" t="str">
            <v>Austria781 LL Recovery</v>
          </cell>
        </row>
        <row r="4803">
          <cell r="A4803" t="str">
            <v>Austria782 DF Provision</v>
          </cell>
        </row>
        <row r="4804">
          <cell r="A4804" t="str">
            <v>Austria782 DF Recovery</v>
          </cell>
        </row>
        <row r="4805">
          <cell r="A4805" t="str">
            <v>Austria783 Corp Level Provision</v>
          </cell>
        </row>
        <row r="4806">
          <cell r="A4806" t="str">
            <v>Austria783 Corp Level Recovery</v>
          </cell>
        </row>
        <row r="4807">
          <cell r="A4807" t="str">
            <v>Austria784 Business Share Provision</v>
          </cell>
        </row>
        <row r="4808">
          <cell r="A4808" t="str">
            <v>AustriaReserves - Business Sharing</v>
          </cell>
        </row>
        <row r="4809">
          <cell r="A4809" t="str">
            <v>Auto IrelandNEA - Fixed Rate</v>
          </cell>
        </row>
        <row r="4810">
          <cell r="A4810" t="str">
            <v>Auto IrelandNEA - Floating Rate</v>
          </cell>
        </row>
        <row r="4811">
          <cell r="A4811" t="str">
            <v>Auto IrelandReserves - FX Gain / Loss</v>
          </cell>
        </row>
        <row r="4812">
          <cell r="A4812" t="str">
            <v>Auto IrelandReserves - Provisons</v>
          </cell>
        </row>
        <row r="4813">
          <cell r="A4813" t="str">
            <v>Auto IrelandReserves - Recoveries</v>
          </cell>
        </row>
        <row r="4814">
          <cell r="A4814" t="str">
            <v>Auto IrelandReserves - BOP</v>
          </cell>
        </row>
        <row r="4815">
          <cell r="A4815" t="str">
            <v>Auto IrelandReserves - Transfers &amp; Others</v>
          </cell>
        </row>
        <row r="4816">
          <cell r="A4816" t="str">
            <v>Auto IrelandReserves - Write-Offs</v>
          </cell>
        </row>
        <row r="4817">
          <cell r="A4817" t="str">
            <v>Auto Ireland780 FR Provision</v>
          </cell>
        </row>
        <row r="4818">
          <cell r="A4818" t="str">
            <v>Auto Ireland780 FR Recovery</v>
          </cell>
        </row>
        <row r="4819">
          <cell r="A4819" t="str">
            <v>Auto Ireland781 LL Provision</v>
          </cell>
        </row>
        <row r="4820">
          <cell r="A4820" t="str">
            <v>Auto Ireland781 LL Recovery</v>
          </cell>
        </row>
        <row r="4821">
          <cell r="A4821" t="str">
            <v>Auto Ireland782 DF Provision</v>
          </cell>
        </row>
        <row r="4822">
          <cell r="A4822" t="str">
            <v>Auto Ireland782 DF Recovery</v>
          </cell>
        </row>
        <row r="4823">
          <cell r="A4823" t="str">
            <v>Auto Ireland783 Corp Level Provision</v>
          </cell>
        </row>
        <row r="4824">
          <cell r="A4824" t="str">
            <v>Auto Ireland783 Corp Level Recovery</v>
          </cell>
        </row>
        <row r="4825">
          <cell r="A4825" t="str">
            <v>Auto Ireland784 Business Share Provision</v>
          </cell>
        </row>
        <row r="4826">
          <cell r="A4826" t="str">
            <v>Auto IrelandReserves - Business Sharing</v>
          </cell>
        </row>
        <row r="4827">
          <cell r="A4827" t="str">
            <v>Auto ItalyNEA - Fixed Rate</v>
          </cell>
        </row>
        <row r="4828">
          <cell r="A4828" t="str">
            <v>Auto ItalyNEA - Floating Rate</v>
          </cell>
        </row>
        <row r="4829">
          <cell r="A4829" t="str">
            <v>Auto ItalyReserves - FX Gain / Loss</v>
          </cell>
        </row>
        <row r="4830">
          <cell r="A4830" t="str">
            <v>Auto ItalyReserves - Provisons</v>
          </cell>
        </row>
        <row r="4831">
          <cell r="A4831" t="str">
            <v>Auto ItalyReserves - Recoveries</v>
          </cell>
        </row>
        <row r="4832">
          <cell r="A4832" t="str">
            <v>Auto ItalyReserves - BOP</v>
          </cell>
        </row>
        <row r="4833">
          <cell r="A4833" t="str">
            <v>Auto ItalyReserves - Transfers &amp; Others</v>
          </cell>
        </row>
        <row r="4834">
          <cell r="A4834" t="str">
            <v>Auto ItalyReserves - Write-Offs</v>
          </cell>
        </row>
        <row r="4835">
          <cell r="A4835" t="str">
            <v>Auto Italy780 FR Provision</v>
          </cell>
        </row>
        <row r="4836">
          <cell r="A4836" t="str">
            <v>Auto Italy780 FR Recovery</v>
          </cell>
        </row>
        <row r="4837">
          <cell r="A4837" t="str">
            <v>Auto Italy781 LL Provision</v>
          </cell>
        </row>
        <row r="4838">
          <cell r="A4838" t="str">
            <v>Auto Italy781 LL Recovery</v>
          </cell>
        </row>
        <row r="4839">
          <cell r="A4839" t="str">
            <v>Auto Italy782 DF Provision</v>
          </cell>
        </row>
        <row r="4840">
          <cell r="A4840" t="str">
            <v>Auto Italy782 DF Recovery</v>
          </cell>
        </row>
        <row r="4841">
          <cell r="A4841" t="str">
            <v>Auto Italy783 Corp Level Provision</v>
          </cell>
        </row>
        <row r="4842">
          <cell r="A4842" t="str">
            <v>Auto Italy783 Corp Level Recovery</v>
          </cell>
        </row>
        <row r="4843">
          <cell r="A4843" t="str">
            <v>Auto Italy784 Business Share Provision</v>
          </cell>
        </row>
        <row r="4844">
          <cell r="A4844" t="str">
            <v>Auto ItalyReserves - Business Sharing</v>
          </cell>
        </row>
        <row r="4845">
          <cell r="A4845" t="str">
            <v>Auto PortugalNEA - Fixed Rate</v>
          </cell>
        </row>
        <row r="4846">
          <cell r="A4846" t="str">
            <v>Auto PortugalNEA - Floating Rate</v>
          </cell>
        </row>
        <row r="4847">
          <cell r="A4847" t="str">
            <v>Auto PortugalReserves - FX Gain / Loss</v>
          </cell>
        </row>
        <row r="4848">
          <cell r="A4848" t="str">
            <v>Auto PortugalReserves - Provisons</v>
          </cell>
        </row>
        <row r="4849">
          <cell r="A4849" t="str">
            <v>Auto PortugalReserves - Recoveries</v>
          </cell>
        </row>
        <row r="4850">
          <cell r="A4850" t="str">
            <v>Auto PortugalReserves - BOP</v>
          </cell>
        </row>
        <row r="4851">
          <cell r="A4851" t="str">
            <v>Auto PortugalReserves - Transfers &amp; Others</v>
          </cell>
        </row>
        <row r="4852">
          <cell r="A4852" t="str">
            <v>Auto PortugalReserves - Write-Offs</v>
          </cell>
        </row>
        <row r="4853">
          <cell r="A4853" t="str">
            <v>Auto Portugal780 FR Provision</v>
          </cell>
        </row>
        <row r="4854">
          <cell r="A4854" t="str">
            <v>Auto Portugal780 FR Recovery</v>
          </cell>
        </row>
        <row r="4855">
          <cell r="A4855" t="str">
            <v>Auto Portugal781 LL Provision</v>
          </cell>
        </row>
        <row r="4856">
          <cell r="A4856" t="str">
            <v>Auto Portugal781 LL Recovery</v>
          </cell>
        </row>
        <row r="4857">
          <cell r="A4857" t="str">
            <v>Auto Portugal782 DF Provision</v>
          </cell>
        </row>
        <row r="4858">
          <cell r="A4858" t="str">
            <v>Auto Portugal782 DF Recovery</v>
          </cell>
        </row>
        <row r="4859">
          <cell r="A4859" t="str">
            <v>Auto Portugal783 Corp Level Provision</v>
          </cell>
        </row>
        <row r="4860">
          <cell r="A4860" t="str">
            <v>Auto Portugal783 Corp Level Recovery</v>
          </cell>
        </row>
        <row r="4861">
          <cell r="A4861" t="str">
            <v>Auto Portugal784 Business Share Provision</v>
          </cell>
        </row>
        <row r="4862">
          <cell r="A4862" t="str">
            <v>Auto PortugalReserves - Business Sharing</v>
          </cell>
        </row>
        <row r="4863">
          <cell r="A4863" t="str">
            <v>Auto SpainNEA - Fixed Rate</v>
          </cell>
        </row>
        <row r="4864">
          <cell r="A4864" t="str">
            <v>Auto SpainNEA - Floating Rate</v>
          </cell>
        </row>
        <row r="4865">
          <cell r="A4865" t="str">
            <v>Auto SpainReserves - FX Gain / Loss</v>
          </cell>
        </row>
        <row r="4866">
          <cell r="A4866" t="str">
            <v>Auto SpainReserves - Provisons</v>
          </cell>
        </row>
        <row r="4867">
          <cell r="A4867" t="str">
            <v>Auto SpainReserves - Recoveries</v>
          </cell>
        </row>
        <row r="4868">
          <cell r="A4868" t="str">
            <v>Auto SpainReserves - BOP</v>
          </cell>
        </row>
        <row r="4869">
          <cell r="A4869" t="str">
            <v>Auto SpainReserves - Transfers &amp; Others</v>
          </cell>
        </row>
        <row r="4870">
          <cell r="A4870" t="str">
            <v>Auto SpainReserves - Write-Offs</v>
          </cell>
        </row>
        <row r="4871">
          <cell r="A4871" t="str">
            <v>Auto Spain780 FR Provision</v>
          </cell>
        </row>
        <row r="4872">
          <cell r="A4872" t="str">
            <v>Auto Spain780 FR Recovery</v>
          </cell>
        </row>
        <row r="4873">
          <cell r="A4873" t="str">
            <v>Auto Spain781 LL Provision</v>
          </cell>
        </row>
        <row r="4874">
          <cell r="A4874" t="str">
            <v>Auto Spain781 LL Recovery</v>
          </cell>
        </row>
        <row r="4875">
          <cell r="A4875" t="str">
            <v>Auto Spain782 DF Provision</v>
          </cell>
        </row>
        <row r="4876">
          <cell r="A4876" t="str">
            <v>Auto Spain782 DF Recovery</v>
          </cell>
        </row>
        <row r="4877">
          <cell r="A4877" t="str">
            <v>Auto Spain783 Corp Level Provision</v>
          </cell>
        </row>
        <row r="4878">
          <cell r="A4878" t="str">
            <v>Auto Spain783 Corp Level Recovery</v>
          </cell>
        </row>
        <row r="4879">
          <cell r="A4879" t="str">
            <v>Auto Spain784 Business Share Provision</v>
          </cell>
        </row>
        <row r="4880">
          <cell r="A4880" t="str">
            <v>Auto SpainReserves - Business Sharing</v>
          </cell>
        </row>
        <row r="4881">
          <cell r="A4881" t="str">
            <v>Auto UKNEA - Fixed Rate</v>
          </cell>
        </row>
        <row r="4882">
          <cell r="A4882" t="str">
            <v>Auto UKNEA - Floating Rate</v>
          </cell>
        </row>
        <row r="4883">
          <cell r="A4883" t="str">
            <v>Auto UKReserves - FX Gain / Loss</v>
          </cell>
        </row>
        <row r="4884">
          <cell r="A4884" t="str">
            <v>Auto UKReserves - Provisons</v>
          </cell>
        </row>
        <row r="4885">
          <cell r="A4885" t="str">
            <v>Auto UKReserves - Recoveries</v>
          </cell>
        </row>
        <row r="4886">
          <cell r="A4886" t="str">
            <v>Auto UKReserves - BOP</v>
          </cell>
        </row>
        <row r="4887">
          <cell r="A4887" t="str">
            <v>Auto UKReserves - Transfers &amp; Others</v>
          </cell>
        </row>
        <row r="4888">
          <cell r="A4888" t="str">
            <v>Auto UKReserves - Write-Offs</v>
          </cell>
        </row>
        <row r="4889">
          <cell r="A4889" t="str">
            <v>Auto UK780 FR Provision</v>
          </cell>
        </row>
        <row r="4890">
          <cell r="A4890" t="str">
            <v>Auto UK780 FR Recovery</v>
          </cell>
        </row>
        <row r="4891">
          <cell r="A4891" t="str">
            <v>Auto UK781 LL Provision</v>
          </cell>
        </row>
        <row r="4892">
          <cell r="A4892" t="str">
            <v>Auto UK781 LL Recovery</v>
          </cell>
        </row>
        <row r="4893">
          <cell r="A4893" t="str">
            <v>Auto UK782 DF Provision</v>
          </cell>
        </row>
        <row r="4894">
          <cell r="A4894" t="str">
            <v>Auto UK782 DF Recovery</v>
          </cell>
        </row>
        <row r="4895">
          <cell r="A4895" t="str">
            <v>Auto UK783 Corp Level Provision</v>
          </cell>
        </row>
        <row r="4896">
          <cell r="A4896" t="str">
            <v>Auto UK783 Corp Level Recovery</v>
          </cell>
        </row>
        <row r="4897">
          <cell r="A4897" t="str">
            <v>Auto UK784 Business Share Provision</v>
          </cell>
        </row>
        <row r="4898">
          <cell r="A4898" t="str">
            <v>Auto UKReserves - Business Sharing</v>
          </cell>
        </row>
        <row r="4899">
          <cell r="A4899" t="str">
            <v>BrazilNEA - Fixed Rate</v>
          </cell>
        </row>
        <row r="4900">
          <cell r="A4900" t="str">
            <v>BrazilNEA - Floating Rate</v>
          </cell>
        </row>
        <row r="4901">
          <cell r="A4901" t="str">
            <v>BrazilReserves - FX Gain / Loss</v>
          </cell>
        </row>
        <row r="4902">
          <cell r="A4902" t="str">
            <v>BrazilReserves - Provisons</v>
          </cell>
        </row>
        <row r="4903">
          <cell r="A4903" t="str">
            <v>BrazilReserves - Recoveries</v>
          </cell>
        </row>
        <row r="4904">
          <cell r="A4904" t="str">
            <v>BrazilReserves - BOP</v>
          </cell>
        </row>
        <row r="4905">
          <cell r="A4905" t="str">
            <v>BrazilReserves - Transfers &amp; Others</v>
          </cell>
        </row>
        <row r="4906">
          <cell r="A4906" t="str">
            <v>BrazilReserves - Write-Offs</v>
          </cell>
        </row>
        <row r="4907">
          <cell r="A4907" t="str">
            <v>Brazil780 FR Provision</v>
          </cell>
        </row>
        <row r="4908">
          <cell r="A4908" t="str">
            <v>Brazil780 FR Recovery</v>
          </cell>
        </row>
        <row r="4909">
          <cell r="A4909" t="str">
            <v>Brazil781 LL Provision</v>
          </cell>
        </row>
        <row r="4910">
          <cell r="A4910" t="str">
            <v>Brazil781 LL Recovery</v>
          </cell>
        </row>
        <row r="4911">
          <cell r="A4911" t="str">
            <v>Brazil782 DF Provision</v>
          </cell>
        </row>
        <row r="4912">
          <cell r="A4912" t="str">
            <v>Brazil782 DF Recovery</v>
          </cell>
        </row>
        <row r="4913">
          <cell r="A4913" t="str">
            <v>Brazil783 Corp Level Provision</v>
          </cell>
        </row>
        <row r="4914">
          <cell r="A4914" t="str">
            <v>Brazil783 Corp Level Recovery</v>
          </cell>
        </row>
        <row r="4915">
          <cell r="A4915" t="str">
            <v>Brazil784 Business Share Provision</v>
          </cell>
        </row>
        <row r="4916">
          <cell r="A4916" t="str">
            <v>BrazilReserves - Business Sharing</v>
          </cell>
        </row>
        <row r="4917">
          <cell r="A4917" t="str">
            <v>Budapest BankNEA - Fixed Rate</v>
          </cell>
        </row>
        <row r="4918">
          <cell r="A4918" t="str">
            <v>Budapest BankNEA - Floating Rate</v>
          </cell>
        </row>
        <row r="4919">
          <cell r="A4919" t="str">
            <v>Budapest BankReserves - FX Gain / Loss</v>
          </cell>
        </row>
        <row r="4920">
          <cell r="A4920" t="str">
            <v>Budapest BankReserves - Provisons</v>
          </cell>
        </row>
        <row r="4921">
          <cell r="A4921" t="str">
            <v>Budapest BankReserves - Recoveries</v>
          </cell>
        </row>
        <row r="4922">
          <cell r="A4922" t="str">
            <v>Budapest BankReserves - BOP</v>
          </cell>
        </row>
        <row r="4923">
          <cell r="A4923" t="str">
            <v>Budapest BankReserves - Transfers &amp; Others</v>
          </cell>
        </row>
        <row r="4924">
          <cell r="A4924" t="str">
            <v>Budapest BankReserves - Write-Offs</v>
          </cell>
        </row>
        <row r="4925">
          <cell r="A4925" t="str">
            <v>Budapest Bank780 FR Provision</v>
          </cell>
        </row>
        <row r="4926">
          <cell r="A4926" t="str">
            <v>Budapest Bank780 FR Recovery</v>
          </cell>
        </row>
        <row r="4927">
          <cell r="A4927" t="str">
            <v>Budapest Bank781 LL Provision</v>
          </cell>
        </row>
        <row r="4928">
          <cell r="A4928" t="str">
            <v>Budapest Bank781 LL Recovery</v>
          </cell>
        </row>
        <row r="4929">
          <cell r="A4929" t="str">
            <v>Budapest Bank782 DF Provision</v>
          </cell>
        </row>
        <row r="4930">
          <cell r="A4930" t="str">
            <v>Budapest Bank782 DF Recovery</v>
          </cell>
        </row>
        <row r="4931">
          <cell r="A4931" t="str">
            <v>Budapest Bank783 Corp Level Provision</v>
          </cell>
        </row>
        <row r="4932">
          <cell r="A4932" t="str">
            <v>Budapest Bank783 Corp Level Recovery</v>
          </cell>
        </row>
        <row r="4933">
          <cell r="A4933" t="str">
            <v>Budapest Bank784 Business Share Provision</v>
          </cell>
        </row>
        <row r="4934">
          <cell r="A4934" t="str">
            <v>Budapest BankReserves - Business Sharing</v>
          </cell>
        </row>
        <row r="4935">
          <cell r="A4935" t="str">
            <v>Business Shares UKNEA - Fixed Rate</v>
          </cell>
        </row>
        <row r="4936">
          <cell r="A4936" t="str">
            <v>Business Shares UKNEA - Floating Rate</v>
          </cell>
        </row>
        <row r="4937">
          <cell r="A4937" t="str">
            <v>Business Shares UKReserves - FX Gain / Loss</v>
          </cell>
        </row>
        <row r="4938">
          <cell r="A4938" t="str">
            <v>Business Shares UKReserves - Provisons</v>
          </cell>
        </row>
        <row r="4939">
          <cell r="A4939" t="str">
            <v>Business Shares UKReserves - Recoveries</v>
          </cell>
        </row>
        <row r="4940">
          <cell r="A4940" t="str">
            <v>Business Shares UKReserves - BOP</v>
          </cell>
        </row>
        <row r="4941">
          <cell r="A4941" t="str">
            <v>Business Shares UKReserves - Transfers &amp; Others</v>
          </cell>
        </row>
        <row r="4942">
          <cell r="A4942" t="str">
            <v>Business Shares UKReserves - Write-Offs</v>
          </cell>
        </row>
        <row r="4943">
          <cell r="A4943" t="str">
            <v>Business Shares UK780 FR Provision</v>
          </cell>
        </row>
        <row r="4944">
          <cell r="A4944" t="str">
            <v>Business Shares UK780 FR Recovery</v>
          </cell>
        </row>
        <row r="4945">
          <cell r="A4945" t="str">
            <v>Business Shares UK781 LL Provision</v>
          </cell>
        </row>
        <row r="4946">
          <cell r="A4946" t="str">
            <v>Business Shares UK781 LL Recovery</v>
          </cell>
        </row>
        <row r="4947">
          <cell r="A4947" t="str">
            <v>Business Shares UK782 DF Provision</v>
          </cell>
        </row>
        <row r="4948">
          <cell r="A4948" t="str">
            <v>Business Shares UK782 DF Recovery</v>
          </cell>
        </row>
        <row r="4949">
          <cell r="A4949" t="str">
            <v>Business Shares UK783 Corp Level Provision</v>
          </cell>
        </row>
        <row r="4950">
          <cell r="A4950" t="str">
            <v>Business Shares UK783 Corp Level Recovery</v>
          </cell>
        </row>
        <row r="4951">
          <cell r="A4951" t="str">
            <v>Business Shares UK784 Business Share Provision</v>
          </cell>
        </row>
        <row r="4952">
          <cell r="A4952" t="str">
            <v>Business Shares UKReserves - Business Sharing</v>
          </cell>
        </row>
        <row r="4953">
          <cell r="A4953" t="str">
            <v>ChinaNEA - Fixed Rate</v>
          </cell>
        </row>
        <row r="4954">
          <cell r="A4954" t="str">
            <v>ChinaNEA - Floating Rate</v>
          </cell>
        </row>
        <row r="4955">
          <cell r="A4955" t="str">
            <v>ChinaReserves - FX Gain / Loss</v>
          </cell>
        </row>
        <row r="4956">
          <cell r="A4956" t="str">
            <v>ChinaReserves - Provisons</v>
          </cell>
        </row>
        <row r="4957">
          <cell r="A4957" t="str">
            <v>ChinaReserves - Recoveries</v>
          </cell>
        </row>
        <row r="4958">
          <cell r="A4958" t="str">
            <v>ChinaReserves - BOP</v>
          </cell>
        </row>
        <row r="4959">
          <cell r="A4959" t="str">
            <v>ChinaReserves - Transfers &amp; Others</v>
          </cell>
        </row>
        <row r="4960">
          <cell r="A4960" t="str">
            <v>ChinaReserves - Write-Offs</v>
          </cell>
        </row>
        <row r="4961">
          <cell r="A4961" t="str">
            <v>China780 FR Provision</v>
          </cell>
        </row>
        <row r="4962">
          <cell r="A4962" t="str">
            <v>China780 FR Recovery</v>
          </cell>
        </row>
        <row r="4963">
          <cell r="A4963" t="str">
            <v>China781 LL Provision</v>
          </cell>
        </row>
        <row r="4964">
          <cell r="A4964" t="str">
            <v>China781 LL Recovery</v>
          </cell>
        </row>
        <row r="4965">
          <cell r="A4965" t="str">
            <v>China782 DF Provision</v>
          </cell>
        </row>
        <row r="4966">
          <cell r="A4966" t="str">
            <v>China782 DF Recovery</v>
          </cell>
        </row>
        <row r="4967">
          <cell r="A4967" t="str">
            <v>China783 Corp Level Provision</v>
          </cell>
        </row>
        <row r="4968">
          <cell r="A4968" t="str">
            <v>China783 Corp Level Recovery</v>
          </cell>
        </row>
        <row r="4969">
          <cell r="A4969" t="str">
            <v>China784 Business Share Provision</v>
          </cell>
        </row>
        <row r="4970">
          <cell r="A4970" t="str">
            <v>ChinaReserves - Business Sharing</v>
          </cell>
        </row>
        <row r="4971">
          <cell r="A4971" t="str">
            <v>Czech RepublicNEA - Fixed Rate</v>
          </cell>
        </row>
        <row r="4972">
          <cell r="A4972" t="str">
            <v>Czech RepublicNEA - Floating Rate</v>
          </cell>
        </row>
        <row r="4973">
          <cell r="A4973" t="str">
            <v>Czech RepublicReserves - FX Gain / Loss</v>
          </cell>
        </row>
        <row r="4974">
          <cell r="A4974" t="str">
            <v>Czech RepublicReserves - Provisons</v>
          </cell>
        </row>
        <row r="4975">
          <cell r="A4975" t="str">
            <v>Czech RepublicReserves - Recoveries</v>
          </cell>
        </row>
        <row r="4976">
          <cell r="A4976" t="str">
            <v>Czech RepublicReserves - BOP</v>
          </cell>
        </row>
        <row r="4977">
          <cell r="A4977" t="str">
            <v>Czech RepublicReserves - Transfers &amp; Others</v>
          </cell>
        </row>
        <row r="4978">
          <cell r="A4978" t="str">
            <v>Czech RepublicReserves - Write-Offs</v>
          </cell>
        </row>
        <row r="4979">
          <cell r="A4979" t="str">
            <v>Czech Republic780 FR Provision</v>
          </cell>
        </row>
        <row r="4980">
          <cell r="A4980" t="str">
            <v>Czech Republic780 FR Recovery</v>
          </cell>
        </row>
        <row r="4981">
          <cell r="A4981" t="str">
            <v>Czech Republic781 LL Provision</v>
          </cell>
        </row>
        <row r="4982">
          <cell r="A4982" t="str">
            <v>Czech Republic781 LL Recovery</v>
          </cell>
        </row>
        <row r="4983">
          <cell r="A4983" t="str">
            <v>Czech Republic782 DF Provision</v>
          </cell>
        </row>
        <row r="4984">
          <cell r="A4984" t="str">
            <v>Czech Republic782 DF Recovery</v>
          </cell>
        </row>
        <row r="4985">
          <cell r="A4985" t="str">
            <v>Czech Republic783 Corp Level Provision</v>
          </cell>
        </row>
        <row r="4986">
          <cell r="A4986" t="str">
            <v>Czech Republic783 Corp Level Recovery</v>
          </cell>
        </row>
        <row r="4987">
          <cell r="A4987" t="str">
            <v>Czech Republic784 Business Share Provision</v>
          </cell>
        </row>
        <row r="4988">
          <cell r="A4988" t="str">
            <v>Czech RepublicReserves - Business Sharing</v>
          </cell>
        </row>
        <row r="4989">
          <cell r="A4989" t="str">
            <v>DenmarkNEA - Fixed Rate</v>
          </cell>
        </row>
        <row r="4990">
          <cell r="A4990" t="str">
            <v>DenmarkNEA - Floating Rate</v>
          </cell>
        </row>
        <row r="4991">
          <cell r="A4991" t="str">
            <v>DenmarkReserves - FX Gain / Loss</v>
          </cell>
        </row>
        <row r="4992">
          <cell r="A4992" t="str">
            <v>DenmarkReserves - Provisons</v>
          </cell>
        </row>
        <row r="4993">
          <cell r="A4993" t="str">
            <v>DenmarkReserves - Recoveries</v>
          </cell>
        </row>
        <row r="4994">
          <cell r="A4994" t="str">
            <v>DenmarkReserves - BOP</v>
          </cell>
        </row>
        <row r="4995">
          <cell r="A4995" t="str">
            <v>DenmarkReserves - Transfers &amp; Others</v>
          </cell>
        </row>
        <row r="4996">
          <cell r="A4996" t="str">
            <v>DenmarkReserves - Write-Offs</v>
          </cell>
        </row>
        <row r="4997">
          <cell r="A4997" t="str">
            <v>Denmark780 FR Provision</v>
          </cell>
        </row>
        <row r="4998">
          <cell r="A4998" t="str">
            <v>Denmark780 FR Recovery</v>
          </cell>
        </row>
        <row r="4999">
          <cell r="A4999" t="str">
            <v>Denmark781 LL Provision</v>
          </cell>
        </row>
        <row r="5000">
          <cell r="A5000" t="str">
            <v>Denmark781 LL Recovery</v>
          </cell>
        </row>
        <row r="5001">
          <cell r="A5001" t="str">
            <v>Denmark782 DF Provision</v>
          </cell>
        </row>
        <row r="5002">
          <cell r="A5002" t="str">
            <v>Denmark782 DF Recovery</v>
          </cell>
        </row>
        <row r="5003">
          <cell r="A5003" t="str">
            <v>Denmark783 Corp Level Provision</v>
          </cell>
        </row>
        <row r="5004">
          <cell r="A5004" t="str">
            <v>Denmark783 Corp Level Recovery</v>
          </cell>
        </row>
        <row r="5005">
          <cell r="A5005" t="str">
            <v>Denmark784 Business Share Provision</v>
          </cell>
        </row>
        <row r="5006">
          <cell r="A5006" t="str">
            <v>DenmarkReserves - Business Sharing</v>
          </cell>
        </row>
        <row r="5007">
          <cell r="A5007" t="str">
            <v>DOMsNEA - Fixed Rate</v>
          </cell>
        </row>
        <row r="5008">
          <cell r="A5008" t="str">
            <v>DOMsNEA - Floating Rate</v>
          </cell>
        </row>
        <row r="5009">
          <cell r="A5009" t="str">
            <v>DOMsReserves - FX Gain / Loss</v>
          </cell>
        </row>
        <row r="5010">
          <cell r="A5010" t="str">
            <v>DOMsReserves - Provisons</v>
          </cell>
        </row>
        <row r="5011">
          <cell r="A5011" t="str">
            <v>DOMsReserves - Recoveries</v>
          </cell>
        </row>
        <row r="5012">
          <cell r="A5012" t="str">
            <v>DOMsReserves - BOP</v>
          </cell>
        </row>
        <row r="5013">
          <cell r="A5013" t="str">
            <v>DOMsReserves - Transfers &amp; Others</v>
          </cell>
        </row>
        <row r="5014">
          <cell r="A5014" t="str">
            <v>DOMsReserves - Write-Offs</v>
          </cell>
        </row>
        <row r="5015">
          <cell r="A5015" t="str">
            <v>DOMs780 FR Provision</v>
          </cell>
        </row>
        <row r="5016">
          <cell r="A5016" t="str">
            <v>DOMs780 FR Recovery</v>
          </cell>
        </row>
        <row r="5017">
          <cell r="A5017" t="str">
            <v>DOMs781 LL Provision</v>
          </cell>
        </row>
        <row r="5018">
          <cell r="A5018" t="str">
            <v>DOMs781 LL Recovery</v>
          </cell>
        </row>
        <row r="5019">
          <cell r="A5019" t="str">
            <v>DOMs782 DF Provision</v>
          </cell>
        </row>
        <row r="5020">
          <cell r="A5020" t="str">
            <v>DOMs782 DF Recovery</v>
          </cell>
        </row>
        <row r="5021">
          <cell r="A5021" t="str">
            <v>DOMs783 Corp Level Provision</v>
          </cell>
        </row>
        <row r="5022">
          <cell r="A5022" t="str">
            <v>DOMs783 Corp Level Recovery</v>
          </cell>
        </row>
        <row r="5023">
          <cell r="A5023" t="str">
            <v>DOMs784 Business Share Provision</v>
          </cell>
        </row>
        <row r="5024">
          <cell r="A5024" t="str">
            <v>DOMsReserves - Business Sharing</v>
          </cell>
        </row>
        <row r="5025">
          <cell r="A5025" t="str">
            <v>France GECBNEA - Fixed Rate</v>
          </cell>
        </row>
        <row r="5026">
          <cell r="A5026" t="str">
            <v>France GECBNEA - Floating Rate</v>
          </cell>
        </row>
        <row r="5027">
          <cell r="A5027" t="str">
            <v>France GECBReserves - FX Gain / Loss</v>
          </cell>
        </row>
        <row r="5028">
          <cell r="A5028" t="str">
            <v>France GECBReserves - Provisons</v>
          </cell>
        </row>
        <row r="5029">
          <cell r="A5029" t="str">
            <v>France GECBReserves - Recoveries</v>
          </cell>
        </row>
        <row r="5030">
          <cell r="A5030" t="str">
            <v>France GECBReserves - BOP</v>
          </cell>
        </row>
        <row r="5031">
          <cell r="A5031" t="str">
            <v>France GECBReserves - Transfers &amp; Others</v>
          </cell>
        </row>
        <row r="5032">
          <cell r="A5032" t="str">
            <v>France GECBReserves - Write-Offs</v>
          </cell>
        </row>
        <row r="5033">
          <cell r="A5033" t="str">
            <v>France GECB780 FR Provision</v>
          </cell>
        </row>
        <row r="5034">
          <cell r="A5034" t="str">
            <v>France GECB780 FR Recovery</v>
          </cell>
        </row>
        <row r="5035">
          <cell r="A5035" t="str">
            <v>France GECB781 LL Provision</v>
          </cell>
        </row>
        <row r="5036">
          <cell r="A5036" t="str">
            <v>France GECB781 LL Recovery</v>
          </cell>
        </row>
        <row r="5037">
          <cell r="A5037" t="str">
            <v>France GECB782 DF Provision</v>
          </cell>
        </row>
        <row r="5038">
          <cell r="A5038" t="str">
            <v>France GECB782 DF Recovery</v>
          </cell>
        </row>
        <row r="5039">
          <cell r="A5039" t="str">
            <v>France GECB783 Corp Level Provision</v>
          </cell>
        </row>
        <row r="5040">
          <cell r="A5040" t="str">
            <v>France GECB783 Corp Level Recovery</v>
          </cell>
        </row>
        <row r="5041">
          <cell r="A5041" t="str">
            <v>France GECB784 Business Share Provision</v>
          </cell>
        </row>
        <row r="5042">
          <cell r="A5042" t="str">
            <v>France GECBReserves - Business Sharing</v>
          </cell>
        </row>
        <row r="5043">
          <cell r="A5043" t="str">
            <v>GCF UKNEA - Fixed Rate</v>
          </cell>
        </row>
        <row r="5044">
          <cell r="A5044" t="str">
            <v>GCF UKNEA - Floating Rate</v>
          </cell>
        </row>
        <row r="5045">
          <cell r="A5045" t="str">
            <v>GCF UKReserves - FX Gain / Loss</v>
          </cell>
        </row>
        <row r="5046">
          <cell r="A5046" t="str">
            <v>GCF UKReserves - Provisons</v>
          </cell>
        </row>
        <row r="5047">
          <cell r="A5047" t="str">
            <v>GCF UKReserves - Recoveries</v>
          </cell>
        </row>
        <row r="5048">
          <cell r="A5048" t="str">
            <v>GCF UKReserves - BOP</v>
          </cell>
        </row>
        <row r="5049">
          <cell r="A5049" t="str">
            <v>GCF UKReserves - Transfers &amp; Others</v>
          </cell>
        </row>
        <row r="5050">
          <cell r="A5050" t="str">
            <v>GCF UKReserves - Write-Offs</v>
          </cell>
        </row>
        <row r="5051">
          <cell r="A5051" t="str">
            <v>GCF UK780 FR Provision</v>
          </cell>
        </row>
        <row r="5052">
          <cell r="A5052" t="str">
            <v>GCF UK780 FR Recovery</v>
          </cell>
        </row>
        <row r="5053">
          <cell r="A5053" t="str">
            <v>GCF UK781 LL Provision</v>
          </cell>
        </row>
        <row r="5054">
          <cell r="A5054" t="str">
            <v>GCF UK781 LL Recovery</v>
          </cell>
        </row>
        <row r="5055">
          <cell r="A5055" t="str">
            <v>GCF UK782 DF Provision</v>
          </cell>
        </row>
        <row r="5056">
          <cell r="A5056" t="str">
            <v>GCF UK782 DF Recovery</v>
          </cell>
        </row>
        <row r="5057">
          <cell r="A5057" t="str">
            <v>GCF UK783 Corp Level Provision</v>
          </cell>
        </row>
        <row r="5058">
          <cell r="A5058" t="str">
            <v>GCF UK783 Corp Level Recovery</v>
          </cell>
        </row>
        <row r="5059">
          <cell r="A5059" t="str">
            <v>GCF UK784 Business Share Provision</v>
          </cell>
        </row>
        <row r="5060">
          <cell r="A5060" t="str">
            <v>GCF UKReserves - Business Sharing</v>
          </cell>
        </row>
        <row r="5061">
          <cell r="A5061" t="str">
            <v>GECISNEA - Fixed Rate</v>
          </cell>
        </row>
        <row r="5062">
          <cell r="A5062" t="str">
            <v>GECISNEA - Floating Rate</v>
          </cell>
        </row>
        <row r="5063">
          <cell r="A5063" t="str">
            <v>GECISReserves - FX Gain / Loss</v>
          </cell>
        </row>
        <row r="5064">
          <cell r="A5064" t="str">
            <v>GECISReserves - Provisons</v>
          </cell>
        </row>
        <row r="5065">
          <cell r="A5065" t="str">
            <v>GECISReserves - Recoveries</v>
          </cell>
        </row>
        <row r="5066">
          <cell r="A5066" t="str">
            <v>GECISReserves - BOP</v>
          </cell>
        </row>
        <row r="5067">
          <cell r="A5067" t="str">
            <v>GECISReserves - Transfers &amp; Others</v>
          </cell>
        </row>
        <row r="5068">
          <cell r="A5068" t="str">
            <v>GECISReserves - Write-Offs</v>
          </cell>
        </row>
        <row r="5069">
          <cell r="A5069" t="str">
            <v>GECIS780 FR Provision</v>
          </cell>
        </row>
        <row r="5070">
          <cell r="A5070" t="str">
            <v>GECIS780 FR Recovery</v>
          </cell>
        </row>
        <row r="5071">
          <cell r="A5071" t="str">
            <v>GECIS781 LL Provision</v>
          </cell>
        </row>
        <row r="5072">
          <cell r="A5072" t="str">
            <v>GECIS781 LL Recovery</v>
          </cell>
        </row>
        <row r="5073">
          <cell r="A5073" t="str">
            <v>GECIS782 DF Provision</v>
          </cell>
        </row>
        <row r="5074">
          <cell r="A5074" t="str">
            <v>GECIS782 DF Recovery</v>
          </cell>
        </row>
        <row r="5075">
          <cell r="A5075" t="str">
            <v>GECIS783 Corp Level Provision</v>
          </cell>
        </row>
        <row r="5076">
          <cell r="A5076" t="str">
            <v>GECIS783 Corp Level Recovery</v>
          </cell>
        </row>
        <row r="5077">
          <cell r="A5077" t="str">
            <v>GECIS784 Business Share Provision</v>
          </cell>
        </row>
        <row r="5078">
          <cell r="A5078" t="str">
            <v>GECISReserves - Business Sharing</v>
          </cell>
        </row>
        <row r="5079">
          <cell r="A5079" t="str">
            <v>GemplusNEA - Fixed Rate</v>
          </cell>
        </row>
        <row r="5080">
          <cell r="A5080" t="str">
            <v>GemplusNEA - Floating Rate</v>
          </cell>
        </row>
        <row r="5081">
          <cell r="A5081" t="str">
            <v>GemplusReserves - FX Gain / Loss</v>
          </cell>
        </row>
        <row r="5082">
          <cell r="A5082" t="str">
            <v>GemplusReserves - Provisons</v>
          </cell>
        </row>
        <row r="5083">
          <cell r="A5083" t="str">
            <v>GemplusReserves - Recoveries</v>
          </cell>
        </row>
        <row r="5084">
          <cell r="A5084" t="str">
            <v>GemplusReserves - BOP</v>
          </cell>
        </row>
        <row r="5085">
          <cell r="A5085" t="str">
            <v>GemplusReserves - Transfers &amp; Others</v>
          </cell>
        </row>
        <row r="5086">
          <cell r="A5086" t="str">
            <v>GemplusReserves - Write-Offs</v>
          </cell>
        </row>
        <row r="5087">
          <cell r="A5087" t="str">
            <v>Gemplus780 FR Provision</v>
          </cell>
        </row>
        <row r="5088">
          <cell r="A5088" t="str">
            <v>Gemplus780 FR Recovery</v>
          </cell>
        </row>
        <row r="5089">
          <cell r="A5089" t="str">
            <v>Gemplus781 LL Provision</v>
          </cell>
        </row>
        <row r="5090">
          <cell r="A5090" t="str">
            <v>Gemplus781 LL Recovery</v>
          </cell>
        </row>
        <row r="5091">
          <cell r="A5091" t="str">
            <v>Gemplus782 DF Provision</v>
          </cell>
        </row>
        <row r="5092">
          <cell r="A5092" t="str">
            <v>Gemplus782 DF Recovery</v>
          </cell>
        </row>
        <row r="5093">
          <cell r="A5093" t="str">
            <v>Gemplus783 Corp Level Provision</v>
          </cell>
        </row>
        <row r="5094">
          <cell r="A5094" t="str">
            <v>Gemplus783 Corp Level Recovery</v>
          </cell>
        </row>
        <row r="5095">
          <cell r="A5095" t="str">
            <v>Gemplus784 Business Share Provision</v>
          </cell>
        </row>
        <row r="5096">
          <cell r="A5096" t="str">
            <v>GemplusReserves - Business Sharing</v>
          </cell>
        </row>
        <row r="5097">
          <cell r="A5097" t="str">
            <v>GermanyNEA - Fixed Rate</v>
          </cell>
        </row>
        <row r="5098">
          <cell r="A5098" t="str">
            <v>GermanyNEA - Floating Rate</v>
          </cell>
        </row>
        <row r="5099">
          <cell r="A5099" t="str">
            <v>GermanyReserves - FX Gain / Loss</v>
          </cell>
        </row>
        <row r="5100">
          <cell r="A5100" t="str">
            <v>GermanyReserves - Provisons</v>
          </cell>
        </row>
        <row r="5101">
          <cell r="A5101" t="str">
            <v>GermanyReserves - Recoveries</v>
          </cell>
        </row>
        <row r="5102">
          <cell r="A5102" t="str">
            <v>GermanyReserves - BOP</v>
          </cell>
        </row>
        <row r="5103">
          <cell r="A5103" t="str">
            <v>GermanyReserves - Transfers &amp; Others</v>
          </cell>
        </row>
        <row r="5104">
          <cell r="A5104" t="str">
            <v>GermanyReserves - Write-Offs</v>
          </cell>
        </row>
        <row r="5105">
          <cell r="A5105" t="str">
            <v>Germany780 FR Provision</v>
          </cell>
        </row>
        <row r="5106">
          <cell r="A5106" t="str">
            <v>Germany780 FR Recovery</v>
          </cell>
        </row>
        <row r="5107">
          <cell r="A5107" t="str">
            <v>Germany781 LL Provision</v>
          </cell>
        </row>
        <row r="5108">
          <cell r="A5108" t="str">
            <v>Germany781 LL Recovery</v>
          </cell>
        </row>
        <row r="5109">
          <cell r="A5109" t="str">
            <v>Germany782 DF Provision</v>
          </cell>
        </row>
        <row r="5110">
          <cell r="A5110" t="str">
            <v>Germany782 DF Recovery</v>
          </cell>
        </row>
        <row r="5111">
          <cell r="A5111" t="str">
            <v>Germany783 Corp Level Provision</v>
          </cell>
        </row>
        <row r="5112">
          <cell r="A5112" t="str">
            <v>Germany783 Corp Level Recovery</v>
          </cell>
        </row>
        <row r="5113">
          <cell r="A5113" t="str">
            <v>Germany784 Business Share Provision</v>
          </cell>
        </row>
        <row r="5114">
          <cell r="A5114" t="str">
            <v>GermanyReserves - Business Sharing</v>
          </cell>
        </row>
        <row r="5115">
          <cell r="A5115" t="str">
            <v>Hong KongNEA - Fixed Rate</v>
          </cell>
        </row>
        <row r="5116">
          <cell r="A5116" t="str">
            <v>Hong KongNEA - Floating Rate</v>
          </cell>
        </row>
        <row r="5117">
          <cell r="A5117" t="str">
            <v>Hong KongReserves - FX Gain / Loss</v>
          </cell>
        </row>
        <row r="5118">
          <cell r="A5118" t="str">
            <v>Hong KongReserves - Provisons</v>
          </cell>
        </row>
        <row r="5119">
          <cell r="A5119" t="str">
            <v>Hong KongReserves - Recoveries</v>
          </cell>
        </row>
        <row r="5120">
          <cell r="A5120" t="str">
            <v>Hong KongReserves - BOP</v>
          </cell>
        </row>
        <row r="5121">
          <cell r="A5121" t="str">
            <v>Hong KongReserves - Transfers &amp; Others</v>
          </cell>
        </row>
        <row r="5122">
          <cell r="A5122" t="str">
            <v>Hong KongReserves - Write-Offs</v>
          </cell>
        </row>
        <row r="5123">
          <cell r="A5123" t="str">
            <v>Hong Kong780 FR Provision</v>
          </cell>
        </row>
        <row r="5124">
          <cell r="A5124" t="str">
            <v>Hong Kong780 FR Recovery</v>
          </cell>
        </row>
        <row r="5125">
          <cell r="A5125" t="str">
            <v>Hong Kong781 LL Provision</v>
          </cell>
        </row>
        <row r="5126">
          <cell r="A5126" t="str">
            <v>Hong Kong781 LL Recovery</v>
          </cell>
        </row>
        <row r="5127">
          <cell r="A5127" t="str">
            <v>Hong Kong782 DF Provision</v>
          </cell>
        </row>
        <row r="5128">
          <cell r="A5128" t="str">
            <v>Hong Kong782 DF Recovery</v>
          </cell>
        </row>
        <row r="5129">
          <cell r="A5129" t="str">
            <v>Hong Kong783 Corp Level Provision</v>
          </cell>
        </row>
        <row r="5130">
          <cell r="A5130" t="str">
            <v>Hong Kong783 Corp Level Recovery</v>
          </cell>
        </row>
        <row r="5131">
          <cell r="A5131" t="str">
            <v>Hong Kong784 Business Share Provision</v>
          </cell>
        </row>
        <row r="5132">
          <cell r="A5132" t="str">
            <v>Hong KongReserves - Business Sharing</v>
          </cell>
        </row>
        <row r="5133">
          <cell r="A5133" t="str">
            <v>Housing BankNEA - Fixed Rate</v>
          </cell>
        </row>
        <row r="5134">
          <cell r="A5134" t="str">
            <v>Housing BankNEA - Floating Rate</v>
          </cell>
        </row>
        <row r="5135">
          <cell r="A5135" t="str">
            <v>Housing BankReserves - FX Gain / Loss</v>
          </cell>
        </row>
        <row r="5136">
          <cell r="A5136" t="str">
            <v>Housing BankReserves - Provisons</v>
          </cell>
        </row>
        <row r="5137">
          <cell r="A5137" t="str">
            <v>Housing BankReserves - Recoveries</v>
          </cell>
        </row>
        <row r="5138">
          <cell r="A5138" t="str">
            <v>Housing BankReserves - BOP</v>
          </cell>
        </row>
        <row r="5139">
          <cell r="A5139" t="str">
            <v>Housing BankReserves - Transfers &amp; Others</v>
          </cell>
        </row>
        <row r="5140">
          <cell r="A5140" t="str">
            <v>Housing BankReserves - Write-Offs</v>
          </cell>
        </row>
        <row r="5141">
          <cell r="A5141" t="str">
            <v>Housing Bank780 FR Provision</v>
          </cell>
        </row>
        <row r="5142">
          <cell r="A5142" t="str">
            <v>Housing Bank780 FR Recovery</v>
          </cell>
        </row>
        <row r="5143">
          <cell r="A5143" t="str">
            <v>Housing Bank781 LL Provision</v>
          </cell>
        </row>
        <row r="5144">
          <cell r="A5144" t="str">
            <v>Housing Bank781 LL Recovery</v>
          </cell>
        </row>
        <row r="5145">
          <cell r="A5145" t="str">
            <v>Housing Bank782 DF Provision</v>
          </cell>
        </row>
        <row r="5146">
          <cell r="A5146" t="str">
            <v>Housing Bank782 DF Recovery</v>
          </cell>
        </row>
        <row r="5147">
          <cell r="A5147" t="str">
            <v>Housing Bank783 Corp Level Provision</v>
          </cell>
        </row>
        <row r="5148">
          <cell r="A5148" t="str">
            <v>Housing Bank783 Corp Level Recovery</v>
          </cell>
        </row>
        <row r="5149">
          <cell r="A5149" t="str">
            <v>Housing Bank784 Business Share Provision</v>
          </cell>
        </row>
        <row r="5150">
          <cell r="A5150" t="str">
            <v>Housing BankReserves - Business Sharing</v>
          </cell>
        </row>
        <row r="5151">
          <cell r="A5151" t="str">
            <v>I GroupNEA - Fixed Rate</v>
          </cell>
        </row>
        <row r="5152">
          <cell r="A5152" t="str">
            <v>I GroupNEA - Floating Rate</v>
          </cell>
        </row>
        <row r="5153">
          <cell r="A5153" t="str">
            <v>I GroupReserves - FX Gain / Loss</v>
          </cell>
        </row>
        <row r="5154">
          <cell r="A5154" t="str">
            <v>I GroupReserves - Provisons</v>
          </cell>
        </row>
        <row r="5155">
          <cell r="A5155" t="str">
            <v>I GroupReserves - Recoveries</v>
          </cell>
        </row>
        <row r="5156">
          <cell r="A5156" t="str">
            <v>I GroupReserves - BOP</v>
          </cell>
        </row>
        <row r="5157">
          <cell r="A5157" t="str">
            <v>I GroupReserves - Transfers &amp; Others</v>
          </cell>
        </row>
        <row r="5158">
          <cell r="A5158" t="str">
            <v>I GroupReserves - Write-Offs</v>
          </cell>
        </row>
        <row r="5159">
          <cell r="A5159" t="str">
            <v>I Group780 FR Provision</v>
          </cell>
        </row>
        <row r="5160">
          <cell r="A5160" t="str">
            <v>I Group780 FR Recovery</v>
          </cell>
        </row>
        <row r="5161">
          <cell r="A5161" t="str">
            <v>I Group781 LL Provision</v>
          </cell>
        </row>
        <row r="5162">
          <cell r="A5162" t="str">
            <v>I Group781 LL Recovery</v>
          </cell>
        </row>
        <row r="5163">
          <cell r="A5163" t="str">
            <v>I Group782 DF Provision</v>
          </cell>
        </row>
        <row r="5164">
          <cell r="A5164" t="str">
            <v>I Group782 DF Recovery</v>
          </cell>
        </row>
        <row r="5165">
          <cell r="A5165" t="str">
            <v>I Group783 Corp Level Provision</v>
          </cell>
        </row>
        <row r="5166">
          <cell r="A5166" t="str">
            <v>I Group783 Corp Level Recovery</v>
          </cell>
        </row>
        <row r="5167">
          <cell r="A5167" t="str">
            <v>I Group784 Business Share Provision</v>
          </cell>
        </row>
        <row r="5168">
          <cell r="A5168" t="str">
            <v>I GroupReserves - Business Sharing</v>
          </cell>
        </row>
        <row r="5169">
          <cell r="A5169" t="str">
            <v>India AutoNEA - Fixed Rate</v>
          </cell>
        </row>
        <row r="5170">
          <cell r="A5170" t="str">
            <v>India AutoNEA - Floating Rate</v>
          </cell>
        </row>
        <row r="5171">
          <cell r="A5171" t="str">
            <v>India AutoReserves - FX Gain / Loss</v>
          </cell>
        </row>
        <row r="5172">
          <cell r="A5172" t="str">
            <v>India AutoReserves - Provisons</v>
          </cell>
        </row>
        <row r="5173">
          <cell r="A5173" t="str">
            <v>India AutoReserves - Recoveries</v>
          </cell>
        </row>
        <row r="5174">
          <cell r="A5174" t="str">
            <v>India AutoReserves - BOP</v>
          </cell>
        </row>
        <row r="5175">
          <cell r="A5175" t="str">
            <v>India AutoReserves - Transfers &amp; Others</v>
          </cell>
        </row>
        <row r="5176">
          <cell r="A5176" t="str">
            <v>India AutoReserves - Write-Offs</v>
          </cell>
        </row>
        <row r="5177">
          <cell r="A5177" t="str">
            <v>India Auto780 FR Provision</v>
          </cell>
        </row>
        <row r="5178">
          <cell r="A5178" t="str">
            <v>India Auto780 FR Recovery</v>
          </cell>
        </row>
        <row r="5179">
          <cell r="A5179" t="str">
            <v>India Auto781 LL Provision</v>
          </cell>
        </row>
        <row r="5180">
          <cell r="A5180" t="str">
            <v>India Auto781 LL Recovery</v>
          </cell>
        </row>
        <row r="5181">
          <cell r="A5181" t="str">
            <v>India Auto782 DF Provision</v>
          </cell>
        </row>
        <row r="5182">
          <cell r="A5182" t="str">
            <v>India Auto782 DF Recovery</v>
          </cell>
        </row>
        <row r="5183">
          <cell r="A5183" t="str">
            <v>India Auto783 Corp Level Provision</v>
          </cell>
        </row>
        <row r="5184">
          <cell r="A5184" t="str">
            <v>India Auto783 Corp Level Recovery</v>
          </cell>
        </row>
        <row r="5185">
          <cell r="A5185" t="str">
            <v>India Auto784 Business Share Provision</v>
          </cell>
        </row>
        <row r="5186">
          <cell r="A5186" t="str">
            <v>India AutoReserves - Business Sharing</v>
          </cell>
        </row>
        <row r="5187">
          <cell r="A5187" t="str">
            <v>India CountrywideNEA - Fixed Rate</v>
          </cell>
        </row>
        <row r="5188">
          <cell r="A5188" t="str">
            <v>India CountrywideNEA - Floating Rate</v>
          </cell>
        </row>
        <row r="5189">
          <cell r="A5189" t="str">
            <v>India CountrywideReserves - FX Gain / Loss</v>
          </cell>
        </row>
        <row r="5190">
          <cell r="A5190" t="str">
            <v>India CountrywideReserves - Provisons</v>
          </cell>
        </row>
        <row r="5191">
          <cell r="A5191" t="str">
            <v>India CountrywideReserves - Recoveries</v>
          </cell>
        </row>
        <row r="5192">
          <cell r="A5192" t="str">
            <v>India CountrywideReserves - BOP</v>
          </cell>
        </row>
        <row r="5193">
          <cell r="A5193" t="str">
            <v>India CountrywideReserves - Transfers &amp; Others</v>
          </cell>
        </row>
        <row r="5194">
          <cell r="A5194" t="str">
            <v>India CountrywideReserves - Write-Offs</v>
          </cell>
        </row>
        <row r="5195">
          <cell r="A5195" t="str">
            <v>India Countrywide780 FR Provision</v>
          </cell>
        </row>
        <row r="5196">
          <cell r="A5196" t="str">
            <v>India Countrywide780 FR Recovery</v>
          </cell>
        </row>
        <row r="5197">
          <cell r="A5197" t="str">
            <v>India Countrywide781 LL Provision</v>
          </cell>
        </row>
        <row r="5198">
          <cell r="A5198" t="str">
            <v>India Countrywide781 LL Recovery</v>
          </cell>
        </row>
        <row r="5199">
          <cell r="A5199" t="str">
            <v>India Countrywide782 DF Provision</v>
          </cell>
        </row>
        <row r="5200">
          <cell r="A5200" t="str">
            <v>India Countrywide782 DF Recovery</v>
          </cell>
        </row>
        <row r="5201">
          <cell r="A5201" t="str">
            <v>India Countrywide783 Corp Level Provision</v>
          </cell>
        </row>
        <row r="5202">
          <cell r="A5202" t="str">
            <v>India Countrywide783 Corp Level Recovery</v>
          </cell>
        </row>
        <row r="5203">
          <cell r="A5203" t="str">
            <v>India Countrywide784 Business Share Provision</v>
          </cell>
        </row>
        <row r="5204">
          <cell r="A5204" t="str">
            <v>India CountrywideReserves - Business Sharing</v>
          </cell>
        </row>
        <row r="5205">
          <cell r="A5205" t="str">
            <v>IndonesiaNEA - Fixed Rate</v>
          </cell>
        </row>
        <row r="5206">
          <cell r="A5206" t="str">
            <v>IndonesiaNEA - Floating Rate</v>
          </cell>
        </row>
        <row r="5207">
          <cell r="A5207" t="str">
            <v>IndonesiaReserves - FX Gain / Loss</v>
          </cell>
        </row>
        <row r="5208">
          <cell r="A5208" t="str">
            <v>IndonesiaReserves - Provisons</v>
          </cell>
        </row>
        <row r="5209">
          <cell r="A5209" t="str">
            <v>IndonesiaReserves - Recoveries</v>
          </cell>
        </row>
        <row r="5210">
          <cell r="A5210" t="str">
            <v>IndonesiaReserves - BOP</v>
          </cell>
        </row>
        <row r="5211">
          <cell r="A5211" t="str">
            <v>IndonesiaReserves - Transfers &amp; Others</v>
          </cell>
        </row>
        <row r="5212">
          <cell r="A5212" t="str">
            <v>IndonesiaReserves - Write-Offs</v>
          </cell>
        </row>
        <row r="5213">
          <cell r="A5213" t="str">
            <v>Indonesia780 FR Provision</v>
          </cell>
        </row>
        <row r="5214">
          <cell r="A5214" t="str">
            <v>Indonesia780 FR Recovery</v>
          </cell>
        </row>
        <row r="5215">
          <cell r="A5215" t="str">
            <v>Indonesia781 LL Provision</v>
          </cell>
        </row>
        <row r="5216">
          <cell r="A5216" t="str">
            <v>Indonesia781 LL Recovery</v>
          </cell>
        </row>
        <row r="5217">
          <cell r="A5217" t="str">
            <v>Indonesia782 DF Provision</v>
          </cell>
        </row>
        <row r="5218">
          <cell r="A5218" t="str">
            <v>Indonesia782 DF Recovery</v>
          </cell>
        </row>
        <row r="5219">
          <cell r="A5219" t="str">
            <v>Indonesia783 Corp Level Provision</v>
          </cell>
        </row>
        <row r="5220">
          <cell r="A5220" t="str">
            <v>Indonesia783 Corp Level Recovery</v>
          </cell>
        </row>
        <row r="5221">
          <cell r="A5221" t="str">
            <v>Indonesia784 Business Share Provision</v>
          </cell>
        </row>
        <row r="5222">
          <cell r="A5222" t="str">
            <v>IndonesiaReserves - Business Sharing</v>
          </cell>
        </row>
        <row r="5223">
          <cell r="A5223" t="str">
            <v>Ireland HQNEA - Fixed Rate</v>
          </cell>
        </row>
        <row r="5224">
          <cell r="A5224" t="str">
            <v>Ireland HQNEA - Floating Rate</v>
          </cell>
        </row>
        <row r="5225">
          <cell r="A5225" t="str">
            <v>Ireland HQReserves - FX Gain / Loss</v>
          </cell>
        </row>
        <row r="5226">
          <cell r="A5226" t="str">
            <v>Ireland HQReserves - Provisons</v>
          </cell>
        </row>
        <row r="5227">
          <cell r="A5227" t="str">
            <v>Ireland HQReserves - Recoveries</v>
          </cell>
        </row>
        <row r="5228">
          <cell r="A5228" t="str">
            <v>Ireland HQReserves - BOP</v>
          </cell>
        </row>
        <row r="5229">
          <cell r="A5229" t="str">
            <v>Ireland HQReserves - Transfers &amp; Others</v>
          </cell>
        </row>
        <row r="5230">
          <cell r="A5230" t="str">
            <v>Ireland HQReserves - Write-Offs</v>
          </cell>
        </row>
        <row r="5231">
          <cell r="A5231" t="str">
            <v>Ireland HQ780 FR Provision</v>
          </cell>
        </row>
        <row r="5232">
          <cell r="A5232" t="str">
            <v>Ireland HQ780 FR Recovery</v>
          </cell>
        </row>
        <row r="5233">
          <cell r="A5233" t="str">
            <v>Ireland HQ781 LL Provision</v>
          </cell>
        </row>
        <row r="5234">
          <cell r="A5234" t="str">
            <v>Ireland HQ781 LL Recovery</v>
          </cell>
        </row>
        <row r="5235">
          <cell r="A5235" t="str">
            <v>Ireland HQ782 DF Provision</v>
          </cell>
        </row>
        <row r="5236">
          <cell r="A5236" t="str">
            <v>Ireland HQ782 DF Recovery</v>
          </cell>
        </row>
        <row r="5237">
          <cell r="A5237" t="str">
            <v>Ireland HQ783 Corp Level Provision</v>
          </cell>
        </row>
        <row r="5238">
          <cell r="A5238" t="str">
            <v>Ireland HQ783 Corp Level Recovery</v>
          </cell>
        </row>
        <row r="5239">
          <cell r="A5239" t="str">
            <v>Ireland HQ784 Business Share Provision</v>
          </cell>
        </row>
        <row r="5240">
          <cell r="A5240" t="str">
            <v>Ireland HQReserves - Business Sharing</v>
          </cell>
        </row>
        <row r="5241">
          <cell r="A5241" t="str">
            <v>Japan - GECCCNEA - Fixed Rate</v>
          </cell>
        </row>
        <row r="5242">
          <cell r="A5242" t="str">
            <v>Japan - GECCCNEA - Floating Rate</v>
          </cell>
        </row>
        <row r="5243">
          <cell r="A5243" t="str">
            <v>Japan - GECCCReserves - FX Gain / Loss</v>
          </cell>
        </row>
        <row r="5244">
          <cell r="A5244" t="str">
            <v>Japan - GECCCReserves - Provisons</v>
          </cell>
        </row>
        <row r="5245">
          <cell r="A5245" t="str">
            <v>Japan - GECCCReserves - Recoveries</v>
          </cell>
        </row>
        <row r="5246">
          <cell r="A5246" t="str">
            <v>Japan - GECCCReserves - BOP</v>
          </cell>
        </row>
        <row r="5247">
          <cell r="A5247" t="str">
            <v>Japan - GECCCReserves - Transfers &amp; Others</v>
          </cell>
        </row>
        <row r="5248">
          <cell r="A5248" t="str">
            <v>Japan - GECCCReserves - Write-Offs</v>
          </cell>
        </row>
        <row r="5249">
          <cell r="A5249" t="str">
            <v>Japan - GECCC780 FR Provision</v>
          </cell>
        </row>
        <row r="5250">
          <cell r="A5250" t="str">
            <v>Japan - GECCC780 FR Recovery</v>
          </cell>
        </row>
        <row r="5251">
          <cell r="A5251" t="str">
            <v>Japan - GECCC781 LL Provision</v>
          </cell>
        </row>
        <row r="5252">
          <cell r="A5252" t="str">
            <v>Japan - GECCC781 LL Recovery</v>
          </cell>
        </row>
        <row r="5253">
          <cell r="A5253" t="str">
            <v>Japan - GECCC782 DF Provision</v>
          </cell>
        </row>
        <row r="5254">
          <cell r="A5254" t="str">
            <v>Japan - GECCC782 DF Recovery</v>
          </cell>
        </row>
        <row r="5255">
          <cell r="A5255" t="str">
            <v>Japan - GECCC783 Corp Level Provision</v>
          </cell>
        </row>
        <row r="5256">
          <cell r="A5256" t="str">
            <v>Japan - GECCC783 Corp Level Recovery</v>
          </cell>
        </row>
        <row r="5257">
          <cell r="A5257" t="str">
            <v>Japan - GECCC784 Business Share Provision</v>
          </cell>
        </row>
        <row r="5258">
          <cell r="A5258" t="str">
            <v>Japan - GECCCReserves - Business Sharing</v>
          </cell>
        </row>
        <row r="5259">
          <cell r="A5259" t="str">
            <v>Japan - GECCFNEA - Fixed Rate</v>
          </cell>
        </row>
        <row r="5260">
          <cell r="A5260" t="str">
            <v>Japan - GECCFNEA - Floating Rate</v>
          </cell>
        </row>
        <row r="5261">
          <cell r="A5261" t="str">
            <v>Japan - GECCFReserves - FX Gain / Loss</v>
          </cell>
        </row>
        <row r="5262">
          <cell r="A5262" t="str">
            <v>Japan - GECCFReserves - Provisons</v>
          </cell>
        </row>
        <row r="5263">
          <cell r="A5263" t="str">
            <v>Japan - GECCFReserves - Recoveries</v>
          </cell>
        </row>
        <row r="5264">
          <cell r="A5264" t="str">
            <v>Japan - GECCFReserves - BOP</v>
          </cell>
        </row>
        <row r="5265">
          <cell r="A5265" t="str">
            <v>Japan - GECCFReserves - Transfers &amp; Others</v>
          </cell>
        </row>
        <row r="5266">
          <cell r="A5266" t="str">
            <v>Japan - GECCFReserves - Write-Offs</v>
          </cell>
        </row>
        <row r="5267">
          <cell r="A5267" t="str">
            <v>Japan - GECCF780 FR Provision</v>
          </cell>
        </row>
        <row r="5268">
          <cell r="A5268" t="str">
            <v>Japan - GECCF780 FR Recovery</v>
          </cell>
        </row>
        <row r="5269">
          <cell r="A5269" t="str">
            <v>Japan - GECCF781 LL Provision</v>
          </cell>
        </row>
        <row r="5270">
          <cell r="A5270" t="str">
            <v>Japan - GECCF781 LL Recovery</v>
          </cell>
        </row>
        <row r="5271">
          <cell r="A5271" t="str">
            <v>Japan - GECCF782 DF Provision</v>
          </cell>
        </row>
        <row r="5272">
          <cell r="A5272" t="str">
            <v>Japan - GECCF782 DF Recovery</v>
          </cell>
        </row>
        <row r="5273">
          <cell r="A5273" t="str">
            <v>Japan - GECCF783 Corp Level Provision</v>
          </cell>
        </row>
        <row r="5274">
          <cell r="A5274" t="str">
            <v>Japan - GECCF783 Corp Level Recovery</v>
          </cell>
        </row>
        <row r="5275">
          <cell r="A5275" t="str">
            <v>Japan - GECCF784 Business Share Provision</v>
          </cell>
        </row>
        <row r="5276">
          <cell r="A5276" t="str">
            <v>Japan - GECCFReserves - Business Sharing</v>
          </cell>
        </row>
        <row r="5277">
          <cell r="A5277" t="str">
            <v>KoreaNEA - Fixed Rate</v>
          </cell>
        </row>
        <row r="5278">
          <cell r="A5278" t="str">
            <v>KoreaNEA - Floating Rate</v>
          </cell>
        </row>
        <row r="5279">
          <cell r="A5279" t="str">
            <v>KoreaReserves - FX Gain / Loss</v>
          </cell>
        </row>
        <row r="5280">
          <cell r="A5280" t="str">
            <v>KoreaReserves - Provisons</v>
          </cell>
        </row>
        <row r="5281">
          <cell r="A5281" t="str">
            <v>KoreaReserves - Recoveries</v>
          </cell>
        </row>
        <row r="5282">
          <cell r="A5282" t="str">
            <v>KoreaReserves - BOP</v>
          </cell>
        </row>
        <row r="5283">
          <cell r="A5283" t="str">
            <v>KoreaReserves - Transfers &amp; Others</v>
          </cell>
        </row>
        <row r="5284">
          <cell r="A5284" t="str">
            <v>KoreaReserves - Write-Offs</v>
          </cell>
        </row>
        <row r="5285">
          <cell r="A5285" t="str">
            <v>Korea780 FR Provision</v>
          </cell>
        </row>
        <row r="5286">
          <cell r="A5286" t="str">
            <v>Korea780 FR Recovery</v>
          </cell>
        </row>
        <row r="5287">
          <cell r="A5287" t="str">
            <v>Korea781 LL Provision</v>
          </cell>
        </row>
        <row r="5288">
          <cell r="A5288" t="str">
            <v>Korea781 LL Recovery</v>
          </cell>
        </row>
        <row r="5289">
          <cell r="A5289" t="str">
            <v>Korea782 DF Provision</v>
          </cell>
        </row>
        <row r="5290">
          <cell r="A5290" t="str">
            <v>Korea782 DF Recovery</v>
          </cell>
        </row>
        <row r="5291">
          <cell r="A5291" t="str">
            <v>Korea783 Corp Level Provision</v>
          </cell>
        </row>
        <row r="5292">
          <cell r="A5292" t="str">
            <v>Korea783 Corp Level Recovery</v>
          </cell>
        </row>
        <row r="5293">
          <cell r="A5293" t="str">
            <v>Korea784 Business Share Provision</v>
          </cell>
        </row>
        <row r="5294">
          <cell r="A5294" t="str">
            <v>KoreaReserves - Business Sharing</v>
          </cell>
        </row>
        <row r="5295">
          <cell r="A5295" t="str">
            <v>Mail ServicesNEA - Fixed Rate</v>
          </cell>
        </row>
        <row r="5296">
          <cell r="A5296" t="str">
            <v>Mail ServicesNEA - Floating Rate</v>
          </cell>
        </row>
        <row r="5297">
          <cell r="A5297" t="str">
            <v>Mail ServicesReserves - FX Gain / Loss</v>
          </cell>
        </row>
        <row r="5298">
          <cell r="A5298" t="str">
            <v>Mail ServicesReserves - Provisons</v>
          </cell>
        </row>
        <row r="5299">
          <cell r="A5299" t="str">
            <v>Mail ServicesReserves - Recoveries</v>
          </cell>
        </row>
        <row r="5300">
          <cell r="A5300" t="str">
            <v>Mail ServicesReserves - BOP</v>
          </cell>
        </row>
        <row r="5301">
          <cell r="A5301" t="str">
            <v>Mail ServicesReserves - Transfers &amp; Others</v>
          </cell>
        </row>
        <row r="5302">
          <cell r="A5302" t="str">
            <v>Mail ServicesReserves - Write-Offs</v>
          </cell>
        </row>
        <row r="5303">
          <cell r="A5303" t="str">
            <v>Mail Services780 FR Provision</v>
          </cell>
        </row>
        <row r="5304">
          <cell r="A5304" t="str">
            <v>Mail Services780 FR Recovery</v>
          </cell>
        </row>
        <row r="5305">
          <cell r="A5305" t="str">
            <v>Mail Services781 LL Provision</v>
          </cell>
        </row>
        <row r="5306">
          <cell r="A5306" t="str">
            <v>Mail Services781 LL Recovery</v>
          </cell>
        </row>
        <row r="5307">
          <cell r="A5307" t="str">
            <v>Mail Services782 DF Provision</v>
          </cell>
        </row>
        <row r="5308">
          <cell r="A5308" t="str">
            <v>Mail Services782 DF Recovery</v>
          </cell>
        </row>
        <row r="5309">
          <cell r="A5309" t="str">
            <v>Mail Services783 Corp Level Provision</v>
          </cell>
        </row>
        <row r="5310">
          <cell r="A5310" t="str">
            <v>Mail Services783 Corp Level Recovery</v>
          </cell>
        </row>
        <row r="5311">
          <cell r="A5311" t="str">
            <v>Mail Services784 Business Share Provision</v>
          </cell>
        </row>
        <row r="5312">
          <cell r="A5312" t="str">
            <v>Mail ServicesReserves - Business Sharing</v>
          </cell>
        </row>
        <row r="5313">
          <cell r="A5313" t="str">
            <v>MalaysiaNEA - Fixed Rate</v>
          </cell>
        </row>
        <row r="5314">
          <cell r="A5314" t="str">
            <v>MalaysiaNEA - Floating Rate</v>
          </cell>
        </row>
        <row r="5315">
          <cell r="A5315" t="str">
            <v>MalaysiaReserves - FX Gain / Loss</v>
          </cell>
        </row>
        <row r="5316">
          <cell r="A5316" t="str">
            <v>MalaysiaReserves - Provisons</v>
          </cell>
        </row>
        <row r="5317">
          <cell r="A5317" t="str">
            <v>MalaysiaReserves - Recoveries</v>
          </cell>
        </row>
        <row r="5318">
          <cell r="A5318" t="str">
            <v>MalaysiaReserves - BOP</v>
          </cell>
        </row>
        <row r="5319">
          <cell r="A5319" t="str">
            <v>MalaysiaReserves - Transfers &amp; Others</v>
          </cell>
        </row>
        <row r="5320">
          <cell r="A5320" t="str">
            <v>MalaysiaReserves - Write-Offs</v>
          </cell>
        </row>
        <row r="5321">
          <cell r="A5321" t="str">
            <v>Malaysia780 FR Provision</v>
          </cell>
        </row>
        <row r="5322">
          <cell r="A5322" t="str">
            <v>Malaysia780 FR Recovery</v>
          </cell>
        </row>
        <row r="5323">
          <cell r="A5323" t="str">
            <v>Malaysia781 LL Provision</v>
          </cell>
        </row>
        <row r="5324">
          <cell r="A5324" t="str">
            <v>Malaysia781 LL Recovery</v>
          </cell>
        </row>
        <row r="5325">
          <cell r="A5325" t="str">
            <v>Malaysia782 DF Provision</v>
          </cell>
        </row>
        <row r="5326">
          <cell r="A5326" t="str">
            <v>Malaysia782 DF Recovery</v>
          </cell>
        </row>
        <row r="5327">
          <cell r="A5327" t="str">
            <v>Malaysia783 Corp Level Provision</v>
          </cell>
        </row>
        <row r="5328">
          <cell r="A5328" t="str">
            <v>Malaysia783 Corp Level Recovery</v>
          </cell>
        </row>
        <row r="5329">
          <cell r="A5329" t="str">
            <v>Malaysia784 Business Share Provision</v>
          </cell>
        </row>
        <row r="5330">
          <cell r="A5330" t="str">
            <v>MalaysiaReserves - Business Sharing</v>
          </cell>
        </row>
        <row r="5331">
          <cell r="A5331" t="str">
            <v>MexicoNEA - Fixed Rate</v>
          </cell>
        </row>
        <row r="5332">
          <cell r="A5332" t="str">
            <v>MexicoNEA - Floating Rate</v>
          </cell>
        </row>
        <row r="5333">
          <cell r="A5333" t="str">
            <v>MexicoReserves - FX Gain / Loss</v>
          </cell>
        </row>
        <row r="5334">
          <cell r="A5334" t="str">
            <v>MexicoReserves - Provisons</v>
          </cell>
        </row>
        <row r="5335">
          <cell r="A5335" t="str">
            <v>MexicoReserves - Recoveries</v>
          </cell>
        </row>
        <row r="5336">
          <cell r="A5336" t="str">
            <v>MexicoReserves - BOP</v>
          </cell>
        </row>
        <row r="5337">
          <cell r="A5337" t="str">
            <v>MexicoReserves - Transfers &amp; Others</v>
          </cell>
        </row>
        <row r="5338">
          <cell r="A5338" t="str">
            <v>MexicoReserves - Write-Offs</v>
          </cell>
        </row>
        <row r="5339">
          <cell r="A5339" t="str">
            <v>Mexico780 FR Provision</v>
          </cell>
        </row>
        <row r="5340">
          <cell r="A5340" t="str">
            <v>Mexico780 FR Recovery</v>
          </cell>
        </row>
        <row r="5341">
          <cell r="A5341" t="str">
            <v>Mexico781 LL Provision</v>
          </cell>
        </row>
        <row r="5342">
          <cell r="A5342" t="str">
            <v>Mexico781 LL Recovery</v>
          </cell>
        </row>
        <row r="5343">
          <cell r="A5343" t="str">
            <v>Mexico782 DF Provision</v>
          </cell>
        </row>
        <row r="5344">
          <cell r="A5344" t="str">
            <v>Mexico782 DF Recovery</v>
          </cell>
        </row>
        <row r="5345">
          <cell r="A5345" t="str">
            <v>Mexico783 Corp Level Provision</v>
          </cell>
        </row>
        <row r="5346">
          <cell r="A5346" t="str">
            <v>Mexico783 Corp Level Recovery</v>
          </cell>
        </row>
        <row r="5347">
          <cell r="A5347" t="str">
            <v>Mexico784 Business Share Provision</v>
          </cell>
        </row>
        <row r="5348">
          <cell r="A5348" t="str">
            <v>MexicoReserves - Business Sharing</v>
          </cell>
        </row>
        <row r="5349">
          <cell r="A5349" t="str">
            <v>NorwayNEA - Fixed Rate</v>
          </cell>
        </row>
        <row r="5350">
          <cell r="A5350" t="str">
            <v>NorwayNEA - Floating Rate</v>
          </cell>
        </row>
        <row r="5351">
          <cell r="A5351" t="str">
            <v>NorwayReserves - FX Gain / Loss</v>
          </cell>
        </row>
        <row r="5352">
          <cell r="A5352" t="str">
            <v>NorwayReserves - Provisons</v>
          </cell>
        </row>
        <row r="5353">
          <cell r="A5353" t="str">
            <v>NorwayReserves - Recoveries</v>
          </cell>
        </row>
        <row r="5354">
          <cell r="A5354" t="str">
            <v>NorwayReserves - BOP</v>
          </cell>
        </row>
        <row r="5355">
          <cell r="A5355" t="str">
            <v>NorwayReserves - Transfers &amp; Others</v>
          </cell>
        </row>
        <row r="5356">
          <cell r="A5356" t="str">
            <v>NorwayReserves - Write-Offs</v>
          </cell>
        </row>
        <row r="5357">
          <cell r="A5357" t="str">
            <v>Norway780 FR Provision</v>
          </cell>
        </row>
        <row r="5358">
          <cell r="A5358" t="str">
            <v>Norway780 FR Recovery</v>
          </cell>
        </row>
        <row r="5359">
          <cell r="A5359" t="str">
            <v>Norway781 LL Provision</v>
          </cell>
        </row>
        <row r="5360">
          <cell r="A5360" t="str">
            <v>Norway781 LL Recovery</v>
          </cell>
        </row>
        <row r="5361">
          <cell r="A5361" t="str">
            <v>Norway782 DF Provision</v>
          </cell>
        </row>
        <row r="5362">
          <cell r="A5362" t="str">
            <v>Norway782 DF Recovery</v>
          </cell>
        </row>
        <row r="5363">
          <cell r="A5363" t="str">
            <v>Norway783 Corp Level Provision</v>
          </cell>
        </row>
        <row r="5364">
          <cell r="A5364" t="str">
            <v>Norway783 Corp Level Recovery</v>
          </cell>
        </row>
        <row r="5365">
          <cell r="A5365" t="str">
            <v>Norway784 Business Share Provision</v>
          </cell>
        </row>
        <row r="5366">
          <cell r="A5366" t="str">
            <v>NorwayReserves - Business Sharing</v>
          </cell>
        </row>
        <row r="5367">
          <cell r="A5367" t="str">
            <v>Poland GECBNEA - Fixed Rate</v>
          </cell>
        </row>
        <row r="5368">
          <cell r="A5368" t="str">
            <v>Poland GECBNEA - Floating Rate</v>
          </cell>
        </row>
        <row r="5369">
          <cell r="A5369" t="str">
            <v>Poland GECBReserves - FX Gain / Loss</v>
          </cell>
        </row>
        <row r="5370">
          <cell r="A5370" t="str">
            <v>Poland GECBReserves - Provisons</v>
          </cell>
        </row>
        <row r="5371">
          <cell r="A5371" t="str">
            <v>Poland GECBReserves - Recoveries</v>
          </cell>
        </row>
        <row r="5372">
          <cell r="A5372" t="str">
            <v>Poland GECBReserves - BOP</v>
          </cell>
        </row>
        <row r="5373">
          <cell r="A5373" t="str">
            <v>Poland GECBReserves - Transfers &amp; Others</v>
          </cell>
        </row>
        <row r="5374">
          <cell r="A5374" t="str">
            <v>Poland GECBReserves - Write-Offs</v>
          </cell>
        </row>
        <row r="5375">
          <cell r="A5375" t="str">
            <v>Poland GECB780 FR Provision</v>
          </cell>
        </row>
        <row r="5376">
          <cell r="A5376" t="str">
            <v>Poland GECB780 FR Recovery</v>
          </cell>
        </row>
        <row r="5377">
          <cell r="A5377" t="str">
            <v>Poland GECB781 LL Provision</v>
          </cell>
        </row>
        <row r="5378">
          <cell r="A5378" t="str">
            <v>Poland GECB781 LL Recovery</v>
          </cell>
        </row>
        <row r="5379">
          <cell r="A5379" t="str">
            <v>Poland GECB782 DF Provision</v>
          </cell>
        </row>
        <row r="5380">
          <cell r="A5380" t="str">
            <v>Poland GECB782 DF Recovery</v>
          </cell>
        </row>
        <row r="5381">
          <cell r="A5381" t="str">
            <v>Poland GECB783 Corp Level Provision</v>
          </cell>
        </row>
        <row r="5382">
          <cell r="A5382" t="str">
            <v>Poland GECB783 Corp Level Recovery</v>
          </cell>
        </row>
        <row r="5383">
          <cell r="A5383" t="str">
            <v>Poland GECB784 Business Share Provision</v>
          </cell>
        </row>
        <row r="5384">
          <cell r="A5384" t="str">
            <v>Poland GECBReserves - Business Sharing</v>
          </cell>
        </row>
        <row r="5385">
          <cell r="A5385" t="str">
            <v>Poland CorporateNEA - Fixed Rate</v>
          </cell>
        </row>
        <row r="5386">
          <cell r="A5386" t="str">
            <v>Poland CorporateNEA - Floating Rate</v>
          </cell>
        </row>
        <row r="5387">
          <cell r="A5387" t="str">
            <v>Poland CorporateReserves - FX Gain / Loss</v>
          </cell>
        </row>
        <row r="5388">
          <cell r="A5388" t="str">
            <v>Poland CorporateReserves - Provisons</v>
          </cell>
        </row>
        <row r="5389">
          <cell r="A5389" t="str">
            <v>Poland CorporateReserves - Recoveries</v>
          </cell>
        </row>
        <row r="5390">
          <cell r="A5390" t="str">
            <v>Poland CorporateReserves - BOP</v>
          </cell>
        </row>
        <row r="5391">
          <cell r="A5391" t="str">
            <v>Poland CorporateReserves - Transfers &amp; Others</v>
          </cell>
        </row>
        <row r="5392">
          <cell r="A5392" t="str">
            <v>Poland CorporateReserves - Write-Offs</v>
          </cell>
        </row>
        <row r="5393">
          <cell r="A5393" t="str">
            <v>Poland Corporate780 FR Provision</v>
          </cell>
        </row>
        <row r="5394">
          <cell r="A5394" t="str">
            <v>Poland Corporate780 FR Recovery</v>
          </cell>
        </row>
        <row r="5395">
          <cell r="A5395" t="str">
            <v>Poland Corporate781 LL Provision</v>
          </cell>
        </row>
        <row r="5396">
          <cell r="A5396" t="str">
            <v>Poland Corporate781 LL Recovery</v>
          </cell>
        </row>
        <row r="5397">
          <cell r="A5397" t="str">
            <v>Poland Corporate782 DF Provision</v>
          </cell>
        </row>
        <row r="5398">
          <cell r="A5398" t="str">
            <v>Poland Corporate782 DF Recovery</v>
          </cell>
        </row>
        <row r="5399">
          <cell r="A5399" t="str">
            <v>Poland Corporate783 Corp Level Provision</v>
          </cell>
        </row>
        <row r="5400">
          <cell r="A5400" t="str">
            <v>Poland Corporate783 Corp Level Recovery</v>
          </cell>
        </row>
        <row r="5401">
          <cell r="A5401" t="str">
            <v>Poland Corporate784 Business Share Provision</v>
          </cell>
        </row>
        <row r="5402">
          <cell r="A5402" t="str">
            <v>Poland CorporateReserves - Business Sharing</v>
          </cell>
        </row>
        <row r="5403">
          <cell r="A5403" t="str">
            <v>Project ProphetNEA - Fixed Rate</v>
          </cell>
        </row>
        <row r="5404">
          <cell r="A5404" t="str">
            <v>Project ProphetNEA - Floating Rate</v>
          </cell>
        </row>
        <row r="5405">
          <cell r="A5405" t="str">
            <v>Project ProphetReserves - FX Gain / Loss</v>
          </cell>
        </row>
        <row r="5406">
          <cell r="A5406" t="str">
            <v>Project ProphetReserves - Provisons</v>
          </cell>
        </row>
        <row r="5407">
          <cell r="A5407" t="str">
            <v>Project ProphetReserves - Recoveries</v>
          </cell>
        </row>
        <row r="5408">
          <cell r="A5408" t="str">
            <v>Project ProphetReserves - BOP</v>
          </cell>
        </row>
        <row r="5409">
          <cell r="A5409" t="str">
            <v>Project ProphetReserves - Transfers &amp; Others</v>
          </cell>
        </row>
        <row r="5410">
          <cell r="A5410" t="str">
            <v>Project ProphetReserves - Write-Offs</v>
          </cell>
        </row>
        <row r="5411">
          <cell r="A5411" t="str">
            <v>Project Prophet780 FR Provision</v>
          </cell>
        </row>
        <row r="5412">
          <cell r="A5412" t="str">
            <v>Project Prophet780 FR Recovery</v>
          </cell>
        </row>
        <row r="5413">
          <cell r="A5413" t="str">
            <v>Project Prophet781 LL Provision</v>
          </cell>
        </row>
        <row r="5414">
          <cell r="A5414" t="str">
            <v>Project Prophet781 LL Recovery</v>
          </cell>
        </row>
        <row r="5415">
          <cell r="A5415" t="str">
            <v>Project Prophet782 DF Provision</v>
          </cell>
        </row>
        <row r="5416">
          <cell r="A5416" t="str">
            <v>Project Prophet782 DF Recovery</v>
          </cell>
        </row>
        <row r="5417">
          <cell r="A5417" t="str">
            <v>Project Prophet783 Corp Level Provision</v>
          </cell>
        </row>
        <row r="5418">
          <cell r="A5418" t="str">
            <v>Project Prophet783 Corp Level Recovery</v>
          </cell>
        </row>
        <row r="5419">
          <cell r="A5419" t="str">
            <v>Project Prophet784 Business Share Provision</v>
          </cell>
        </row>
        <row r="5420">
          <cell r="A5420" t="str">
            <v>Project ProphetReserves - Business Sharing</v>
          </cell>
        </row>
        <row r="5421">
          <cell r="A5421" t="str">
            <v>RomaniaNEA - Fixed Rate</v>
          </cell>
        </row>
        <row r="5422">
          <cell r="A5422" t="str">
            <v>RomaniaNEA - Floating Rate</v>
          </cell>
        </row>
        <row r="5423">
          <cell r="A5423" t="str">
            <v>RomaniaReserves - FX Gain / Loss</v>
          </cell>
        </row>
        <row r="5424">
          <cell r="A5424" t="str">
            <v>RomaniaReserves - Provisons</v>
          </cell>
        </row>
        <row r="5425">
          <cell r="A5425" t="str">
            <v>RomaniaReserves - Recoveries</v>
          </cell>
        </row>
        <row r="5426">
          <cell r="A5426" t="str">
            <v>RomaniaReserves - BOP</v>
          </cell>
        </row>
        <row r="5427">
          <cell r="A5427" t="str">
            <v>RomaniaReserves - Transfers &amp; Others</v>
          </cell>
        </row>
        <row r="5428">
          <cell r="A5428" t="str">
            <v>RomaniaReserves - Write-Offs</v>
          </cell>
        </row>
        <row r="5429">
          <cell r="A5429" t="str">
            <v>Romania780 FR Provision</v>
          </cell>
        </row>
        <row r="5430">
          <cell r="A5430" t="str">
            <v>Romania780 FR Recovery</v>
          </cell>
        </row>
        <row r="5431">
          <cell r="A5431" t="str">
            <v>Romania781 LL Provision</v>
          </cell>
        </row>
        <row r="5432">
          <cell r="A5432" t="str">
            <v>Romania781 LL Recovery</v>
          </cell>
        </row>
        <row r="5433">
          <cell r="A5433" t="str">
            <v>Romania782 DF Provision</v>
          </cell>
        </row>
        <row r="5434">
          <cell r="A5434" t="str">
            <v>Romania782 DF Recovery</v>
          </cell>
        </row>
        <row r="5435">
          <cell r="A5435" t="str">
            <v>Romania783 Corp Level Provision</v>
          </cell>
        </row>
        <row r="5436">
          <cell r="A5436" t="str">
            <v>Romania783 Corp Level Recovery</v>
          </cell>
        </row>
        <row r="5437">
          <cell r="A5437" t="str">
            <v>Romania784 Business Share Provision</v>
          </cell>
        </row>
        <row r="5438">
          <cell r="A5438" t="str">
            <v>RomaniaReserves - Business Sharing</v>
          </cell>
        </row>
        <row r="5439">
          <cell r="A5439" t="str">
            <v>SBI India JVNEA - Fixed Rate</v>
          </cell>
        </row>
        <row r="5440">
          <cell r="A5440" t="str">
            <v>SBI India JVNEA - Floating Rate</v>
          </cell>
        </row>
        <row r="5441">
          <cell r="A5441" t="str">
            <v>SBI India JVReserves - FX Gain / Loss</v>
          </cell>
        </row>
        <row r="5442">
          <cell r="A5442" t="str">
            <v>SBI India JVReserves - Provisons</v>
          </cell>
        </row>
        <row r="5443">
          <cell r="A5443" t="str">
            <v>SBI India JVReserves - Recoveries</v>
          </cell>
        </row>
        <row r="5444">
          <cell r="A5444" t="str">
            <v>SBI India JVReserves - BOP</v>
          </cell>
        </row>
        <row r="5445">
          <cell r="A5445" t="str">
            <v>SBI India JVReserves - Transfers &amp; Others</v>
          </cell>
        </row>
        <row r="5446">
          <cell r="A5446" t="str">
            <v>SBI India JVReserves - Write-Offs</v>
          </cell>
        </row>
        <row r="5447">
          <cell r="A5447" t="str">
            <v>SBI India JV780 FR Provision</v>
          </cell>
        </row>
        <row r="5448">
          <cell r="A5448" t="str">
            <v>SBI India JV780 FR Recovery</v>
          </cell>
        </row>
        <row r="5449">
          <cell r="A5449" t="str">
            <v>SBI India JV781 LL Provision</v>
          </cell>
        </row>
        <row r="5450">
          <cell r="A5450" t="str">
            <v>SBI India JV781 LL Recovery</v>
          </cell>
        </row>
        <row r="5451">
          <cell r="A5451" t="str">
            <v>SBI India JV782 DF Provision</v>
          </cell>
        </row>
        <row r="5452">
          <cell r="A5452" t="str">
            <v>SBI India JV782 DF Recovery</v>
          </cell>
        </row>
        <row r="5453">
          <cell r="A5453" t="str">
            <v>SBI India JV783 Corp Level Provision</v>
          </cell>
        </row>
        <row r="5454">
          <cell r="A5454" t="str">
            <v>SBI India JV783 Corp Level Recovery</v>
          </cell>
        </row>
        <row r="5455">
          <cell r="A5455" t="str">
            <v>SBI India JV784 Business Share Provision</v>
          </cell>
        </row>
        <row r="5456">
          <cell r="A5456" t="str">
            <v>SBI India JVReserves - Business Sharing</v>
          </cell>
        </row>
        <row r="5457">
          <cell r="A5457" t="str">
            <v>SingaporeNEA - Fixed Rate</v>
          </cell>
        </row>
        <row r="5458">
          <cell r="A5458" t="str">
            <v>SingaporeNEA - Floating Rate</v>
          </cell>
        </row>
        <row r="5459">
          <cell r="A5459" t="str">
            <v>SingaporeReserves - FX Gain / Loss</v>
          </cell>
        </row>
        <row r="5460">
          <cell r="A5460" t="str">
            <v>SingaporeReserves - Provisons</v>
          </cell>
        </row>
        <row r="5461">
          <cell r="A5461" t="str">
            <v>SingaporeReserves - Recoveries</v>
          </cell>
        </row>
        <row r="5462">
          <cell r="A5462" t="str">
            <v>SingaporeReserves - BOP</v>
          </cell>
        </row>
        <row r="5463">
          <cell r="A5463" t="str">
            <v>SingaporeReserves - Transfers &amp; Others</v>
          </cell>
        </row>
        <row r="5464">
          <cell r="A5464" t="str">
            <v>SingaporeReserves - Write-Offs</v>
          </cell>
        </row>
        <row r="5465">
          <cell r="A5465" t="str">
            <v>Singapore780 FR Provision</v>
          </cell>
        </row>
        <row r="5466">
          <cell r="A5466" t="str">
            <v>Singapore780 FR Recovery</v>
          </cell>
        </row>
        <row r="5467">
          <cell r="A5467" t="str">
            <v>Singapore781 LL Provision</v>
          </cell>
        </row>
        <row r="5468">
          <cell r="A5468" t="str">
            <v>Singapore781 LL Recovery</v>
          </cell>
        </row>
        <row r="5469">
          <cell r="A5469" t="str">
            <v>Singapore782 DF Provision</v>
          </cell>
        </row>
        <row r="5470">
          <cell r="A5470" t="str">
            <v>Singapore782 DF Recovery</v>
          </cell>
        </row>
        <row r="5471">
          <cell r="A5471" t="str">
            <v>Singapore783 Corp Level Provision</v>
          </cell>
        </row>
        <row r="5472">
          <cell r="A5472" t="str">
            <v>Singapore783 Corp Level Recovery</v>
          </cell>
        </row>
        <row r="5473">
          <cell r="A5473" t="str">
            <v>Singapore784 Business Share Provision</v>
          </cell>
        </row>
        <row r="5474">
          <cell r="A5474" t="str">
            <v>SingaporeReserves - Business Sharing</v>
          </cell>
        </row>
        <row r="5475">
          <cell r="A5475" t="str">
            <v>SwedenNEA - Fixed Rate</v>
          </cell>
        </row>
        <row r="5476">
          <cell r="A5476" t="str">
            <v>SwedenNEA - Floating Rate</v>
          </cell>
        </row>
        <row r="5477">
          <cell r="A5477" t="str">
            <v>SwedenReserves - FX Gain / Loss</v>
          </cell>
        </row>
        <row r="5478">
          <cell r="A5478" t="str">
            <v>SwedenReserves - Provisons</v>
          </cell>
        </row>
        <row r="5479">
          <cell r="A5479" t="str">
            <v>SwedenReserves - Recoveries</v>
          </cell>
        </row>
        <row r="5480">
          <cell r="A5480" t="str">
            <v>SwedenReserves - BOP</v>
          </cell>
        </row>
        <row r="5481">
          <cell r="A5481" t="str">
            <v>SwedenReserves - Transfers &amp; Others</v>
          </cell>
        </row>
        <row r="5482">
          <cell r="A5482" t="str">
            <v>SwedenReserves - Write-Offs</v>
          </cell>
        </row>
        <row r="5483">
          <cell r="A5483" t="str">
            <v>Sweden780 FR Provision</v>
          </cell>
        </row>
        <row r="5484">
          <cell r="A5484" t="str">
            <v>Sweden780 FR Recovery</v>
          </cell>
        </row>
        <row r="5485">
          <cell r="A5485" t="str">
            <v>Sweden781 LL Provision</v>
          </cell>
        </row>
        <row r="5486">
          <cell r="A5486" t="str">
            <v>Sweden781 LL Recovery</v>
          </cell>
        </row>
        <row r="5487">
          <cell r="A5487" t="str">
            <v>Sweden782 DF Provision</v>
          </cell>
        </row>
        <row r="5488">
          <cell r="A5488" t="str">
            <v>Sweden782 DF Recovery</v>
          </cell>
        </row>
        <row r="5489">
          <cell r="A5489" t="str">
            <v>Sweden783 Corp Level Provision</v>
          </cell>
        </row>
        <row r="5490">
          <cell r="A5490" t="str">
            <v>Sweden783 Corp Level Recovery</v>
          </cell>
        </row>
        <row r="5491">
          <cell r="A5491" t="str">
            <v>Sweden784 Business Share Provision</v>
          </cell>
        </row>
        <row r="5492">
          <cell r="A5492" t="str">
            <v>SwedenReserves - Business Sharing</v>
          </cell>
        </row>
        <row r="5493">
          <cell r="A5493" t="str">
            <v>Sweden AutoNEA - Fixed Rate</v>
          </cell>
        </row>
        <row r="5494">
          <cell r="A5494" t="str">
            <v>Sweden AutoNEA - Floating Rate</v>
          </cell>
        </row>
        <row r="5495">
          <cell r="A5495" t="str">
            <v>Sweden AutoReserves - FX Gain / Loss</v>
          </cell>
        </row>
        <row r="5496">
          <cell r="A5496" t="str">
            <v>Sweden AutoReserves - Provisons</v>
          </cell>
        </row>
        <row r="5497">
          <cell r="A5497" t="str">
            <v>Sweden AutoReserves - Recoveries</v>
          </cell>
        </row>
        <row r="5498">
          <cell r="A5498" t="str">
            <v>Sweden AutoReserves - BOP</v>
          </cell>
        </row>
        <row r="5499">
          <cell r="A5499" t="str">
            <v>Sweden AutoReserves - Transfers &amp; Others</v>
          </cell>
        </row>
        <row r="5500">
          <cell r="A5500" t="str">
            <v>Sweden AutoReserves - Write-Offs</v>
          </cell>
        </row>
        <row r="5501">
          <cell r="A5501" t="str">
            <v>Sweden Auto780 FR Provision</v>
          </cell>
        </row>
        <row r="5502">
          <cell r="A5502" t="str">
            <v>Sweden Auto780 FR Recovery</v>
          </cell>
        </row>
        <row r="5503">
          <cell r="A5503" t="str">
            <v>Sweden Auto781 LL Provision</v>
          </cell>
        </row>
        <row r="5504">
          <cell r="A5504" t="str">
            <v>Sweden Auto781 LL Recovery</v>
          </cell>
        </row>
        <row r="5505">
          <cell r="A5505" t="str">
            <v>Sweden Auto782 DF Provision</v>
          </cell>
        </row>
        <row r="5506">
          <cell r="A5506" t="str">
            <v>Sweden Auto782 DF Recovery</v>
          </cell>
        </row>
        <row r="5507">
          <cell r="A5507" t="str">
            <v>Sweden Auto783 Corp Level Provision</v>
          </cell>
        </row>
        <row r="5508">
          <cell r="A5508" t="str">
            <v>Sweden Auto783 Corp Level Recovery</v>
          </cell>
        </row>
        <row r="5509">
          <cell r="A5509" t="str">
            <v>Sweden Auto784 Business Share Provision</v>
          </cell>
        </row>
        <row r="5510">
          <cell r="A5510" t="str">
            <v>Sweden AutoReserves - Business Sharing</v>
          </cell>
        </row>
        <row r="5511">
          <cell r="A5511" t="str">
            <v>SwitzerlandNEA - Fixed Rate</v>
          </cell>
        </row>
        <row r="5512">
          <cell r="A5512" t="str">
            <v>SwitzerlandNEA - Floating Rate</v>
          </cell>
        </row>
        <row r="5513">
          <cell r="A5513" t="str">
            <v>SwitzerlandReserves - FX Gain / Loss</v>
          </cell>
        </row>
        <row r="5514">
          <cell r="A5514" t="str">
            <v>SwitzerlandReserves - Provisons</v>
          </cell>
        </row>
        <row r="5515">
          <cell r="A5515" t="str">
            <v>SwitzerlandReserves - Recoveries</v>
          </cell>
        </row>
        <row r="5516">
          <cell r="A5516" t="str">
            <v>SwitzerlandReserves - BOP</v>
          </cell>
        </row>
        <row r="5517">
          <cell r="A5517" t="str">
            <v>SwitzerlandReserves - Transfers &amp; Others</v>
          </cell>
        </row>
        <row r="5518">
          <cell r="A5518" t="str">
            <v>SwitzerlandReserves - Write-Offs</v>
          </cell>
        </row>
        <row r="5519">
          <cell r="A5519" t="str">
            <v>Switzerland780 FR Provision</v>
          </cell>
        </row>
        <row r="5520">
          <cell r="A5520" t="str">
            <v>Switzerland780 FR Recovery</v>
          </cell>
        </row>
        <row r="5521">
          <cell r="A5521" t="str">
            <v>Switzerland781 LL Provision</v>
          </cell>
        </row>
        <row r="5522">
          <cell r="A5522" t="str">
            <v>Switzerland781 LL Recovery</v>
          </cell>
        </row>
        <row r="5523">
          <cell r="A5523" t="str">
            <v>Switzerland782 DF Provision</v>
          </cell>
        </row>
        <row r="5524">
          <cell r="A5524" t="str">
            <v>Switzerland782 DF Recovery</v>
          </cell>
        </row>
        <row r="5525">
          <cell r="A5525" t="str">
            <v>Switzerland783 Corp Level Provision</v>
          </cell>
        </row>
        <row r="5526">
          <cell r="A5526" t="str">
            <v>Switzerland783 Corp Level Recovery</v>
          </cell>
        </row>
        <row r="5527">
          <cell r="A5527" t="str">
            <v>Switzerland784 Business Share Provision</v>
          </cell>
        </row>
        <row r="5528">
          <cell r="A5528" t="str">
            <v>SwitzerlandReserves - Business Sharing</v>
          </cell>
        </row>
        <row r="5529">
          <cell r="A5529" t="str">
            <v>TaiwanNEA - Fixed Rate</v>
          </cell>
        </row>
        <row r="5530">
          <cell r="A5530" t="str">
            <v>TaiwanNEA - Floating Rate</v>
          </cell>
        </row>
        <row r="5531">
          <cell r="A5531" t="str">
            <v>TaiwanReserves - FX Gain / Loss</v>
          </cell>
        </row>
        <row r="5532">
          <cell r="A5532" t="str">
            <v>TaiwanReserves - Provisons</v>
          </cell>
        </row>
        <row r="5533">
          <cell r="A5533" t="str">
            <v>TaiwanReserves - Recoveries</v>
          </cell>
        </row>
        <row r="5534">
          <cell r="A5534" t="str">
            <v>TaiwanReserves - BOP</v>
          </cell>
        </row>
        <row r="5535">
          <cell r="A5535" t="str">
            <v>TaiwanReserves - Transfers &amp; Others</v>
          </cell>
        </row>
        <row r="5536">
          <cell r="A5536" t="str">
            <v>TaiwanReserves - Write-Offs</v>
          </cell>
        </row>
        <row r="5537">
          <cell r="A5537" t="str">
            <v>Taiwan780 FR Provision</v>
          </cell>
        </row>
        <row r="5538">
          <cell r="A5538" t="str">
            <v>Taiwan780 FR Recovery</v>
          </cell>
        </row>
        <row r="5539">
          <cell r="A5539" t="str">
            <v>Taiwan781 LL Provision</v>
          </cell>
        </row>
        <row r="5540">
          <cell r="A5540" t="str">
            <v>Taiwan781 LL Recovery</v>
          </cell>
        </row>
        <row r="5541">
          <cell r="A5541" t="str">
            <v>Taiwan782 DF Provision</v>
          </cell>
        </row>
        <row r="5542">
          <cell r="A5542" t="str">
            <v>Taiwan782 DF Recovery</v>
          </cell>
        </row>
        <row r="5543">
          <cell r="A5543" t="str">
            <v>Taiwan783 Corp Level Provision</v>
          </cell>
        </row>
        <row r="5544">
          <cell r="A5544" t="str">
            <v>Taiwan783 Corp Level Recovery</v>
          </cell>
        </row>
        <row r="5545">
          <cell r="A5545" t="str">
            <v>Taiwan784 Business Share Provision</v>
          </cell>
        </row>
        <row r="5546">
          <cell r="A5546" t="str">
            <v>TaiwanReserves - Business Sharing</v>
          </cell>
        </row>
        <row r="5547">
          <cell r="A5547" t="str">
            <v>ThailandNEA - Fixed Rate</v>
          </cell>
        </row>
        <row r="5548">
          <cell r="A5548" t="str">
            <v>ThailandNEA - Floating Rate</v>
          </cell>
        </row>
        <row r="5549">
          <cell r="A5549" t="str">
            <v>ThailandReserves - FX Gain / Loss</v>
          </cell>
        </row>
        <row r="5550">
          <cell r="A5550" t="str">
            <v>ThailandReserves - Provisons</v>
          </cell>
        </row>
        <row r="5551">
          <cell r="A5551" t="str">
            <v>ThailandReserves - Recoveries</v>
          </cell>
        </row>
        <row r="5552">
          <cell r="A5552" t="str">
            <v>ThailandReserves - BOP</v>
          </cell>
        </row>
        <row r="5553">
          <cell r="A5553" t="str">
            <v>ThailandReserves - Transfers &amp; Others</v>
          </cell>
        </row>
        <row r="5554">
          <cell r="A5554" t="str">
            <v>ThailandReserves - Write-Offs</v>
          </cell>
        </row>
        <row r="5555">
          <cell r="A5555" t="str">
            <v>Thailand780 FR Provision</v>
          </cell>
        </row>
        <row r="5556">
          <cell r="A5556" t="str">
            <v>Thailand780 FR Recovery</v>
          </cell>
        </row>
        <row r="5557">
          <cell r="A5557" t="str">
            <v>Thailand781 LL Provision</v>
          </cell>
        </row>
        <row r="5558">
          <cell r="A5558" t="str">
            <v>Thailand781 LL Recovery</v>
          </cell>
        </row>
        <row r="5559">
          <cell r="A5559" t="str">
            <v>Thailand782 DF Provision</v>
          </cell>
        </row>
        <row r="5560">
          <cell r="A5560" t="str">
            <v>Thailand782 DF Recovery</v>
          </cell>
        </row>
        <row r="5561">
          <cell r="A5561" t="str">
            <v>Thailand783 Corp Level Provision</v>
          </cell>
        </row>
        <row r="5562">
          <cell r="A5562" t="str">
            <v>Thailand783 Corp Level Recovery</v>
          </cell>
        </row>
        <row r="5563">
          <cell r="A5563" t="str">
            <v>Thailand784 Business Share Provision</v>
          </cell>
        </row>
        <row r="5564">
          <cell r="A5564" t="str">
            <v>ThailandReserves - Business Sharing</v>
          </cell>
        </row>
        <row r="5565">
          <cell r="A5565" t="str">
            <v>HQNEA - Fixed Rate</v>
          </cell>
        </row>
        <row r="5566">
          <cell r="A5566" t="str">
            <v>HQNEA - Floating Rate</v>
          </cell>
        </row>
        <row r="5567">
          <cell r="A5567" t="str">
            <v>HQReserves - FX Gain / Loss</v>
          </cell>
        </row>
        <row r="5568">
          <cell r="A5568" t="str">
            <v>HQReserves - Provisons</v>
          </cell>
        </row>
        <row r="5569">
          <cell r="A5569" t="str">
            <v>HQReserves - Recoveries</v>
          </cell>
        </row>
        <row r="5570">
          <cell r="A5570" t="str">
            <v>HQReserves - BOP</v>
          </cell>
        </row>
        <row r="5571">
          <cell r="A5571" t="str">
            <v>HQReserves - Transfers &amp; Others</v>
          </cell>
        </row>
        <row r="5572">
          <cell r="A5572" t="str">
            <v>HQReserves - Write-Offs</v>
          </cell>
        </row>
        <row r="5573">
          <cell r="A5573" t="str">
            <v>HQ780 FR Provision</v>
          </cell>
        </row>
        <row r="5574">
          <cell r="A5574" t="str">
            <v>HQ780 FR Recovery</v>
          </cell>
        </row>
        <row r="5575">
          <cell r="A5575" t="str">
            <v>HQ781 LL Provision</v>
          </cell>
        </row>
        <row r="5576">
          <cell r="A5576" t="str">
            <v>HQ781 LL Recovery</v>
          </cell>
        </row>
        <row r="5577">
          <cell r="A5577" t="str">
            <v>HQ782 DF Provision</v>
          </cell>
        </row>
        <row r="5578">
          <cell r="A5578" t="str">
            <v>HQ782 DF Recovery</v>
          </cell>
        </row>
        <row r="5579">
          <cell r="A5579" t="str">
            <v>HQ783 Corp Level Provision</v>
          </cell>
        </row>
        <row r="5580">
          <cell r="A5580" t="str">
            <v>HQ783 Corp Level Recovery</v>
          </cell>
        </row>
        <row r="5581">
          <cell r="A5581" t="str">
            <v>HQ784 Business Share Provision</v>
          </cell>
        </row>
        <row r="5582">
          <cell r="A5582" t="str">
            <v>HQReserves - Business Sharing</v>
          </cell>
        </row>
        <row r="5583">
          <cell r="A5583" t="str">
            <v>Japan GECF (Business Split)NEA - Fixed Rate</v>
          </cell>
        </row>
        <row r="5584">
          <cell r="A5584" t="str">
            <v>Japan GECF (Business Split)NEA - Floating Rate</v>
          </cell>
        </row>
        <row r="5585">
          <cell r="A5585" t="str">
            <v>Japan GECF (Business Split)Reserves - FX Gain / Loss</v>
          </cell>
        </row>
        <row r="5586">
          <cell r="A5586" t="str">
            <v>Japan GECF (Business Split)Reserves - Provisons</v>
          </cell>
        </row>
        <row r="5587">
          <cell r="A5587" t="str">
            <v>Japan GECF (Business Split)Reserves - Recoveries</v>
          </cell>
        </row>
        <row r="5588">
          <cell r="A5588" t="str">
            <v>Japan GECF (Business Split)Reserves - BOP</v>
          </cell>
        </row>
        <row r="5589">
          <cell r="A5589" t="str">
            <v>Japan GECF (Business Split)Reserves - Transfers &amp; Others</v>
          </cell>
        </row>
        <row r="5590">
          <cell r="A5590" t="str">
            <v>Japan GECF (Business Split)Reserves - Write-Offs</v>
          </cell>
        </row>
        <row r="5591">
          <cell r="A5591" t="str">
            <v>Japan GECF (Business Split)780 FR Provision</v>
          </cell>
        </row>
        <row r="5592">
          <cell r="A5592" t="str">
            <v>Japan GECF (Business Split)780 FR Recovery</v>
          </cell>
        </row>
        <row r="5593">
          <cell r="A5593" t="str">
            <v>Japan GECF (Business Split)781 LL Provision</v>
          </cell>
        </row>
        <row r="5594">
          <cell r="A5594" t="str">
            <v>Japan GECF (Business Split)781 LL Recovery</v>
          </cell>
        </row>
        <row r="5595">
          <cell r="A5595" t="str">
            <v>Japan GECF (Business Split)782 DF Provision</v>
          </cell>
        </row>
        <row r="5596">
          <cell r="A5596" t="str">
            <v>Japan GECF (Business Split)782 DF Recovery</v>
          </cell>
        </row>
        <row r="5597">
          <cell r="A5597" t="str">
            <v>Japan GECF (Business Split)783 Corp Level Provision</v>
          </cell>
        </row>
        <row r="5598">
          <cell r="A5598" t="str">
            <v>Japan GECF (Business Split)783 Corp Level Recovery</v>
          </cell>
        </row>
        <row r="5599">
          <cell r="A5599" t="str">
            <v>Japan GECF (Business Split)784 Business Share Provision</v>
          </cell>
        </row>
        <row r="5600">
          <cell r="A5600" t="str">
            <v>Japan GECF (Business Split)Reserves - Business Sharing</v>
          </cell>
        </row>
        <row r="5601">
          <cell r="A5601" t="str">
            <v>Japan KOEI (Business Split)NEA - Fixed Rate</v>
          </cell>
        </row>
        <row r="5602">
          <cell r="A5602" t="str">
            <v>Japan KOEI (Business Split)NEA - Floating Rate</v>
          </cell>
        </row>
        <row r="5603">
          <cell r="A5603" t="str">
            <v>Japan KOEI (Business Split)Reserves - FX Gain / Loss</v>
          </cell>
        </row>
        <row r="5604">
          <cell r="A5604" t="str">
            <v>Japan KOEI (Business Split)Reserves - Provisons</v>
          </cell>
        </row>
        <row r="5605">
          <cell r="A5605" t="str">
            <v>Japan KOEI (Business Split)Reserves - Recoveries</v>
          </cell>
        </row>
        <row r="5606">
          <cell r="A5606" t="str">
            <v>Japan KOEI (Business Split)Reserves - BOP</v>
          </cell>
        </row>
        <row r="5607">
          <cell r="A5607" t="str">
            <v>Japan KOEI (Business Split)Reserves - Transfers &amp; Others</v>
          </cell>
        </row>
        <row r="5608">
          <cell r="A5608" t="str">
            <v>Japan KOEI (Business Split)Reserves - Write-Offs</v>
          </cell>
        </row>
        <row r="5609">
          <cell r="A5609" t="str">
            <v>Japan KOEI (Business Split)780 FR Provision</v>
          </cell>
        </row>
        <row r="5610">
          <cell r="A5610" t="str">
            <v>Japan KOEI (Business Split)780 FR Recovery</v>
          </cell>
        </row>
        <row r="5611">
          <cell r="A5611" t="str">
            <v>Japan KOEI (Business Split)781 LL Provision</v>
          </cell>
        </row>
        <row r="5612">
          <cell r="A5612" t="str">
            <v>Japan KOEI (Business Split)781 LL Recovery</v>
          </cell>
        </row>
        <row r="5613">
          <cell r="A5613" t="str">
            <v>Japan KOEI (Business Split)782 DF Provision</v>
          </cell>
        </row>
        <row r="5614">
          <cell r="A5614" t="str">
            <v>Japan KOEI (Business Split)782 DF Recovery</v>
          </cell>
        </row>
        <row r="5615">
          <cell r="A5615" t="str">
            <v>Japan KOEI (Business Split)783 Corp Level Provision</v>
          </cell>
        </row>
        <row r="5616">
          <cell r="A5616" t="str">
            <v>Japan KOEI (Business Split)783 Corp Level Recovery</v>
          </cell>
        </row>
        <row r="5617">
          <cell r="A5617" t="str">
            <v>Japan KOEI (Business Split)784 Business Share Provision</v>
          </cell>
        </row>
        <row r="5618">
          <cell r="A5618" t="str">
            <v>Japan KOEI (Business Split)Reserves - Business Sharing</v>
          </cell>
        </row>
        <row r="5619">
          <cell r="A5619" t="str">
            <v>Total GCFNEA - Fixed Rate</v>
          </cell>
        </row>
        <row r="5620">
          <cell r="A5620" t="str">
            <v>Total GCFNEA - Floating Rate</v>
          </cell>
        </row>
        <row r="5621">
          <cell r="A5621" t="str">
            <v>Total GCFReserves - FX Gain / Loss</v>
          </cell>
        </row>
        <row r="5622">
          <cell r="A5622" t="str">
            <v>Total GCFReserves - Provisons</v>
          </cell>
        </row>
        <row r="5623">
          <cell r="A5623" t="str">
            <v>Total GCFReserves - Recoveries</v>
          </cell>
        </row>
        <row r="5624">
          <cell r="A5624" t="str">
            <v>Total GCFReserves - BOP</v>
          </cell>
        </row>
        <row r="5625">
          <cell r="A5625" t="str">
            <v>Total GCFReserves - Transfers &amp; Others</v>
          </cell>
        </row>
        <row r="5626">
          <cell r="A5626" t="str">
            <v>Total GCFReserves - Write-Offs</v>
          </cell>
        </row>
        <row r="5627">
          <cell r="A5627" t="str">
            <v>Total GCF780 FR Provision</v>
          </cell>
        </row>
        <row r="5628">
          <cell r="A5628" t="str">
            <v>Total GCF780 FR Recovery</v>
          </cell>
        </row>
        <row r="5629">
          <cell r="A5629" t="str">
            <v>Total GCF781 LL Provision</v>
          </cell>
        </row>
        <row r="5630">
          <cell r="A5630" t="str">
            <v>Total GCF781 LL Recovery</v>
          </cell>
        </row>
        <row r="5631">
          <cell r="A5631" t="str">
            <v>Total GCF782 DF Provision</v>
          </cell>
        </row>
        <row r="5632">
          <cell r="A5632" t="str">
            <v>Total GCF782 DF Recovery</v>
          </cell>
        </row>
        <row r="5633">
          <cell r="A5633" t="str">
            <v>Total GCF783 Corp Level Provision</v>
          </cell>
        </row>
        <row r="5634">
          <cell r="A5634" t="str">
            <v>Total GCF783 Corp Level Recovery</v>
          </cell>
        </row>
        <row r="5635">
          <cell r="A5635" t="str">
            <v>Total GCF784 Business Share Provision</v>
          </cell>
        </row>
        <row r="5636">
          <cell r="A5636" t="str">
            <v>Total GCFReserves - Business Sharing</v>
          </cell>
        </row>
      </sheetData>
      <sheetData sheetId="2" refreshError="1"/>
      <sheetData sheetId="3" refreshError="1"/>
      <sheetData sheetId="4" refreshError="1">
        <row r="2">
          <cell r="H2" t="str">
            <v>India Countrywide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ed first cut"/>
      <sheetName val="Planning Mat"/>
      <sheetName val="TBR workings"/>
      <sheetName val="Leadsheet"/>
      <sheetName val="FA Adjustment Entry"/>
      <sheetName val="Adjust Entry"/>
    </sheetNames>
    <sheetDataSet>
      <sheetData sheetId="0" refreshError="1">
        <row r="1">
          <cell r="A1" t="str">
            <v>A/c Code</v>
          </cell>
          <cell r="B1" t="str">
            <v>Description</v>
          </cell>
        </row>
        <row r="2">
          <cell r="A2">
            <v>10315</v>
          </cell>
          <cell r="B2" t="str">
            <v>CASH AT BANK-INR</v>
          </cell>
          <cell r="C2">
            <v>7145764.9500000002</v>
          </cell>
        </row>
        <row r="3">
          <cell r="A3">
            <v>10625</v>
          </cell>
          <cell r="B3" t="str">
            <v>CASH-PETTY</v>
          </cell>
          <cell r="C3">
            <v>173536</v>
          </cell>
        </row>
        <row r="4">
          <cell r="A4">
            <v>11410</v>
          </cell>
          <cell r="B4" t="str">
            <v>AR-TRADE</v>
          </cell>
          <cell r="C4">
            <v>319221956.24000001</v>
          </cell>
        </row>
        <row r="5">
          <cell r="A5">
            <v>12110</v>
          </cell>
          <cell r="B5" t="str">
            <v>CASH AND TRAVEL ADVANCES</v>
          </cell>
          <cell r="C5">
            <v>-505906.65</v>
          </cell>
        </row>
        <row r="6">
          <cell r="A6">
            <v>12200</v>
          </cell>
          <cell r="B6" t="str">
            <v>MISC-TAXES/CONTRA</v>
          </cell>
          <cell r="C6">
            <v>0</v>
          </cell>
        </row>
        <row r="7">
          <cell r="A7">
            <v>12210</v>
          </cell>
          <cell r="B7" t="str">
            <v>INCOME TAX REFUBDS REVBL</v>
          </cell>
          <cell r="C7">
            <v>33850762.75</v>
          </cell>
        </row>
        <row r="8">
          <cell r="A8">
            <v>12261</v>
          </cell>
          <cell r="B8" t="str">
            <v>EXCISE DUTY-PAID STOCK</v>
          </cell>
          <cell r="C8">
            <v>235543</v>
          </cell>
        </row>
        <row r="9">
          <cell r="A9">
            <v>12280</v>
          </cell>
          <cell r="B9" t="str">
            <v>EXCISE DUTY - PLA A/C</v>
          </cell>
          <cell r="C9">
            <v>107811</v>
          </cell>
        </row>
        <row r="10">
          <cell r="A10">
            <v>12283</v>
          </cell>
          <cell r="B10" t="str">
            <v>EXCISE DUTY- CENVAT</v>
          </cell>
          <cell r="C10">
            <v>3173975</v>
          </cell>
        </row>
        <row r="11">
          <cell r="A11">
            <v>12285</v>
          </cell>
          <cell r="B11" t="str">
            <v>SALES TAX REFUNDS RECVBL</v>
          </cell>
          <cell r="C11">
            <v>564233</v>
          </cell>
        </row>
        <row r="12">
          <cell r="A12">
            <v>12380</v>
          </cell>
          <cell r="B12" t="str">
            <v>RECEIVABLES-OTHER</v>
          </cell>
          <cell r="C12">
            <v>1996644.32</v>
          </cell>
        </row>
        <row r="13">
          <cell r="A13">
            <v>12610</v>
          </cell>
          <cell r="B13" t="str">
            <v>RESERVE FOR BAD DEBTS</v>
          </cell>
          <cell r="C13">
            <v>-6138132.3399999999</v>
          </cell>
        </row>
        <row r="14">
          <cell r="A14">
            <v>14110</v>
          </cell>
          <cell r="B14" t="str">
            <v>INV-FINSIHED GOODS</v>
          </cell>
          <cell r="C14">
            <v>2133413.0499999998</v>
          </cell>
        </row>
        <row r="15">
          <cell r="A15">
            <v>14160</v>
          </cell>
          <cell r="B15" t="str">
            <v>INV-IMPORT DUTY(CUSTOMS)</v>
          </cell>
          <cell r="C15">
            <v>2557891.29</v>
          </cell>
        </row>
        <row r="16">
          <cell r="A16">
            <v>14310</v>
          </cell>
          <cell r="B16" t="str">
            <v>INV-WIP</v>
          </cell>
          <cell r="C16">
            <v>44204.959999999999</v>
          </cell>
        </row>
        <row r="17">
          <cell r="A17">
            <v>14370</v>
          </cell>
          <cell r="B17" t="str">
            <v>INV-OUTSIDE POINT(CSTMR)</v>
          </cell>
          <cell r="C17">
            <v>629052.93999999994</v>
          </cell>
        </row>
        <row r="18">
          <cell r="A18">
            <v>14380</v>
          </cell>
          <cell r="B18" t="str">
            <v>INV-SUB CONTRACT (FAT)</v>
          </cell>
          <cell r="C18">
            <v>15994921.050000001</v>
          </cell>
        </row>
        <row r="19">
          <cell r="A19">
            <v>14410</v>
          </cell>
          <cell r="B19" t="str">
            <v>INV-RAW MATERIALS</v>
          </cell>
          <cell r="C19">
            <v>61591331.950000003</v>
          </cell>
        </row>
        <row r="20">
          <cell r="A20">
            <v>14480</v>
          </cell>
          <cell r="B20" t="str">
            <v>INV-IN TRANSIT(LOCAL)</v>
          </cell>
          <cell r="C20">
            <v>1496630.18</v>
          </cell>
        </row>
        <row r="21">
          <cell r="A21">
            <v>14490</v>
          </cell>
          <cell r="B21" t="str">
            <v>INV-IN TRANSIT(INTERCOM)</v>
          </cell>
          <cell r="C21">
            <v>5599936.2800000003</v>
          </cell>
        </row>
        <row r="22">
          <cell r="A22">
            <v>14800</v>
          </cell>
          <cell r="B22" t="str">
            <v>INV-STD COST REVALUATION</v>
          </cell>
          <cell r="C22">
            <v>10739174.310000001</v>
          </cell>
        </row>
        <row r="23">
          <cell r="A23">
            <v>15090</v>
          </cell>
          <cell r="B23" t="str">
            <v>PREPAID-OTHER</v>
          </cell>
          <cell r="C23">
            <v>5690158.7300000004</v>
          </cell>
        </row>
        <row r="24">
          <cell r="A24">
            <v>15620</v>
          </cell>
          <cell r="B24" t="str">
            <v>FIELD SERVICE STOCK-GTS</v>
          </cell>
          <cell r="C24">
            <v>50166840.170000002</v>
          </cell>
        </row>
        <row r="25">
          <cell r="A25">
            <v>15630</v>
          </cell>
          <cell r="B25" t="str">
            <v>FIELD SERVICE STK-PROVIS</v>
          </cell>
          <cell r="C25">
            <v>-14938670.24</v>
          </cell>
        </row>
        <row r="26">
          <cell r="A26">
            <v>15710</v>
          </cell>
          <cell r="B26" t="str">
            <v>DEPOSIT-TENDER(EARNEST)</v>
          </cell>
          <cell r="C26">
            <v>2203976.5</v>
          </cell>
        </row>
        <row r="27">
          <cell r="A27">
            <v>15715</v>
          </cell>
          <cell r="B27" t="str">
            <v>DEPOSIT-MATERIAL PURCHAS</v>
          </cell>
          <cell r="C27">
            <v>3308645.04</v>
          </cell>
        </row>
        <row r="28">
          <cell r="A28">
            <v>15723</v>
          </cell>
          <cell r="B28" t="str">
            <v>DEPOSIT-STAFF ACOMODATON</v>
          </cell>
          <cell r="C28">
            <v>426000</v>
          </cell>
        </row>
        <row r="29">
          <cell r="A29">
            <v>15790</v>
          </cell>
          <cell r="B29" t="str">
            <v>DEPOSIT-OTHERS</v>
          </cell>
          <cell r="C29">
            <v>5658465</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1703791.47</v>
          </cell>
        </row>
        <row r="33">
          <cell r="A33">
            <v>17311</v>
          </cell>
          <cell r="B33" t="str">
            <v>BUILDING/FACTORY-OBAL</v>
          </cell>
          <cell r="C33">
            <v>7940849</v>
          </cell>
        </row>
        <row r="34">
          <cell r="A34">
            <v>17401</v>
          </cell>
          <cell r="B34" t="str">
            <v>MACHINERY&amp;EQUPIMENT-OBAL</v>
          </cell>
          <cell r="C34">
            <v>26639621.030000001</v>
          </cell>
        </row>
        <row r="35">
          <cell r="A35">
            <v>17402</v>
          </cell>
          <cell r="B35" t="str">
            <v>MACHINERY&amp;EQUPIMENT-ADDS</v>
          </cell>
          <cell r="C35">
            <v>2993869.89</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7027</v>
          </cell>
        </row>
        <row r="39">
          <cell r="A39">
            <v>17711</v>
          </cell>
          <cell r="B39" t="str">
            <v>FIXTURE/FITTINGS - OBAL</v>
          </cell>
          <cell r="C39">
            <v>7619235.6600000001</v>
          </cell>
        </row>
        <row r="40">
          <cell r="A40">
            <v>17712</v>
          </cell>
          <cell r="B40" t="str">
            <v>FIXTURE/FITTINGS - ADDS</v>
          </cell>
          <cell r="C40">
            <v>1333251.94</v>
          </cell>
        </row>
        <row r="41">
          <cell r="A41">
            <v>17721</v>
          </cell>
          <cell r="B41" t="str">
            <v>TELECOM EQUIPMENT - OBAL</v>
          </cell>
          <cell r="C41">
            <v>3744165.89</v>
          </cell>
        </row>
        <row r="42">
          <cell r="A42">
            <v>17722</v>
          </cell>
          <cell r="B42" t="str">
            <v>TELECOM EQUIPMENT - ADDS</v>
          </cell>
          <cell r="C42">
            <v>1600000</v>
          </cell>
        </row>
        <row r="43">
          <cell r="A43">
            <v>17731</v>
          </cell>
          <cell r="B43" t="str">
            <v>COMPUTER/IT EQUPMNT-OBAL</v>
          </cell>
          <cell r="C43">
            <v>51755861.390000001</v>
          </cell>
        </row>
        <row r="44">
          <cell r="A44">
            <v>17732</v>
          </cell>
          <cell r="B44" t="str">
            <v>COMPUTER/IT EQUPMNT-ADDS</v>
          </cell>
          <cell r="C44">
            <v>8478999.1600000001</v>
          </cell>
        </row>
        <row r="45">
          <cell r="A45">
            <v>17751</v>
          </cell>
          <cell r="B45" t="str">
            <v>OFFICE EQUIPMENT - OBAL</v>
          </cell>
          <cell r="C45">
            <v>4205069.3899999997</v>
          </cell>
        </row>
        <row r="46">
          <cell r="A46">
            <v>17752</v>
          </cell>
          <cell r="B46" t="str">
            <v>OFFICE EQUIPMENT - ADDS</v>
          </cell>
          <cell r="C46">
            <v>1761143</v>
          </cell>
        </row>
        <row r="47">
          <cell r="A47">
            <v>17761</v>
          </cell>
          <cell r="B47" t="str">
            <v>DEMO EQUIPMENT - OBAL</v>
          </cell>
          <cell r="C47">
            <v>21238212.09</v>
          </cell>
        </row>
        <row r="48">
          <cell r="A48">
            <v>17762</v>
          </cell>
          <cell r="B48" t="str">
            <v>DEMO EQUIPMENT - ADDS</v>
          </cell>
          <cell r="C48">
            <v>19961843.66</v>
          </cell>
        </row>
        <row r="49">
          <cell r="A49">
            <v>17902</v>
          </cell>
          <cell r="B49" t="str">
            <v>CIP - MACH &amp; EQUIP ADDS</v>
          </cell>
          <cell r="C49">
            <v>6593558.4400000004</v>
          </cell>
        </row>
        <row r="50">
          <cell r="A50">
            <v>17903</v>
          </cell>
          <cell r="B50" t="str">
            <v>CIP - MACH &amp; EQUIP DISP</v>
          </cell>
          <cell r="C50">
            <v>-98214</v>
          </cell>
        </row>
        <row r="51">
          <cell r="A51">
            <v>18211</v>
          </cell>
          <cell r="B51" t="str">
            <v>DEPR LEASE IMPROV - OBAL</v>
          </cell>
          <cell r="C51">
            <v>-1709746.19</v>
          </cell>
        </row>
        <row r="52">
          <cell r="A52">
            <v>18212</v>
          </cell>
          <cell r="B52" t="str">
            <v>DEPR LEASE IMPROV - ADDS</v>
          </cell>
          <cell r="C52">
            <v>-3056898.02</v>
          </cell>
        </row>
        <row r="53">
          <cell r="A53">
            <v>18311</v>
          </cell>
          <cell r="B53" t="str">
            <v>DEPR BUILDING/FACT- OBAL</v>
          </cell>
          <cell r="C53">
            <v>-2694485</v>
          </cell>
        </row>
        <row r="54">
          <cell r="A54">
            <v>18312</v>
          </cell>
          <cell r="B54" t="str">
            <v>DEPR BUILDING/FACT- ADDS</v>
          </cell>
          <cell r="C54">
            <v>-420867</v>
          </cell>
        </row>
        <row r="55">
          <cell r="A55">
            <v>18401</v>
          </cell>
          <cell r="B55" t="str">
            <v>DEPR MACH &amp; EQUIPME-OBAL</v>
          </cell>
          <cell r="C55">
            <v>-12629552.9</v>
          </cell>
        </row>
        <row r="56">
          <cell r="A56">
            <v>18402</v>
          </cell>
          <cell r="B56" t="str">
            <v>DEPR MACH &amp; EQUIPME-ADDS</v>
          </cell>
          <cell r="C56">
            <v>-2907363</v>
          </cell>
        </row>
        <row r="57">
          <cell r="A57">
            <v>18641</v>
          </cell>
          <cell r="B57" t="str">
            <v>DEPR AUTO/TRUCKS - OBAL</v>
          </cell>
          <cell r="C57">
            <v>-303991.89</v>
          </cell>
        </row>
        <row r="58">
          <cell r="A58">
            <v>18642</v>
          </cell>
          <cell r="B58" t="str">
            <v>DEPR AUTO/TRUCKS - ADDS</v>
          </cell>
          <cell r="C58">
            <v>136081</v>
          </cell>
        </row>
        <row r="59">
          <cell r="A59">
            <v>18711</v>
          </cell>
          <cell r="B59" t="str">
            <v>DEPR FURNITURE/FIX- OBAL</v>
          </cell>
          <cell r="C59">
            <v>-1838457</v>
          </cell>
        </row>
        <row r="60">
          <cell r="A60">
            <v>18712</v>
          </cell>
          <cell r="B60" t="str">
            <v>DEPR FURNITURE/FIX- ADDS</v>
          </cell>
          <cell r="C60">
            <v>-922063</v>
          </cell>
        </row>
        <row r="61">
          <cell r="A61">
            <v>18751</v>
          </cell>
          <cell r="B61" t="str">
            <v>DEPR OFFICE EQUPMNT-OBAL</v>
          </cell>
          <cell r="C61">
            <v>-36355630</v>
          </cell>
        </row>
        <row r="62">
          <cell r="A62">
            <v>18752</v>
          </cell>
          <cell r="B62" t="str">
            <v>DEPR OFFICE EQUPMNT-ADDS</v>
          </cell>
          <cell r="C62">
            <v>-29111749</v>
          </cell>
        </row>
        <row r="63">
          <cell r="A63">
            <v>19910</v>
          </cell>
          <cell r="B63" t="str">
            <v>DEFERRED ORGANIZATON EXP</v>
          </cell>
          <cell r="C63">
            <v>3000000</v>
          </cell>
        </row>
        <row r="64">
          <cell r="A64">
            <v>40055</v>
          </cell>
          <cell r="B64" t="str">
            <v>BANK OVERDRAFT - INR</v>
          </cell>
          <cell r="C64">
            <v>-58823183.850000001</v>
          </cell>
        </row>
        <row r="65">
          <cell r="A65">
            <v>41010</v>
          </cell>
          <cell r="B65" t="str">
            <v>A/P - TRADE</v>
          </cell>
          <cell r="C65">
            <v>-63905893.469999999</v>
          </cell>
        </row>
        <row r="66">
          <cell r="A66">
            <v>41890</v>
          </cell>
          <cell r="B66" t="str">
            <v>A/P - OTHER(AP RETNTION)</v>
          </cell>
          <cell r="C66">
            <v>-3656056.86</v>
          </cell>
        </row>
        <row r="67">
          <cell r="A67">
            <v>42000</v>
          </cell>
          <cell r="B67" t="str">
            <v>ACCRUED PAYROLL/SALARIES</v>
          </cell>
          <cell r="C67">
            <v>-2143087.0699999998</v>
          </cell>
        </row>
        <row r="68">
          <cell r="A68">
            <v>43615</v>
          </cell>
          <cell r="B68" t="str">
            <v>WCT - PAYABLE</v>
          </cell>
          <cell r="C68">
            <v>-480225.4</v>
          </cell>
        </row>
        <row r="69">
          <cell r="A69">
            <v>43618</v>
          </cell>
          <cell r="B69" t="str">
            <v>STATUTORY DUES PAYABLE</v>
          </cell>
          <cell r="C69">
            <v>-570085.5</v>
          </cell>
        </row>
        <row r="70">
          <cell r="A70">
            <v>43619</v>
          </cell>
          <cell r="B70" t="str">
            <v>SALES TAX PAYABLE</v>
          </cell>
          <cell r="C70">
            <v>-3220872</v>
          </cell>
        </row>
        <row r="71">
          <cell r="A71">
            <v>43620</v>
          </cell>
          <cell r="B71" t="str">
            <v>TDS PAYABLE</v>
          </cell>
          <cell r="C71">
            <v>-805901.04</v>
          </cell>
        </row>
        <row r="72">
          <cell r="A72">
            <v>43622</v>
          </cell>
          <cell r="B72" t="str">
            <v>TARIFF PAYABLE</v>
          </cell>
          <cell r="C72">
            <v>-117835</v>
          </cell>
        </row>
        <row r="73">
          <cell r="A73">
            <v>44610</v>
          </cell>
          <cell r="B73" t="str">
            <v>DEPOSITS FROM CUSTOMERS</v>
          </cell>
          <cell r="C73">
            <v>-9173725.9900000002</v>
          </cell>
        </row>
        <row r="74">
          <cell r="A74">
            <v>44899</v>
          </cell>
          <cell r="B74" t="str">
            <v>ACCRUAL - OTHERS</v>
          </cell>
          <cell r="C74">
            <v>-42677022.700000003</v>
          </cell>
        </row>
        <row r="75">
          <cell r="A75">
            <v>46610</v>
          </cell>
          <cell r="B75" t="str">
            <v>INCOME TAX PAYBL-CURRENT</v>
          </cell>
          <cell r="C75">
            <v>-15300000</v>
          </cell>
        </row>
        <row r="76">
          <cell r="A76">
            <v>46620</v>
          </cell>
          <cell r="B76" t="str">
            <v>INCOME TAX PAYABLE-PRIOR</v>
          </cell>
          <cell r="C76">
            <v>-9936420</v>
          </cell>
        </row>
        <row r="77">
          <cell r="A77">
            <v>48310</v>
          </cell>
          <cell r="B77" t="str">
            <v>INTER COMP RECVBL-TRADE</v>
          </cell>
          <cell r="C77">
            <v>7220330.5700000003</v>
          </cell>
        </row>
        <row r="78">
          <cell r="A78">
            <v>48320</v>
          </cell>
          <cell r="B78" t="str">
            <v>INTER COMP PAYABLE-TRADE</v>
          </cell>
          <cell r="C78">
            <v>-27175901.32</v>
          </cell>
        </row>
        <row r="79">
          <cell r="A79">
            <v>49600</v>
          </cell>
          <cell r="B79" t="str">
            <v>COMMON STOCK</v>
          </cell>
          <cell r="C79">
            <v>-342233000</v>
          </cell>
        </row>
        <row r="80">
          <cell r="A80">
            <v>49910</v>
          </cell>
          <cell r="B80" t="str">
            <v>RETAINED EARNINGS - B/F</v>
          </cell>
          <cell r="C80">
            <v>8814606.7300000004</v>
          </cell>
        </row>
        <row r="81">
          <cell r="A81">
            <v>49992</v>
          </cell>
          <cell r="B81" t="str">
            <v>CAPITAL RESERVE</v>
          </cell>
          <cell r="C81">
            <v>-209797</v>
          </cell>
        </row>
        <row r="82">
          <cell r="A82">
            <v>52310</v>
          </cell>
          <cell r="B82" t="str">
            <v>SALES-3P DOMESTIC</v>
          </cell>
          <cell r="C82">
            <v>-643349987.61000001</v>
          </cell>
        </row>
        <row r="83">
          <cell r="A83">
            <v>52340</v>
          </cell>
          <cell r="B83" t="str">
            <v>SALES-3P EXPORTS</v>
          </cell>
          <cell r="C83">
            <v>-3867721.41</v>
          </cell>
        </row>
        <row r="84">
          <cell r="A84">
            <v>52991</v>
          </cell>
          <cell r="B84" t="str">
            <v>SALES-OTHERS ADJUSTMENTS</v>
          </cell>
          <cell r="C84">
            <v>5992807.3799999999</v>
          </cell>
        </row>
        <row r="85">
          <cell r="A85">
            <v>54310</v>
          </cell>
          <cell r="B85" t="str">
            <v>SALES-INTERCOMPANY RA</v>
          </cell>
          <cell r="C85">
            <v>-32298176.68</v>
          </cell>
        </row>
        <row r="86">
          <cell r="A86">
            <v>62310</v>
          </cell>
          <cell r="B86" t="str">
            <v>COGS-MATERIAL DOMESTIC</v>
          </cell>
          <cell r="C86">
            <v>404888387.33999997</v>
          </cell>
        </row>
        <row r="87">
          <cell r="A87">
            <v>62340</v>
          </cell>
          <cell r="B87" t="str">
            <v>COGS-MATERIAL EXPORTS</v>
          </cell>
          <cell r="C87">
            <v>1507848.78</v>
          </cell>
        </row>
        <row r="88">
          <cell r="A88">
            <v>64310</v>
          </cell>
          <cell r="B88" t="str">
            <v>COGS-MATERIAL INTERCOMP</v>
          </cell>
          <cell r="C88">
            <v>24051936.210000001</v>
          </cell>
        </row>
        <row r="89">
          <cell r="A89">
            <v>68000</v>
          </cell>
          <cell r="B89" t="str">
            <v>VARIANCE-PO PRICE</v>
          </cell>
          <cell r="C89">
            <v>-5488205.5199999996</v>
          </cell>
        </row>
        <row r="90">
          <cell r="A90">
            <v>68002</v>
          </cell>
          <cell r="B90" t="str">
            <v>VARIANCE-A/P RATE</v>
          </cell>
          <cell r="C90">
            <v>8009838.3499999996</v>
          </cell>
        </row>
        <row r="91">
          <cell r="A91">
            <v>68003</v>
          </cell>
          <cell r="B91" t="str">
            <v>VARIANCE-METHOD</v>
          </cell>
          <cell r="C91">
            <v>-44448.07</v>
          </cell>
        </row>
        <row r="92">
          <cell r="A92">
            <v>68110</v>
          </cell>
          <cell r="B92" t="str">
            <v>VARIANCE-MATERIAL RATE</v>
          </cell>
          <cell r="C92">
            <v>-6073.46</v>
          </cell>
        </row>
        <row r="93">
          <cell r="A93">
            <v>68140</v>
          </cell>
          <cell r="B93" t="str">
            <v>VARIANCE-MATERIAL USAGE</v>
          </cell>
          <cell r="C93">
            <v>-33473.49</v>
          </cell>
        </row>
        <row r="94">
          <cell r="A94">
            <v>68280</v>
          </cell>
          <cell r="B94" t="str">
            <v>VARIANCE-LABOR USAGE</v>
          </cell>
          <cell r="C94">
            <v>1.1000000000000001</v>
          </cell>
        </row>
        <row r="95">
          <cell r="A95">
            <v>68330</v>
          </cell>
          <cell r="B95" t="str">
            <v>VARIANCE-BURDEN USAGE</v>
          </cell>
          <cell r="C95">
            <v>3.66</v>
          </cell>
        </row>
        <row r="96">
          <cell r="A96">
            <v>68370</v>
          </cell>
          <cell r="B96" t="str">
            <v>OVERHEAD APPLIED</v>
          </cell>
          <cell r="C96">
            <v>-101152992.3</v>
          </cell>
        </row>
        <row r="97">
          <cell r="A97">
            <v>68411</v>
          </cell>
          <cell r="B97" t="str">
            <v>VARIANCE-TRANSFER</v>
          </cell>
          <cell r="C97">
            <v>858850.28</v>
          </cell>
        </row>
        <row r="98">
          <cell r="A98">
            <v>68420</v>
          </cell>
          <cell r="B98" t="str">
            <v>LABOR ABSORBED</v>
          </cell>
          <cell r="C98">
            <v>-346625.78</v>
          </cell>
        </row>
        <row r="99">
          <cell r="A99">
            <v>68430</v>
          </cell>
          <cell r="B99" t="str">
            <v>BURDEN ABSORBED</v>
          </cell>
          <cell r="C99">
            <v>-1190881.46</v>
          </cell>
        </row>
        <row r="100">
          <cell r="A100">
            <v>68450</v>
          </cell>
          <cell r="B100" t="str">
            <v>FLOOR STOCK</v>
          </cell>
          <cell r="C100">
            <v>2890404.71</v>
          </cell>
        </row>
        <row r="101">
          <cell r="A101">
            <v>68830</v>
          </cell>
          <cell r="B101" t="str">
            <v>INV PROV-OBSOLESCENCE</v>
          </cell>
          <cell r="C101">
            <v>12427.68</v>
          </cell>
        </row>
        <row r="102">
          <cell r="A102">
            <v>68860</v>
          </cell>
          <cell r="B102" t="str">
            <v>INV STD COST REVAL ADJST</v>
          </cell>
          <cell r="C102">
            <v>-17881465.48</v>
          </cell>
        </row>
        <row r="103">
          <cell r="A103">
            <v>68870</v>
          </cell>
          <cell r="B103" t="str">
            <v>INV DISCREPANCY</v>
          </cell>
          <cell r="C103">
            <v>945413.66</v>
          </cell>
        </row>
        <row r="104">
          <cell r="A104">
            <v>69610</v>
          </cell>
          <cell r="B104" t="str">
            <v>COS OTHER-WARRANTY</v>
          </cell>
          <cell r="C104">
            <v>15113162.359999999</v>
          </cell>
        </row>
        <row r="105">
          <cell r="A105">
            <v>69900</v>
          </cell>
          <cell r="B105" t="str">
            <v>COST OF PRODUCTION</v>
          </cell>
          <cell r="C105">
            <v>-644767.75</v>
          </cell>
        </row>
        <row r="106">
          <cell r="A106">
            <v>69920</v>
          </cell>
          <cell r="B106" t="str">
            <v>COS OTHER-EXCISE DUTY</v>
          </cell>
          <cell r="C106">
            <v>71904200</v>
          </cell>
        </row>
        <row r="107">
          <cell r="A107">
            <v>69921</v>
          </cell>
          <cell r="B107" t="str">
            <v>COS OTHER-CUSTOM DUTY</v>
          </cell>
          <cell r="C107">
            <v>78757848.359999999</v>
          </cell>
        </row>
        <row r="108">
          <cell r="A108">
            <v>69923</v>
          </cell>
          <cell r="B108" t="str">
            <v>COS OTHER-IMPORT CLEARNG</v>
          </cell>
          <cell r="C108">
            <v>2421456.73</v>
          </cell>
        </row>
        <row r="109">
          <cell r="A109">
            <v>69926</v>
          </cell>
          <cell r="B109" t="str">
            <v>COS OTHER-IMPORT DEMURGE</v>
          </cell>
          <cell r="C109">
            <v>467050</v>
          </cell>
        </row>
        <row r="110">
          <cell r="A110">
            <v>69930</v>
          </cell>
          <cell r="B110" t="str">
            <v>COS OTHER-INWARDS FREIGT</v>
          </cell>
          <cell r="C110">
            <v>9911076.7100000009</v>
          </cell>
        </row>
        <row r="111">
          <cell r="A111">
            <v>69932</v>
          </cell>
          <cell r="B111" t="str">
            <v>COST OTHER-IMPORT PACKNG</v>
          </cell>
          <cell r="C111">
            <v>862722.88</v>
          </cell>
        </row>
        <row r="112">
          <cell r="A112">
            <v>69980</v>
          </cell>
          <cell r="B112" t="str">
            <v>COS OTHER- ENGINRG/DRAFT</v>
          </cell>
          <cell r="C112">
            <v>7372730.29</v>
          </cell>
        </row>
        <row r="113">
          <cell r="A113">
            <v>71001</v>
          </cell>
          <cell r="B113" t="str">
            <v>SALARY-BASIC PAY</v>
          </cell>
          <cell r="C113">
            <v>12696513.48</v>
          </cell>
        </row>
        <row r="114">
          <cell r="A114">
            <v>71003</v>
          </cell>
          <cell r="B114" t="str">
            <v>SALARY-TEMPORARY STAFF</v>
          </cell>
          <cell r="C114">
            <v>85931</v>
          </cell>
        </row>
        <row r="115">
          <cell r="A115">
            <v>71004</v>
          </cell>
          <cell r="B115" t="str">
            <v>SALARY-MANAGERIAL REMUNR</v>
          </cell>
          <cell r="C115">
            <v>2409919</v>
          </cell>
        </row>
        <row r="116">
          <cell r="A116">
            <v>72110</v>
          </cell>
          <cell r="B116" t="str">
            <v>SALARY-ANNUAL LEAVE</v>
          </cell>
          <cell r="C116">
            <v>613992.5</v>
          </cell>
        </row>
        <row r="117">
          <cell r="A117">
            <v>72610</v>
          </cell>
          <cell r="B117" t="str">
            <v>SALARY-BONUS</v>
          </cell>
          <cell r="C117">
            <v>489146</v>
          </cell>
        </row>
        <row r="118">
          <cell r="A118">
            <v>73630</v>
          </cell>
          <cell r="B118" t="str">
            <v>INSURANCE MEDICAL</v>
          </cell>
          <cell r="C118">
            <v>340633.1</v>
          </cell>
        </row>
        <row r="119">
          <cell r="A119">
            <v>73801</v>
          </cell>
          <cell r="B119" t="str">
            <v>SALARY-FRINGE BENEFITS</v>
          </cell>
          <cell r="C119">
            <v>20098675.539999999</v>
          </cell>
        </row>
        <row r="120">
          <cell r="A120">
            <v>73810</v>
          </cell>
          <cell r="B120" t="str">
            <v>SUPER FUNDS CONTRIBUTION</v>
          </cell>
          <cell r="C120">
            <v>3359925.15</v>
          </cell>
        </row>
        <row r="121">
          <cell r="A121">
            <v>74403</v>
          </cell>
          <cell r="B121" t="str">
            <v>MFG/PRO-SUPPORT</v>
          </cell>
          <cell r="C121">
            <v>1455649</v>
          </cell>
        </row>
        <row r="122">
          <cell r="A122">
            <v>74610</v>
          </cell>
          <cell r="B122" t="str">
            <v>OFFICE SUPPLIES-STATONRY</v>
          </cell>
          <cell r="C122">
            <v>1622844.05</v>
          </cell>
        </row>
        <row r="123">
          <cell r="A123">
            <v>74640</v>
          </cell>
          <cell r="B123" t="str">
            <v>PHOTOCOPYING-INTERNAL</v>
          </cell>
          <cell r="C123">
            <v>391837.25</v>
          </cell>
        </row>
        <row r="124">
          <cell r="A124">
            <v>74641</v>
          </cell>
          <cell r="B124" t="str">
            <v>PHOTOCOPYING-EXTERNAL</v>
          </cell>
          <cell r="C124">
            <v>43552.4</v>
          </cell>
        </row>
        <row r="125">
          <cell r="A125">
            <v>74990</v>
          </cell>
          <cell r="B125" t="str">
            <v>VEHICLE FUEL &amp; OIL</v>
          </cell>
          <cell r="C125">
            <v>231707.55</v>
          </cell>
        </row>
        <row r="126">
          <cell r="A126">
            <v>75110</v>
          </cell>
          <cell r="B126" t="str">
            <v>LEGAL FEES/COSTS</v>
          </cell>
          <cell r="C126">
            <v>2113303.02</v>
          </cell>
        </row>
        <row r="127">
          <cell r="A127">
            <v>75120</v>
          </cell>
          <cell r="B127" t="str">
            <v>AUDIT FEE</v>
          </cell>
          <cell r="C127">
            <v>100000</v>
          </cell>
        </row>
        <row r="128">
          <cell r="A128">
            <v>75350</v>
          </cell>
          <cell r="B128" t="str">
            <v>SECURITY OF PREMISES</v>
          </cell>
          <cell r="C128">
            <v>917915.74</v>
          </cell>
        </row>
        <row r="129">
          <cell r="A129">
            <v>75500</v>
          </cell>
          <cell r="B129" t="str">
            <v>ADVERTISING</v>
          </cell>
          <cell r="C129">
            <v>353.63</v>
          </cell>
        </row>
        <row r="130">
          <cell r="A130">
            <v>75630</v>
          </cell>
          <cell r="B130" t="str">
            <v>SALES AIDS</v>
          </cell>
          <cell r="C130">
            <v>4598593.58</v>
          </cell>
        </row>
        <row r="131">
          <cell r="A131">
            <v>75640</v>
          </cell>
          <cell r="B131" t="str">
            <v>TRADE SHOWS/CONFERENCES</v>
          </cell>
          <cell r="C131">
            <v>2596192.2599999998</v>
          </cell>
        </row>
        <row r="132">
          <cell r="A132">
            <v>75810</v>
          </cell>
          <cell r="B132" t="str">
            <v>REP/MAINT-LEASE PREMISES</v>
          </cell>
          <cell r="C132">
            <v>370775</v>
          </cell>
        </row>
        <row r="133">
          <cell r="A133">
            <v>75811</v>
          </cell>
          <cell r="B133" t="str">
            <v>REP/MAINT-PREMISES</v>
          </cell>
          <cell r="C133">
            <v>3136653.18</v>
          </cell>
        </row>
        <row r="134">
          <cell r="A134">
            <v>75812</v>
          </cell>
          <cell r="B134" t="str">
            <v>REP/MAINT-PLANT&amp;MACHINRY</v>
          </cell>
          <cell r="C134">
            <v>6000</v>
          </cell>
        </row>
        <row r="135">
          <cell r="A135">
            <v>75813</v>
          </cell>
          <cell r="B135" t="str">
            <v>REP/MAINT-OFFICE MACHINR</v>
          </cell>
          <cell r="C135">
            <v>472477.95</v>
          </cell>
        </row>
        <row r="136">
          <cell r="A136">
            <v>75815</v>
          </cell>
          <cell r="B136" t="str">
            <v>REP/MAINT-VEHICLES</v>
          </cell>
          <cell r="C136">
            <v>228095</v>
          </cell>
        </row>
        <row r="137">
          <cell r="A137">
            <v>75816</v>
          </cell>
          <cell r="B137" t="str">
            <v>REP/MAINT-FURNITU/ELECTR</v>
          </cell>
          <cell r="C137">
            <v>817614.67</v>
          </cell>
        </row>
        <row r="138">
          <cell r="A138">
            <v>75817</v>
          </cell>
          <cell r="B138" t="str">
            <v>REP/MAINT-COMPUTERS</v>
          </cell>
          <cell r="C138">
            <v>373118.86</v>
          </cell>
        </row>
        <row r="139">
          <cell r="A139">
            <v>75820</v>
          </cell>
          <cell r="B139" t="str">
            <v>REP/MAINT-OFFICE CLEANIG</v>
          </cell>
          <cell r="C139">
            <v>915846.06</v>
          </cell>
        </row>
        <row r="140">
          <cell r="A140">
            <v>75900</v>
          </cell>
          <cell r="B140" t="str">
            <v>UTILITIES-MISCELLANEOUS</v>
          </cell>
          <cell r="C140">
            <v>15880</v>
          </cell>
        </row>
        <row r="141">
          <cell r="A141">
            <v>75910</v>
          </cell>
          <cell r="B141" t="str">
            <v>UTILITY-ELECTRICITY</v>
          </cell>
          <cell r="C141">
            <v>2190207.9900000002</v>
          </cell>
        </row>
        <row r="142">
          <cell r="A142">
            <v>75920</v>
          </cell>
          <cell r="B142" t="str">
            <v>UTILITY-WATER</v>
          </cell>
          <cell r="C142">
            <v>105705</v>
          </cell>
        </row>
        <row r="143">
          <cell r="A143">
            <v>75960</v>
          </cell>
          <cell r="B143" t="str">
            <v>TELECOM-FAX</v>
          </cell>
          <cell r="C143">
            <v>20042.64</v>
          </cell>
        </row>
        <row r="144">
          <cell r="A144">
            <v>75961</v>
          </cell>
          <cell r="B144" t="str">
            <v>TELECOM-MOBILE/PAGES</v>
          </cell>
          <cell r="C144">
            <v>2727639.09</v>
          </cell>
        </row>
        <row r="145">
          <cell r="A145">
            <v>75962</v>
          </cell>
          <cell r="B145" t="str">
            <v>TELECOM-TELEPHONE</v>
          </cell>
          <cell r="C145">
            <v>10393433.18</v>
          </cell>
        </row>
        <row r="146">
          <cell r="A146">
            <v>75980</v>
          </cell>
          <cell r="B146" t="str">
            <v>FREIGHT-POSTAGE</v>
          </cell>
          <cell r="C146">
            <v>96277.14</v>
          </cell>
        </row>
        <row r="147">
          <cell r="A147">
            <v>75981</v>
          </cell>
          <cell r="B147" t="str">
            <v>FREIGHT-COURIER</v>
          </cell>
          <cell r="C147">
            <v>847466.31</v>
          </cell>
        </row>
        <row r="148">
          <cell r="A148">
            <v>75992</v>
          </cell>
          <cell r="B148" t="str">
            <v>IT-PC SUPPORT</v>
          </cell>
          <cell r="C148">
            <v>1498179.86</v>
          </cell>
        </row>
        <row r="149">
          <cell r="A149">
            <v>76100</v>
          </cell>
          <cell r="B149" t="str">
            <v>RECRUITMENT</v>
          </cell>
          <cell r="C149">
            <v>64272</v>
          </cell>
        </row>
        <row r="150">
          <cell r="A150">
            <v>76201</v>
          </cell>
          <cell r="B150" t="str">
            <v>TRAVEL-OVERSEAS MEALS</v>
          </cell>
          <cell r="C150">
            <v>376026.17</v>
          </cell>
        </row>
        <row r="151">
          <cell r="A151">
            <v>76210</v>
          </cell>
          <cell r="B151" t="str">
            <v>TRAVEL-OVERSEAS AIR FARE</v>
          </cell>
          <cell r="C151">
            <v>2428671.15</v>
          </cell>
        </row>
        <row r="152">
          <cell r="A152">
            <v>76211</v>
          </cell>
          <cell r="B152" t="str">
            <v>TRAVEL-OVERSEAS HOTEL</v>
          </cell>
          <cell r="C152">
            <v>1705384.96</v>
          </cell>
        </row>
        <row r="153">
          <cell r="A153">
            <v>76212</v>
          </cell>
          <cell r="B153" t="str">
            <v>TRAVEL-OVERSEAS OTHERS</v>
          </cell>
          <cell r="C153">
            <v>1261517.8400000001</v>
          </cell>
        </row>
        <row r="154">
          <cell r="A154">
            <v>76213</v>
          </cell>
          <cell r="B154" t="str">
            <v>TRAVEL-DOMESIC OTHERS</v>
          </cell>
          <cell r="C154">
            <v>2932407.97</v>
          </cell>
        </row>
        <row r="155">
          <cell r="A155">
            <v>76214</v>
          </cell>
          <cell r="B155" t="str">
            <v>TRAVEL-DOMESTIC AIR FARE</v>
          </cell>
          <cell r="C155">
            <v>5969287.9500000002</v>
          </cell>
        </row>
        <row r="156">
          <cell r="A156">
            <v>76220</v>
          </cell>
          <cell r="B156" t="str">
            <v>CONVEYANCE REIMBURSEMENT</v>
          </cell>
          <cell r="C156">
            <v>2443277.5299999998</v>
          </cell>
        </row>
        <row r="157">
          <cell r="A157">
            <v>76261</v>
          </cell>
          <cell r="B157" t="str">
            <v>ENTERTAINMENT-CUSTOMER</v>
          </cell>
          <cell r="C157">
            <v>880008.63</v>
          </cell>
        </row>
        <row r="158">
          <cell r="A158">
            <v>76262</v>
          </cell>
          <cell r="B158" t="str">
            <v>ENTERTAINMENT-EMPLOYEES</v>
          </cell>
          <cell r="C158">
            <v>1640943.3</v>
          </cell>
        </row>
        <row r="159">
          <cell r="A159">
            <v>76280</v>
          </cell>
          <cell r="B159" t="str">
            <v>RELOCATION-EMPLOYEES</v>
          </cell>
          <cell r="C159">
            <v>37670</v>
          </cell>
        </row>
        <row r="160">
          <cell r="A160">
            <v>76310</v>
          </cell>
          <cell r="B160" t="str">
            <v>SUBSCRIPTION AND BOOKS</v>
          </cell>
          <cell r="C160">
            <v>386183.36</v>
          </cell>
        </row>
        <row r="161">
          <cell r="A161">
            <v>76322</v>
          </cell>
          <cell r="B161" t="str">
            <v>TRAINING-LOCAL</v>
          </cell>
          <cell r="C161">
            <v>228196</v>
          </cell>
        </row>
        <row r="162">
          <cell r="A162">
            <v>76352</v>
          </cell>
          <cell r="B162" t="str">
            <v>CATERING OUTSIDE SUPPLY</v>
          </cell>
          <cell r="C162">
            <v>72622.44</v>
          </cell>
        </row>
        <row r="163">
          <cell r="A163">
            <v>76370</v>
          </cell>
          <cell r="B163" t="str">
            <v>STAFF FUNCTION MEETINGS</v>
          </cell>
          <cell r="C163">
            <v>184151</v>
          </cell>
        </row>
        <row r="164">
          <cell r="A164">
            <v>76435</v>
          </cell>
          <cell r="B164" t="str">
            <v>TRAINING-CUSTOMER</v>
          </cell>
          <cell r="C164">
            <v>104688</v>
          </cell>
        </row>
        <row r="165">
          <cell r="A165">
            <v>76480</v>
          </cell>
          <cell r="B165" t="str">
            <v>SUBCONTRACTING CHARGES</v>
          </cell>
          <cell r="C165">
            <v>372738</v>
          </cell>
        </row>
        <row r="166">
          <cell r="A166">
            <v>76710</v>
          </cell>
          <cell r="B166" t="str">
            <v>FREIGHT-OUTWARDS CARRIER</v>
          </cell>
          <cell r="C166">
            <v>3810915.55</v>
          </cell>
        </row>
        <row r="167">
          <cell r="A167">
            <v>76921</v>
          </cell>
          <cell r="B167" t="str">
            <v>DEBT COLLECTION AGENCY</v>
          </cell>
          <cell r="C167">
            <v>477113.51</v>
          </cell>
        </row>
        <row r="168">
          <cell r="A168">
            <v>77000</v>
          </cell>
          <cell r="B168" t="str">
            <v>DEPR-BUILDING &amp; FACTORY</v>
          </cell>
          <cell r="C168">
            <v>213698</v>
          </cell>
        </row>
        <row r="169">
          <cell r="A169">
            <v>77001</v>
          </cell>
          <cell r="B169" t="str">
            <v>DEPR-LEASEHOLD IMROVMNTS</v>
          </cell>
          <cell r="C169">
            <v>1163608.78</v>
          </cell>
        </row>
        <row r="170">
          <cell r="A170">
            <v>77002</v>
          </cell>
          <cell r="B170" t="str">
            <v>DEPR-PLAN AND EQUIPMENT</v>
          </cell>
          <cell r="C170">
            <v>766286</v>
          </cell>
        </row>
        <row r="171">
          <cell r="A171">
            <v>77003</v>
          </cell>
          <cell r="B171" t="str">
            <v>DEPR-OFFICE EQUIPMENT</v>
          </cell>
          <cell r="C171">
            <v>8296488</v>
          </cell>
        </row>
        <row r="172">
          <cell r="A172">
            <v>77005</v>
          </cell>
          <cell r="B172" t="str">
            <v>DEPR-FIXTURE/FITTINGS</v>
          </cell>
          <cell r="C172">
            <v>259847</v>
          </cell>
        </row>
        <row r="173">
          <cell r="A173">
            <v>77009</v>
          </cell>
          <cell r="B173" t="str">
            <v>DEMO-AUTO AND TRUCKS</v>
          </cell>
          <cell r="C173">
            <v>16935</v>
          </cell>
        </row>
        <row r="174">
          <cell r="A174">
            <v>77300</v>
          </cell>
          <cell r="B174" t="str">
            <v>RENT-COMPUTER EQUIPMENTS</v>
          </cell>
          <cell r="C174">
            <v>7000</v>
          </cell>
        </row>
        <row r="175">
          <cell r="A175">
            <v>77510</v>
          </cell>
          <cell r="B175" t="str">
            <v>RENT-OFFICE PREMISES</v>
          </cell>
          <cell r="C175">
            <v>3205975</v>
          </cell>
        </row>
        <row r="176">
          <cell r="A176">
            <v>77511</v>
          </cell>
          <cell r="B176" t="str">
            <v>RENT-OTHERS</v>
          </cell>
          <cell r="C176">
            <v>882316.80000000005</v>
          </cell>
        </row>
        <row r="177">
          <cell r="A177">
            <v>77550</v>
          </cell>
          <cell r="B177" t="str">
            <v>LEASE-VEHICLE/EQUIPMENTS</v>
          </cell>
          <cell r="C177">
            <v>687156</v>
          </cell>
        </row>
        <row r="178">
          <cell r="A178">
            <v>77580</v>
          </cell>
          <cell r="B178" t="str">
            <v>RENT-HIRE OF EQUIPMENTS</v>
          </cell>
          <cell r="C178">
            <v>1059872.6200000001</v>
          </cell>
        </row>
        <row r="179">
          <cell r="A179">
            <v>77880</v>
          </cell>
          <cell r="B179" t="str">
            <v>BUSINESS TAX/LICENCE</v>
          </cell>
          <cell r="C179">
            <v>84844</v>
          </cell>
        </row>
        <row r="180">
          <cell r="A180">
            <v>77950</v>
          </cell>
          <cell r="B180" t="str">
            <v>INSURANCE-VEHICLES</v>
          </cell>
          <cell r="C180">
            <v>53134</v>
          </cell>
        </row>
        <row r="181">
          <cell r="A181">
            <v>77953</v>
          </cell>
          <cell r="B181" t="str">
            <v>INSURANCE-MARINE</v>
          </cell>
          <cell r="C181">
            <v>392883</v>
          </cell>
        </row>
        <row r="182">
          <cell r="A182">
            <v>77954</v>
          </cell>
          <cell r="B182" t="str">
            <v>INSURANCE-BUILDING</v>
          </cell>
          <cell r="C182">
            <v>50346</v>
          </cell>
        </row>
        <row r="183">
          <cell r="A183">
            <v>77955</v>
          </cell>
          <cell r="B183" t="str">
            <v>INSURANCE-PLANT/EQUIPMNT</v>
          </cell>
          <cell r="C183">
            <v>15462</v>
          </cell>
        </row>
        <row r="184">
          <cell r="A184">
            <v>77956</v>
          </cell>
          <cell r="B184" t="str">
            <v>INSURANCE-INVENTORY</v>
          </cell>
          <cell r="C184">
            <v>347085</v>
          </cell>
        </row>
        <row r="185">
          <cell r="A185">
            <v>77958</v>
          </cell>
          <cell r="B185" t="str">
            <v>INSURANCE-OTHERS</v>
          </cell>
          <cell r="C185">
            <v>146735.32</v>
          </cell>
        </row>
        <row r="186">
          <cell r="A186">
            <v>81912</v>
          </cell>
          <cell r="B186" t="str">
            <v>DISCOUNT RECEIVED</v>
          </cell>
          <cell r="C186">
            <v>-17809.259999999998</v>
          </cell>
        </row>
        <row r="187">
          <cell r="A187">
            <v>81990</v>
          </cell>
          <cell r="B187" t="str">
            <v>NON-OPG INCOME MISC</v>
          </cell>
          <cell r="C187">
            <v>-109060</v>
          </cell>
        </row>
        <row r="188">
          <cell r="A188">
            <v>83011</v>
          </cell>
          <cell r="B188" t="str">
            <v>INTEREST EXPENSES</v>
          </cell>
          <cell r="C188">
            <v>3979859.28</v>
          </cell>
        </row>
        <row r="189">
          <cell r="A189">
            <v>84910</v>
          </cell>
          <cell r="B189" t="str">
            <v>REALISED FX-G/L NON USD</v>
          </cell>
          <cell r="C189">
            <v>-269735.03999999998</v>
          </cell>
        </row>
        <row r="190">
          <cell r="A190">
            <v>84920</v>
          </cell>
          <cell r="B190" t="str">
            <v>REALISED FX-G/L ON USD</v>
          </cell>
          <cell r="C190">
            <v>1171553.47</v>
          </cell>
        </row>
        <row r="191">
          <cell r="A191">
            <v>84951</v>
          </cell>
          <cell r="B191" t="str">
            <v>AMORT-OTHER DEFERRED</v>
          </cell>
          <cell r="C191">
            <v>1000000</v>
          </cell>
        </row>
        <row r="192">
          <cell r="A192">
            <v>84990</v>
          </cell>
          <cell r="B192" t="str">
            <v>NON-OPERATING LIQ DAMAGS</v>
          </cell>
          <cell r="C192">
            <v>2382625.4300000002</v>
          </cell>
        </row>
        <row r="193">
          <cell r="A193">
            <v>84991</v>
          </cell>
          <cell r="B193" t="str">
            <v>BANK CHARGES</v>
          </cell>
          <cell r="C193">
            <v>2653999.77</v>
          </cell>
        </row>
        <row r="194">
          <cell r="A194">
            <v>84992</v>
          </cell>
          <cell r="B194" t="str">
            <v>DISCOUNT-CASH GIVEN</v>
          </cell>
          <cell r="C194">
            <v>3909651.96</v>
          </cell>
        </row>
        <row r="195">
          <cell r="A195">
            <v>84995</v>
          </cell>
          <cell r="B195" t="str">
            <v>TRAILER CODE ROUNDING</v>
          </cell>
          <cell r="C195">
            <v>-6919.94</v>
          </cell>
        </row>
        <row r="196">
          <cell r="A196">
            <v>99999</v>
          </cell>
          <cell r="B196" t="str">
            <v>PURCHASES UNCODED</v>
          </cell>
          <cell r="C196">
            <v>-23146.799999999999</v>
          </cell>
        </row>
        <row r="198">
          <cell r="C198">
            <v>1.0779331205412745E-7</v>
          </cell>
        </row>
      </sheetData>
      <sheetData sheetId="1"/>
      <sheetData sheetId="2"/>
      <sheetData sheetId="3"/>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gill- monthly payroll-98-99"/>
      <sheetName val="Company"/>
      <sheetName val="entitlements"/>
    </sheetNames>
    <sheetDataSet>
      <sheetData sheetId="0" refreshError="1"/>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Fixed Assets"/>
    </sheetNames>
    <sheetDataSet>
      <sheetData sheetId="0">
        <row r="63">
          <cell r="B63">
            <v>6360010</v>
          </cell>
          <cell r="C63" t="str">
            <v>SVC</v>
          </cell>
        </row>
        <row r="64">
          <cell r="B64">
            <v>6160100</v>
          </cell>
          <cell r="C64" t="str">
            <v>SLS</v>
          </cell>
        </row>
        <row r="65">
          <cell r="B65">
            <v>6260100</v>
          </cell>
          <cell r="C65" t="str">
            <v>PRS</v>
          </cell>
        </row>
        <row r="66">
          <cell r="B66">
            <v>6360100</v>
          </cell>
          <cell r="C66" t="str">
            <v>SVC</v>
          </cell>
        </row>
        <row r="67">
          <cell r="B67">
            <v>6460100</v>
          </cell>
          <cell r="C67" t="str">
            <v>CE</v>
          </cell>
        </row>
        <row r="68">
          <cell r="B68">
            <v>6560100</v>
          </cell>
          <cell r="C68" t="str">
            <v>ADM</v>
          </cell>
        </row>
        <row r="69">
          <cell r="B69">
            <v>6660100</v>
          </cell>
          <cell r="C69" t="str">
            <v>FIN</v>
          </cell>
        </row>
        <row r="70">
          <cell r="B70">
            <v>6760100</v>
          </cell>
          <cell r="C70" t="str">
            <v>CX1</v>
          </cell>
        </row>
        <row r="71">
          <cell r="B71">
            <v>6560150</v>
          </cell>
          <cell r="C71" t="str">
            <v>ADM</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Instructions"/>
      <sheetName val="Sheet4"/>
    </sheetNames>
    <sheetDataSet>
      <sheetData sheetId="0" refreshError="1">
        <row r="7">
          <cell r="D7" t="str">
            <v>Last Year</v>
          </cell>
          <cell r="E7" t="str">
            <v>Period 2</v>
          </cell>
          <cell r="F7" t="str">
            <v>Period 3</v>
          </cell>
          <cell r="G7" t="str">
            <v>Period 4</v>
          </cell>
          <cell r="H7" t="str">
            <v>Period 5</v>
          </cell>
          <cell r="I7" t="str">
            <v>Period 6</v>
          </cell>
          <cell r="J7" t="str">
            <v>Period 7</v>
          </cell>
          <cell r="K7" t="str">
            <v>Period 8</v>
          </cell>
          <cell r="L7" t="str">
            <v>Period 9</v>
          </cell>
          <cell r="M7" t="str">
            <v>Period 10</v>
          </cell>
          <cell r="N7" t="str">
            <v>Period 11</v>
          </cell>
          <cell r="O7" t="str">
            <v>Period 12</v>
          </cell>
          <cell r="P7" t="str">
            <v>This Year</v>
          </cell>
          <cell r="Q7" t="str">
            <v>This Year</v>
          </cell>
        </row>
      </sheetData>
      <sheetData sheetId="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 val="Bud"/>
      <sheetName val="FX"/>
      <sheetName val="NewJDE"/>
      <sheetName val="61CoA"/>
      <sheetName val="62CoA"/>
      <sheetName val="63CoA"/>
      <sheetName val="64CoA"/>
      <sheetName val="66CoA"/>
      <sheetName val="67CoA"/>
      <sheetName val="68CoA"/>
      <sheetName val="69CoA"/>
      <sheetName val="6xCoA"/>
      <sheetName val="Global2012"/>
    </sheetNames>
    <definedNames>
      <definedName name="nr69CoA" refersTo="='69CoA'!$A$4:$O$557"/>
    </definedNames>
    <sheetDataSet>
      <sheetData sheetId="0">
        <row r="4">
          <cell r="A4" t="str">
            <v>41505</v>
          </cell>
          <cell r="B4" t="str">
            <v>RProduct</v>
          </cell>
          <cell r="C4" t="str">
            <v>A:RProduct</v>
          </cell>
          <cell r="D4" t="str">
            <v>R-Product (Mainline)</v>
          </cell>
          <cell r="E4" t="str">
            <v>A:R-Product (Mainline)</v>
          </cell>
          <cell r="G4" t="str">
            <v>RFreight</v>
          </cell>
          <cell r="J4" t="str">
            <v>LIABILITIES</v>
          </cell>
          <cell r="K4" t="str">
            <v>Non-Current Assets</v>
          </cell>
          <cell r="L4" t="str">
            <v>Investments</v>
          </cell>
          <cell r="M4" t="str">
            <v>Expensed Assets</v>
          </cell>
        </row>
        <row r="5">
          <cell r="A5" t="str">
            <v>41510</v>
          </cell>
          <cell r="B5" t="str">
            <v>RProduct</v>
          </cell>
          <cell r="C5" t="str">
            <v>A:RProduct</v>
          </cell>
          <cell r="D5" t="str">
            <v>R-Product (Mainline)</v>
          </cell>
          <cell r="E5" t="str">
            <v>A:R-Product (Mainline)</v>
          </cell>
          <cell r="G5" t="str">
            <v>RInstall</v>
          </cell>
          <cell r="J5" t="str">
            <v>EQUITY</v>
          </cell>
          <cell r="K5" t="str">
            <v>Intangibles</v>
          </cell>
          <cell r="L5" t="str">
            <v>Receivables</v>
          </cell>
          <cell r="M5" t="str">
            <v>General Accruals</v>
          </cell>
        </row>
        <row r="6">
          <cell r="A6" t="str">
            <v>43105</v>
          </cell>
          <cell r="B6" t="str">
            <v>R CS</v>
          </cell>
          <cell r="C6" t="str">
            <v>D:R CS</v>
          </cell>
          <cell r="D6" t="str">
            <v>R-CS</v>
          </cell>
          <cell r="E6" t="str">
            <v>D:R-CS</v>
          </cell>
          <cell r="G6" t="str">
            <v>R CS</v>
          </cell>
          <cell r="J6" t="str">
            <v>INCOME</v>
          </cell>
          <cell r="K6" t="str">
            <v>Current Liabilities</v>
          </cell>
          <cell r="L6" t="str">
            <v>I/C Receivables</v>
          </cell>
          <cell r="M6" t="str">
            <v>Lease Payments</v>
          </cell>
        </row>
        <row r="7">
          <cell r="A7" t="str">
            <v>43505</v>
          </cell>
          <cell r="B7" t="str">
            <v>R CS</v>
          </cell>
          <cell r="C7" t="str">
            <v>D:R CS</v>
          </cell>
          <cell r="D7" t="str">
            <v>R-CS</v>
          </cell>
          <cell r="E7" t="str">
            <v>D:R-CS</v>
          </cell>
          <cell r="G7" t="str">
            <v>R CE</v>
          </cell>
          <cell r="J7" t="str">
            <v>COGS</v>
          </cell>
          <cell r="K7" t="str">
            <v>Non-Current Liabilities</v>
          </cell>
          <cell r="L7" t="str">
            <v>Prepaid Expenses</v>
          </cell>
          <cell r="M7" t="str">
            <v>Tax Expense</v>
          </cell>
        </row>
        <row r="8">
          <cell r="A8" t="str">
            <v>43510</v>
          </cell>
          <cell r="B8" t="str">
            <v>R CS</v>
          </cell>
          <cell r="C8" t="str">
            <v>D:R CS</v>
          </cell>
          <cell r="D8" t="str">
            <v>R-CS</v>
          </cell>
          <cell r="E8" t="str">
            <v>D:R-CS</v>
          </cell>
          <cell r="G8" t="str">
            <v>R TP</v>
          </cell>
          <cell r="J8" t="str">
            <v>EXPENSES</v>
          </cell>
          <cell r="K8" t="str">
            <v>Equity</v>
          </cell>
          <cell r="L8" t="str">
            <v>Inventory</v>
          </cell>
          <cell r="M8" t="str">
            <v>Entertainment</v>
          </cell>
        </row>
        <row r="9">
          <cell r="A9" t="str">
            <v>45105</v>
          </cell>
          <cell r="B9" t="str">
            <v>R CS</v>
          </cell>
          <cell r="C9" t="str">
            <v>D:R CS</v>
          </cell>
          <cell r="D9" t="str">
            <v>R-CS</v>
          </cell>
          <cell r="E9" t="str">
            <v>D:R-CS</v>
          </cell>
          <cell r="G9" t="str">
            <v>CProduct</v>
          </cell>
          <cell r="J9" t="str">
            <v>OTHER</v>
          </cell>
          <cell r="K9" t="str">
            <v>Income</v>
          </cell>
          <cell r="L9" t="str">
            <v>Spares</v>
          </cell>
          <cell r="M9" t="str">
            <v>Amortization</v>
          </cell>
        </row>
        <row r="10">
          <cell r="A10" t="str">
            <v>45110</v>
          </cell>
          <cell r="B10" t="str">
            <v>R CS</v>
          </cell>
          <cell r="C10" t="str">
            <v>D:R CS</v>
          </cell>
          <cell r="D10" t="str">
            <v>R-CS</v>
          </cell>
          <cell r="E10" t="str">
            <v>D:R-CS</v>
          </cell>
          <cell r="G10" t="str">
            <v>CFreight</v>
          </cell>
          <cell r="K10" t="str">
            <v>Cost of Goods</v>
          </cell>
          <cell r="L10" t="str">
            <v>Fixed Assets</v>
          </cell>
          <cell r="M10" t="str">
            <v>Accrued Bonus</v>
          </cell>
        </row>
        <row r="11">
          <cell r="A11" t="str">
            <v>45115</v>
          </cell>
          <cell r="B11" t="str">
            <v>R CE</v>
          </cell>
          <cell r="C11" t="str">
            <v>E:R CE</v>
          </cell>
          <cell r="D11" t="str">
            <v>R-CE</v>
          </cell>
          <cell r="E11" t="str">
            <v>E:R-CE</v>
          </cell>
          <cell r="G11" t="str">
            <v>CInstall</v>
          </cell>
          <cell r="K11" t="str">
            <v>Expenses</v>
          </cell>
          <cell r="L11" t="str">
            <v>I/C Loan Receivable</v>
          </cell>
          <cell r="M11" t="str">
            <v>Employee Costs Provision</v>
          </cell>
        </row>
        <row r="12">
          <cell r="A12" t="str">
            <v>45120</v>
          </cell>
          <cell r="B12" t="str">
            <v>R CS</v>
          </cell>
          <cell r="C12" t="str">
            <v>D:R CS</v>
          </cell>
          <cell r="D12" t="str">
            <v>R-CS</v>
          </cell>
          <cell r="E12" t="str">
            <v>D:R-CS</v>
          </cell>
          <cell r="G12" t="str">
            <v>C TP</v>
          </cell>
          <cell r="K12" t="str">
            <v>Other Income</v>
          </cell>
          <cell r="L12" t="str">
            <v>Deposits</v>
          </cell>
          <cell r="M12" t="str">
            <v>Foreign Reserves</v>
          </cell>
        </row>
        <row r="13">
          <cell r="A13" t="str">
            <v>45125</v>
          </cell>
          <cell r="B13" t="str">
            <v>R CE</v>
          </cell>
          <cell r="C13" t="str">
            <v>E:R CE</v>
          </cell>
          <cell r="D13" t="str">
            <v>R-CE</v>
          </cell>
          <cell r="E13" t="str">
            <v>E:R-CE</v>
          </cell>
          <cell r="G13" t="str">
            <v>C Salary</v>
          </cell>
          <cell r="K13" t="str">
            <v>Other Expenses</v>
          </cell>
          <cell r="L13" t="str">
            <v>Goodwill</v>
          </cell>
          <cell r="M13" t="str">
            <v>Unrealized Currency G/L</v>
          </cell>
        </row>
        <row r="14">
          <cell r="A14" t="str">
            <v>49105</v>
          </cell>
          <cell r="B14" t="str">
            <v>R TP</v>
          </cell>
          <cell r="C14" t="str">
            <v>F:R TP</v>
          </cell>
          <cell r="D14" t="str">
            <v>Transfer Pricing</v>
          </cell>
          <cell r="E14" t="str">
            <v>K:Transfer Pricing</v>
          </cell>
          <cell r="G14" t="str">
            <v>C Incentives</v>
          </cell>
          <cell r="L14" t="str">
            <v>Payables</v>
          </cell>
          <cell r="M14" t="str">
            <v xml:space="preserve">Other  </v>
          </cell>
        </row>
        <row r="15">
          <cell r="A15" t="str">
            <v>51105</v>
          </cell>
          <cell r="B15" t="str">
            <v>CProduct</v>
          </cell>
          <cell r="C15" t="str">
            <v>G:CProduct</v>
          </cell>
          <cell r="D15" t="str">
            <v>C-Product (Mainline)</v>
          </cell>
          <cell r="E15" t="str">
            <v>G:C-Product (Mainline)</v>
          </cell>
          <cell r="G15" t="str">
            <v>C Benefits</v>
          </cell>
          <cell r="L15" t="str">
            <v>I/C Payables</v>
          </cell>
          <cell r="M15" t="str">
            <v>I/C Sales Revenue (102%)</v>
          </cell>
        </row>
        <row r="16">
          <cell r="A16" t="str">
            <v>51505</v>
          </cell>
          <cell r="B16" t="str">
            <v>CProduct</v>
          </cell>
          <cell r="C16" t="str">
            <v>G:CProduct</v>
          </cell>
          <cell r="D16" t="str">
            <v>C-Product (Mainline)</v>
          </cell>
          <cell r="E16" t="str">
            <v>G:C-Product (Mainline)</v>
          </cell>
          <cell r="G16" t="str">
            <v>C Recruitment</v>
          </cell>
          <cell r="L16" t="str">
            <v>I/C Loan Payable</v>
          </cell>
          <cell r="M16" t="str">
            <v>I/C Sales Commissions (2%)</v>
          </cell>
        </row>
        <row r="17">
          <cell r="A17" t="str">
            <v>51510</v>
          </cell>
          <cell r="B17" t="str">
            <v>CProduct</v>
          </cell>
          <cell r="C17" t="str">
            <v>G:CProduct</v>
          </cell>
          <cell r="D17" t="str">
            <v>C-Product (Mainline)</v>
          </cell>
          <cell r="E17" t="str">
            <v>G:C-Product (Mainline)</v>
          </cell>
          <cell r="G17" t="str">
            <v>C Training</v>
          </cell>
          <cell r="L17" t="str">
            <v>Accrued Expenses</v>
          </cell>
          <cell r="M17" t="str">
            <v>I/C Service Revenue (60%)</v>
          </cell>
        </row>
        <row r="18">
          <cell r="A18" t="str">
            <v>59105</v>
          </cell>
          <cell r="B18" t="str">
            <v>C TP</v>
          </cell>
          <cell r="C18" t="str">
            <v>J:C TP</v>
          </cell>
          <cell r="D18" t="str">
            <v>Transfer Pricing</v>
          </cell>
          <cell r="E18" t="str">
            <v>K:Transfer Pricing</v>
          </cell>
          <cell r="G18" t="str">
            <v>C Travel</v>
          </cell>
          <cell r="L18" t="str">
            <v>ST Lease Liability</v>
          </cell>
          <cell r="M18" t="str">
            <v>3rd Party Revenue</v>
          </cell>
        </row>
        <row r="19">
          <cell r="A19" t="str">
            <v>61105</v>
          </cell>
          <cell r="B19" t="str">
            <v>C Salary</v>
          </cell>
          <cell r="C19" t="str">
            <v>K:C Salary</v>
          </cell>
          <cell r="D19" t="str">
            <v>Labor</v>
          </cell>
          <cell r="E19" t="str">
            <v>L:Labor</v>
          </cell>
          <cell r="G19" t="str">
            <v>C Supplies</v>
          </cell>
          <cell r="L19" t="str">
            <v>Income Tax Liability</v>
          </cell>
          <cell r="M19" t="str">
            <v>Management Fees</v>
          </cell>
        </row>
        <row r="20">
          <cell r="A20" t="str">
            <v>61110</v>
          </cell>
          <cell r="B20" t="str">
            <v>C Salary</v>
          </cell>
          <cell r="C20" t="str">
            <v>K:C Salary</v>
          </cell>
          <cell r="D20" t="str">
            <v>Labor</v>
          </cell>
          <cell r="E20" t="str">
            <v>L:Labor</v>
          </cell>
          <cell r="G20" t="str">
            <v>C Software</v>
          </cell>
          <cell r="L20" t="str">
            <v>Employee Provisions</v>
          </cell>
          <cell r="M20" t="str">
            <v>Royalties</v>
          </cell>
        </row>
        <row r="21">
          <cell r="A21" t="str">
            <v>61115</v>
          </cell>
          <cell r="B21" t="str">
            <v>C Salary</v>
          </cell>
          <cell r="C21" t="str">
            <v>K:C Salary</v>
          </cell>
          <cell r="D21" t="str">
            <v>Labor</v>
          </cell>
          <cell r="E21" t="str">
            <v>L:Labor</v>
          </cell>
          <cell r="G21" t="str">
            <v>C Spares</v>
          </cell>
          <cell r="L21" t="str">
            <v>Other Provisions</v>
          </cell>
          <cell r="M21" t="str">
            <v>Technical Service Fees</v>
          </cell>
        </row>
        <row r="22">
          <cell r="A22" t="str">
            <v>61120</v>
          </cell>
          <cell r="B22" t="str">
            <v>C Salary</v>
          </cell>
          <cell r="C22" t="str">
            <v>K:C Salary</v>
          </cell>
          <cell r="D22" t="str">
            <v>Labor</v>
          </cell>
          <cell r="E22" t="str">
            <v>L:Labor</v>
          </cell>
          <cell r="G22" t="str">
            <v>C Marketing</v>
          </cell>
          <cell r="L22" t="str">
            <v>LT Lease Liability</v>
          </cell>
        </row>
        <row r="23">
          <cell r="A23" t="str">
            <v>61125</v>
          </cell>
          <cell r="B23" t="str">
            <v>C Salary</v>
          </cell>
          <cell r="C23" t="str">
            <v>K:C Salary</v>
          </cell>
          <cell r="D23" t="str">
            <v>Labor</v>
          </cell>
          <cell r="E23" t="str">
            <v>L:Labor</v>
          </cell>
          <cell r="G23" t="str">
            <v>C Outside Services</v>
          </cell>
          <cell r="L23" t="str">
            <v>Deferred Revenue</v>
          </cell>
        </row>
        <row r="24">
          <cell r="A24" t="str">
            <v>61130</v>
          </cell>
          <cell r="B24" t="str">
            <v>C Salary</v>
          </cell>
          <cell r="C24" t="str">
            <v>K:C Salary</v>
          </cell>
          <cell r="D24" t="str">
            <v>Labor</v>
          </cell>
          <cell r="E24" t="str">
            <v>L:Labor</v>
          </cell>
          <cell r="G24" t="str">
            <v>C Depreciation</v>
          </cell>
          <cell r="L24" t="str">
            <v>Share Capital</v>
          </cell>
        </row>
        <row r="25">
          <cell r="A25" t="str">
            <v>61135</v>
          </cell>
          <cell r="B25" t="str">
            <v>C Salary</v>
          </cell>
          <cell r="C25" t="str">
            <v>K:C Salary</v>
          </cell>
          <cell r="D25" t="str">
            <v>Labor</v>
          </cell>
          <cell r="E25" t="str">
            <v>L:Labor</v>
          </cell>
          <cell r="G25" t="str">
            <v>C Building</v>
          </cell>
          <cell r="L25" t="str">
            <v>Retained Earnings</v>
          </cell>
        </row>
        <row r="26">
          <cell r="A26" t="str">
            <v>61305</v>
          </cell>
          <cell r="B26" t="str">
            <v>C Salary</v>
          </cell>
          <cell r="C26" t="str">
            <v>K:C Salary</v>
          </cell>
          <cell r="D26" t="str">
            <v>Labor</v>
          </cell>
          <cell r="E26" t="str">
            <v>L:Labor</v>
          </cell>
          <cell r="G26" t="str">
            <v>C Utilities</v>
          </cell>
          <cell r="L26" t="str">
            <v>Cray Product Revenue</v>
          </cell>
        </row>
        <row r="27">
          <cell r="A27" t="str">
            <v>61505</v>
          </cell>
          <cell r="B27" t="str">
            <v>C Incentives</v>
          </cell>
          <cell r="C27" t="str">
            <v>L:C Incentives</v>
          </cell>
          <cell r="D27" t="str">
            <v>Incentives</v>
          </cell>
          <cell r="E27" t="str">
            <v>M:Incentives</v>
          </cell>
          <cell r="G27" t="str">
            <v>C Insurance/Taxes</v>
          </cell>
          <cell r="L27" t="str">
            <v>3P Product Revenue</v>
          </cell>
        </row>
        <row r="28">
          <cell r="A28" t="str">
            <v>61510</v>
          </cell>
          <cell r="B28" t="str">
            <v>C Incentives</v>
          </cell>
          <cell r="C28" t="str">
            <v>L:C Incentives</v>
          </cell>
          <cell r="D28" t="str">
            <v>Incentives</v>
          </cell>
          <cell r="E28" t="str">
            <v>M:Incentives</v>
          </cell>
          <cell r="G28" t="str">
            <v>C Misc</v>
          </cell>
          <cell r="L28" t="str">
            <v>Service Revenue</v>
          </cell>
        </row>
        <row r="29">
          <cell r="A29" t="str">
            <v>61515</v>
          </cell>
          <cell r="B29" t="str">
            <v>C Incentives</v>
          </cell>
          <cell r="C29" t="str">
            <v>L:C Incentives</v>
          </cell>
          <cell r="D29" t="str">
            <v>Incentives</v>
          </cell>
          <cell r="E29" t="str">
            <v>M:Incentives</v>
          </cell>
          <cell r="G29" t="str">
            <v>C Allocation</v>
          </cell>
          <cell r="L29" t="str">
            <v>PS Revenue</v>
          </cell>
        </row>
        <row r="30">
          <cell r="A30" t="str">
            <v>63105</v>
          </cell>
          <cell r="B30" t="str">
            <v>C Benefits</v>
          </cell>
          <cell r="C30" t="str">
            <v>M:C Benefits</v>
          </cell>
          <cell r="D30" t="str">
            <v>Labor</v>
          </cell>
          <cell r="E30" t="str">
            <v>L:Labor</v>
          </cell>
          <cell r="G30" t="str">
            <v>C Recharges</v>
          </cell>
          <cell r="L30" t="str">
            <v>I/C Service Revenue</v>
          </cell>
        </row>
        <row r="31">
          <cell r="A31" t="str">
            <v>63110</v>
          </cell>
          <cell r="B31" t="str">
            <v>C Benefits</v>
          </cell>
          <cell r="C31" t="str">
            <v>M:C Benefits</v>
          </cell>
          <cell r="D31" t="str">
            <v>Labor</v>
          </cell>
          <cell r="E31" t="str">
            <v>L:Labor</v>
          </cell>
          <cell r="G31" t="str">
            <v>C BS Transfer</v>
          </cell>
          <cell r="L31" t="str">
            <v>I/C Product Commission</v>
          </cell>
        </row>
        <row r="32">
          <cell r="A32" t="str">
            <v>63115</v>
          </cell>
          <cell r="B32" t="str">
            <v>C Benefits</v>
          </cell>
          <cell r="C32" t="str">
            <v>M:C Benefits</v>
          </cell>
          <cell r="D32" t="str">
            <v>Labor</v>
          </cell>
          <cell r="E32" t="str">
            <v>L:Labor</v>
          </cell>
          <cell r="G32" t="str">
            <v>Interest</v>
          </cell>
          <cell r="L32" t="str">
            <v>I/C Sales Expense Commission</v>
          </cell>
        </row>
        <row r="33">
          <cell r="A33" t="str">
            <v>63120</v>
          </cell>
          <cell r="B33" t="str">
            <v>C Benefits</v>
          </cell>
          <cell r="C33" t="str">
            <v>M:C Benefits</v>
          </cell>
          <cell r="D33" t="str">
            <v>Labor</v>
          </cell>
          <cell r="E33" t="str">
            <v>L:Labor</v>
          </cell>
          <cell r="G33" t="str">
            <v>Interest-I/C</v>
          </cell>
          <cell r="L33" t="str">
            <v>I/C Administration Revenue</v>
          </cell>
        </row>
        <row r="34">
          <cell r="A34" t="str">
            <v>63125</v>
          </cell>
          <cell r="B34" t="str">
            <v>C Benefits</v>
          </cell>
          <cell r="C34" t="str">
            <v>M:C Benefits</v>
          </cell>
          <cell r="D34" t="str">
            <v>Labor</v>
          </cell>
          <cell r="E34" t="str">
            <v>L:Labor</v>
          </cell>
          <cell r="G34" t="str">
            <v>FX</v>
          </cell>
          <cell r="L34" t="str">
            <v>Cray Product Cost</v>
          </cell>
        </row>
        <row r="35">
          <cell r="A35" t="str">
            <v>63130</v>
          </cell>
          <cell r="B35" t="str">
            <v>C Benefits</v>
          </cell>
          <cell r="C35" t="str">
            <v>M:C Benefits</v>
          </cell>
          <cell r="D35" t="str">
            <v>Labor</v>
          </cell>
          <cell r="E35" t="str">
            <v>L:Labor</v>
          </cell>
          <cell r="G35" t="str">
            <v>Other Inc</v>
          </cell>
          <cell r="L35" t="str">
            <v>3P Product Cost</v>
          </cell>
        </row>
        <row r="36">
          <cell r="A36" t="str">
            <v>63135</v>
          </cell>
          <cell r="B36" t="str">
            <v>C Benefits</v>
          </cell>
          <cell r="C36" t="str">
            <v>M:C Benefits</v>
          </cell>
          <cell r="D36" t="str">
            <v>Labor</v>
          </cell>
          <cell r="E36" t="str">
            <v>L:Labor</v>
          </cell>
          <cell r="G36" t="str">
            <v>Restructure</v>
          </cell>
          <cell r="L36" t="str">
            <v>Service Contract Costs</v>
          </cell>
        </row>
        <row r="37">
          <cell r="A37" t="str">
            <v>63140</v>
          </cell>
          <cell r="B37" t="str">
            <v>C Benefits</v>
          </cell>
          <cell r="C37" t="str">
            <v>M:C Benefits</v>
          </cell>
          <cell r="D37" t="str">
            <v>Labor</v>
          </cell>
          <cell r="E37" t="str">
            <v>L:Labor</v>
          </cell>
          <cell r="G37" t="str">
            <v>Other Exp</v>
          </cell>
          <cell r="L37" t="str">
            <v>I/C Administration Expense</v>
          </cell>
        </row>
        <row r="38">
          <cell r="A38" t="str">
            <v>63145</v>
          </cell>
          <cell r="B38" t="str">
            <v>C Benefits</v>
          </cell>
          <cell r="C38" t="str">
            <v>M:C Benefits</v>
          </cell>
          <cell r="D38" t="str">
            <v>Labor</v>
          </cell>
          <cell r="E38" t="str">
            <v>L:Labor</v>
          </cell>
          <cell r="G38" t="str">
            <v>Taxes</v>
          </cell>
          <cell r="L38" t="str">
            <v>I/C Technical Service Fee</v>
          </cell>
        </row>
        <row r="39">
          <cell r="A39" t="str">
            <v>63150</v>
          </cell>
          <cell r="B39" t="str">
            <v>C Benefits</v>
          </cell>
          <cell r="C39" t="str">
            <v>M:C Benefits</v>
          </cell>
          <cell r="D39" t="str">
            <v>Labor</v>
          </cell>
          <cell r="E39" t="str">
            <v>L:Labor</v>
          </cell>
          <cell r="G39" t="str">
            <v>Asset Disp</v>
          </cell>
          <cell r="L39" t="str">
            <v>I/C Management Fee</v>
          </cell>
        </row>
        <row r="40">
          <cell r="A40" t="str">
            <v>63155</v>
          </cell>
          <cell r="B40" t="str">
            <v>C Benefits</v>
          </cell>
          <cell r="C40" t="str">
            <v>M:C Benefits</v>
          </cell>
          <cell r="D40" t="str">
            <v>Labor</v>
          </cell>
          <cell r="E40" t="str">
            <v>L:Labor</v>
          </cell>
          <cell r="L40" t="str">
            <v>I/C Royalty Fee</v>
          </cell>
        </row>
        <row r="41">
          <cell r="A41" t="str">
            <v>63160</v>
          </cell>
          <cell r="B41" t="str">
            <v>C Benefits</v>
          </cell>
          <cell r="C41" t="str">
            <v>M:C Benefits</v>
          </cell>
          <cell r="D41" t="str">
            <v>Labor</v>
          </cell>
          <cell r="E41" t="str">
            <v>L:Labor</v>
          </cell>
          <cell r="L41" t="str">
            <v>Salaries</v>
          </cell>
        </row>
        <row r="42">
          <cell r="A42" t="str">
            <v>63505</v>
          </cell>
          <cell r="B42" t="str">
            <v>C Recruitment</v>
          </cell>
          <cell r="C42" t="str">
            <v>N:C Recruitment</v>
          </cell>
          <cell r="D42" t="str">
            <v>Labor</v>
          </cell>
          <cell r="E42" t="str">
            <v>L:Labor</v>
          </cell>
          <cell r="G42" t="str">
            <v>R-Product (Mainline)</v>
          </cell>
          <cell r="L42" t="str">
            <v>Benefits</v>
          </cell>
        </row>
        <row r="43">
          <cell r="A43" t="str">
            <v>63515</v>
          </cell>
          <cell r="B43" t="str">
            <v>C Recruitment</v>
          </cell>
          <cell r="C43" t="str">
            <v>N:C Recruitment</v>
          </cell>
          <cell r="D43" t="str">
            <v>Labor</v>
          </cell>
          <cell r="E43" t="str">
            <v>L:Labor</v>
          </cell>
          <cell r="G43" t="str">
            <v>R-Product (CX)</v>
          </cell>
          <cell r="L43" t="str">
            <v>Training</v>
          </cell>
        </row>
        <row r="44">
          <cell r="A44" t="str">
            <v>63520</v>
          </cell>
          <cell r="B44" t="str">
            <v>C Training</v>
          </cell>
          <cell r="C44" t="str">
            <v>O:C Training</v>
          </cell>
          <cell r="D44" t="str">
            <v>Labor</v>
          </cell>
          <cell r="E44" t="str">
            <v>L:Labor</v>
          </cell>
          <cell r="G44" t="str">
            <v>R-Product (CE)</v>
          </cell>
          <cell r="L44" t="str">
            <v>Travel</v>
          </cell>
        </row>
        <row r="45">
          <cell r="A45" t="str">
            <v>63525</v>
          </cell>
          <cell r="B45" t="str">
            <v>C Training</v>
          </cell>
          <cell r="C45" t="str">
            <v>O:C Training</v>
          </cell>
          <cell r="D45" t="str">
            <v>Labor</v>
          </cell>
          <cell r="E45" t="str">
            <v>L:Labor</v>
          </cell>
          <cell r="G45" t="str">
            <v>R-CS</v>
          </cell>
          <cell r="L45" t="str">
            <v>Supplies</v>
          </cell>
        </row>
        <row r="46">
          <cell r="A46" t="str">
            <v>63530</v>
          </cell>
          <cell r="B46" t="str">
            <v>C Training</v>
          </cell>
          <cell r="C46" t="str">
            <v>O:C Training</v>
          </cell>
          <cell r="D46" t="str">
            <v>Labor</v>
          </cell>
          <cell r="E46" t="str">
            <v>L:Labor</v>
          </cell>
          <cell r="G46" t="str">
            <v>R-CE</v>
          </cell>
          <cell r="L46" t="str">
            <v>Marketing</v>
          </cell>
        </row>
        <row r="47">
          <cell r="A47" t="str">
            <v>63535</v>
          </cell>
          <cell r="B47" t="str">
            <v>C Training</v>
          </cell>
          <cell r="C47" t="str">
            <v>O:C Training</v>
          </cell>
          <cell r="D47" t="str">
            <v>Labor</v>
          </cell>
          <cell r="E47" t="str">
            <v>L:Labor</v>
          </cell>
          <cell r="G47" t="str">
            <v>R-InterCo</v>
          </cell>
          <cell r="L47" t="str">
            <v>Outside Services</v>
          </cell>
        </row>
        <row r="48">
          <cell r="A48" t="str">
            <v>63540</v>
          </cell>
          <cell r="B48" t="str">
            <v>C Training</v>
          </cell>
          <cell r="C48" t="str">
            <v>O:C Training</v>
          </cell>
          <cell r="D48" t="str">
            <v>Labor</v>
          </cell>
          <cell r="E48" t="str">
            <v>L:Labor</v>
          </cell>
          <cell r="G48" t="str">
            <v>C-Product (Mainline)</v>
          </cell>
          <cell r="L48" t="str">
            <v>Depreciation</v>
          </cell>
        </row>
        <row r="49">
          <cell r="A49" t="str">
            <v>63545</v>
          </cell>
          <cell r="B49" t="str">
            <v>C Training</v>
          </cell>
          <cell r="C49" t="str">
            <v>O:C Training</v>
          </cell>
          <cell r="D49" t="str">
            <v>Labor</v>
          </cell>
          <cell r="E49" t="str">
            <v>L:Labor</v>
          </cell>
          <cell r="G49" t="str">
            <v>C-Product (CX)</v>
          </cell>
          <cell r="L49" t="str">
            <v>Buildings/Comms/Postage</v>
          </cell>
        </row>
        <row r="50">
          <cell r="A50" t="str">
            <v>63550</v>
          </cell>
          <cell r="B50" t="str">
            <v>C Training</v>
          </cell>
          <cell r="C50" t="str">
            <v>O:C Training</v>
          </cell>
          <cell r="D50" t="str">
            <v>Labor</v>
          </cell>
          <cell r="E50" t="str">
            <v>L:Labor</v>
          </cell>
          <cell r="G50" t="str">
            <v>C-Product (CE)</v>
          </cell>
          <cell r="L50" t="str">
            <v>I/C Recharges</v>
          </cell>
        </row>
        <row r="51">
          <cell r="A51" t="str">
            <v>65105</v>
          </cell>
          <cell r="B51" t="str">
            <v>C Travel</v>
          </cell>
          <cell r="C51" t="str">
            <v>P:C Travel</v>
          </cell>
          <cell r="D51" t="str">
            <v>Travel</v>
          </cell>
          <cell r="E51" t="str">
            <v>N:Travel</v>
          </cell>
          <cell r="G51" t="str">
            <v>C-InterCo</v>
          </cell>
          <cell r="L51" t="str">
            <v>Internal Admin Allocation</v>
          </cell>
        </row>
        <row r="52">
          <cell r="A52" t="str">
            <v>65110</v>
          </cell>
          <cell r="B52" t="str">
            <v>C Travel</v>
          </cell>
          <cell r="C52" t="str">
            <v>P:C Travel</v>
          </cell>
          <cell r="D52" t="str">
            <v>Travel</v>
          </cell>
          <cell r="E52" t="str">
            <v>N:Travel</v>
          </cell>
          <cell r="G52" t="str">
            <v>Transfer Pricing</v>
          </cell>
          <cell r="L52" t="str">
            <v>Restructure Costs</v>
          </cell>
        </row>
        <row r="53">
          <cell r="A53" t="str">
            <v>65115</v>
          </cell>
          <cell r="B53" t="str">
            <v>C Travel</v>
          </cell>
          <cell r="C53" t="str">
            <v>P:C Travel</v>
          </cell>
          <cell r="D53" t="str">
            <v>Travel</v>
          </cell>
          <cell r="E53" t="str">
            <v>N:Travel</v>
          </cell>
          <cell r="G53" t="str">
            <v>Labor</v>
          </cell>
          <cell r="L53" t="str">
            <v>Other (Income)/Expense</v>
          </cell>
        </row>
        <row r="54">
          <cell r="A54" t="str">
            <v>65120</v>
          </cell>
          <cell r="B54" t="str">
            <v>C Travel</v>
          </cell>
          <cell r="C54" t="str">
            <v>P:C Travel</v>
          </cell>
          <cell r="D54" t="str">
            <v>Travel</v>
          </cell>
          <cell r="E54" t="str">
            <v>N:Travel</v>
          </cell>
          <cell r="G54" t="str">
            <v>Incentives</v>
          </cell>
          <cell r="L54" t="str">
            <v>FX (Gains)/Losses</v>
          </cell>
        </row>
        <row r="55">
          <cell r="A55" t="str">
            <v>65125</v>
          </cell>
          <cell r="B55" t="str">
            <v>C Travel</v>
          </cell>
          <cell r="C55" t="str">
            <v>P:C Travel</v>
          </cell>
          <cell r="D55" t="str">
            <v>Travel</v>
          </cell>
          <cell r="E55" t="str">
            <v>N:Travel</v>
          </cell>
          <cell r="G55" t="str">
            <v>Travel</v>
          </cell>
          <cell r="L55" t="str">
            <v>Prior Period (Income)/Expense</v>
          </cell>
        </row>
        <row r="56">
          <cell r="A56" t="str">
            <v>65130</v>
          </cell>
          <cell r="B56" t="str">
            <v>C Travel</v>
          </cell>
          <cell r="C56" t="str">
            <v>P:C Travel</v>
          </cell>
          <cell r="D56" t="str">
            <v>Travel</v>
          </cell>
          <cell r="E56" t="str">
            <v>N:Travel</v>
          </cell>
          <cell r="G56" t="str">
            <v>Supplies</v>
          </cell>
          <cell r="L56" t="str">
            <v>Interest (Income)/Expense</v>
          </cell>
        </row>
        <row r="57">
          <cell r="A57" t="str">
            <v>65135</v>
          </cell>
          <cell r="B57" t="str">
            <v>C Travel</v>
          </cell>
          <cell r="C57" t="str">
            <v>P:C Travel</v>
          </cell>
          <cell r="D57" t="str">
            <v>Travel</v>
          </cell>
          <cell r="E57" t="str">
            <v>N:Travel</v>
          </cell>
          <cell r="G57" t="str">
            <v>Contract Services</v>
          </cell>
          <cell r="L57" t="str">
            <v>I/C Interest (Income)/Expense</v>
          </cell>
        </row>
        <row r="58">
          <cell r="A58" t="str">
            <v>65140</v>
          </cell>
          <cell r="B58" t="str">
            <v>C Travel</v>
          </cell>
          <cell r="C58" t="str">
            <v>P:C Travel</v>
          </cell>
          <cell r="D58" t="str">
            <v>Travel</v>
          </cell>
          <cell r="E58" t="str">
            <v>N:Travel</v>
          </cell>
          <cell r="G58" t="str">
            <v>Depreciation</v>
          </cell>
          <cell r="L58" t="str">
            <v>Income Tax Expense</v>
          </cell>
        </row>
        <row r="59">
          <cell r="A59" t="str">
            <v>65145</v>
          </cell>
          <cell r="B59" t="str">
            <v>C Travel</v>
          </cell>
          <cell r="C59" t="str">
            <v>P:C Travel</v>
          </cell>
          <cell r="D59" t="str">
            <v>Travel</v>
          </cell>
          <cell r="E59" t="str">
            <v>N:Travel</v>
          </cell>
          <cell r="G59" t="str">
            <v>Facilities</v>
          </cell>
        </row>
        <row r="60">
          <cell r="A60" t="str">
            <v>71105</v>
          </cell>
          <cell r="B60" t="str">
            <v>C Supplies</v>
          </cell>
          <cell r="C60" t="str">
            <v>Q:C Supplies</v>
          </cell>
          <cell r="D60" t="str">
            <v>Supplies</v>
          </cell>
          <cell r="E60" t="str">
            <v>O:Supplies</v>
          </cell>
          <cell r="G60" t="str">
            <v>Other</v>
          </cell>
        </row>
        <row r="61">
          <cell r="A61" t="str">
            <v>71110</v>
          </cell>
          <cell r="B61" t="str">
            <v>C Supplies</v>
          </cell>
          <cell r="C61" t="str">
            <v>Q:C Supplies</v>
          </cell>
          <cell r="D61" t="str">
            <v>Supplies</v>
          </cell>
          <cell r="E61" t="str">
            <v>O:Supplies</v>
          </cell>
          <cell r="G61" t="str">
            <v>Recharges</v>
          </cell>
        </row>
        <row r="62">
          <cell r="A62" t="str">
            <v>71115</v>
          </cell>
          <cell r="B62" t="str">
            <v>C Supplies</v>
          </cell>
          <cell r="C62" t="str">
            <v>Q:C Supplies</v>
          </cell>
          <cell r="D62" t="str">
            <v>Supplies</v>
          </cell>
          <cell r="E62" t="str">
            <v>O:Supplies</v>
          </cell>
          <cell r="G62" t="str">
            <v>Allocations</v>
          </cell>
        </row>
        <row r="63">
          <cell r="A63" t="str">
            <v>71120</v>
          </cell>
          <cell r="B63" t="str">
            <v>C Supplies</v>
          </cell>
          <cell r="C63" t="str">
            <v>Q:C Supplies</v>
          </cell>
          <cell r="D63" t="str">
            <v>Supplies</v>
          </cell>
          <cell r="E63" t="str">
            <v>O:Supplies</v>
          </cell>
          <cell r="G63" t="str">
            <v>Non Operating Inc/(Exp)</v>
          </cell>
        </row>
        <row r="64">
          <cell r="A64" t="str">
            <v>71305</v>
          </cell>
          <cell r="B64" t="str">
            <v>C Spares</v>
          </cell>
          <cell r="C64" t="str">
            <v>S:C Spares</v>
          </cell>
          <cell r="D64" t="str">
            <v>Supplies</v>
          </cell>
          <cell r="E64" t="str">
            <v>O:Supplies</v>
          </cell>
          <cell r="G64" t="str">
            <v>I/C Non Operating Inc/(Exp)</v>
          </cell>
        </row>
        <row r="65">
          <cell r="A65" t="str">
            <v>71310</v>
          </cell>
          <cell r="B65" t="str">
            <v>C Spares</v>
          </cell>
          <cell r="C65" t="str">
            <v>S:C Spares</v>
          </cell>
          <cell r="D65" t="str">
            <v>Supplies</v>
          </cell>
          <cell r="E65" t="str">
            <v>O:Supplies</v>
          </cell>
          <cell r="G65" t="str">
            <v>Taxes</v>
          </cell>
        </row>
        <row r="66">
          <cell r="A66" t="str">
            <v>71315</v>
          </cell>
          <cell r="B66" t="str">
            <v>C Spares</v>
          </cell>
          <cell r="C66" t="str">
            <v>S:C Spares</v>
          </cell>
          <cell r="D66" t="str">
            <v>Supplies</v>
          </cell>
          <cell r="E66" t="str">
            <v>O:Supplies</v>
          </cell>
        </row>
        <row r="67">
          <cell r="A67" t="str">
            <v>71320</v>
          </cell>
          <cell r="B67" t="str">
            <v>C Spares</v>
          </cell>
          <cell r="C67" t="str">
            <v>S:C Spares</v>
          </cell>
          <cell r="D67" t="str">
            <v>Supplies</v>
          </cell>
          <cell r="E67" t="str">
            <v>O:Supplies</v>
          </cell>
        </row>
        <row r="68">
          <cell r="A68" t="str">
            <v>71325</v>
          </cell>
          <cell r="B68" t="str">
            <v>C Spares</v>
          </cell>
          <cell r="C68" t="str">
            <v>S:C Spares</v>
          </cell>
          <cell r="D68" t="str">
            <v>Supplies</v>
          </cell>
          <cell r="E68" t="str">
            <v>O:Supplies</v>
          </cell>
        </row>
        <row r="69">
          <cell r="A69" t="str">
            <v>71330</v>
          </cell>
          <cell r="B69" t="str">
            <v>C Spares</v>
          </cell>
          <cell r="C69" t="str">
            <v>S:C Spares</v>
          </cell>
          <cell r="D69" t="str">
            <v>Supplies</v>
          </cell>
          <cell r="E69" t="str">
            <v>O:Supplies</v>
          </cell>
        </row>
        <row r="70">
          <cell r="A70" t="str">
            <v>71335</v>
          </cell>
          <cell r="B70" t="str">
            <v>C Spares</v>
          </cell>
          <cell r="C70" t="str">
            <v>S:C Spares</v>
          </cell>
          <cell r="D70" t="str">
            <v>Supplies</v>
          </cell>
          <cell r="E70" t="str">
            <v>O:Supplies</v>
          </cell>
        </row>
        <row r="71">
          <cell r="A71" t="str">
            <v>71340</v>
          </cell>
          <cell r="B71" t="str">
            <v>C Spares</v>
          </cell>
          <cell r="C71" t="str">
            <v>S:C Spares</v>
          </cell>
          <cell r="D71" t="str">
            <v>Supplies</v>
          </cell>
          <cell r="E71" t="str">
            <v>O:Supplies</v>
          </cell>
        </row>
        <row r="72">
          <cell r="A72" t="str">
            <v>71505</v>
          </cell>
          <cell r="B72" t="str">
            <v>C Software</v>
          </cell>
          <cell r="C72" t="str">
            <v>R:C Software</v>
          </cell>
          <cell r="D72" t="str">
            <v>Supplies</v>
          </cell>
          <cell r="E72" t="str">
            <v>O:Supplies</v>
          </cell>
        </row>
        <row r="73">
          <cell r="A73" t="str">
            <v>71510</v>
          </cell>
          <cell r="B73" t="str">
            <v>C Software</v>
          </cell>
          <cell r="C73" t="str">
            <v>R:C Software</v>
          </cell>
          <cell r="D73" t="str">
            <v>Supplies</v>
          </cell>
          <cell r="E73" t="str">
            <v>O:Supplies</v>
          </cell>
        </row>
        <row r="74">
          <cell r="A74" t="str">
            <v>73105</v>
          </cell>
          <cell r="B74" t="str">
            <v>C Marketing</v>
          </cell>
          <cell r="C74" t="str">
            <v>T:C Marketing</v>
          </cell>
          <cell r="D74" t="str">
            <v>Contract Services</v>
          </cell>
          <cell r="E74" t="str">
            <v>P:Contract Services</v>
          </cell>
        </row>
        <row r="75">
          <cell r="A75" t="str">
            <v>73110</v>
          </cell>
          <cell r="B75" t="str">
            <v>C Marketing</v>
          </cell>
          <cell r="C75" t="str">
            <v>T:C Marketing</v>
          </cell>
          <cell r="D75" t="str">
            <v>Contract Services</v>
          </cell>
          <cell r="E75" t="str">
            <v>P:Contract Services</v>
          </cell>
        </row>
        <row r="76">
          <cell r="A76" t="str">
            <v>73115</v>
          </cell>
          <cell r="B76" t="str">
            <v>C Marketing</v>
          </cell>
          <cell r="C76" t="str">
            <v>T:C Marketing</v>
          </cell>
          <cell r="D76" t="str">
            <v>Contract Services</v>
          </cell>
          <cell r="E76" t="str">
            <v>P:Contract Services</v>
          </cell>
        </row>
        <row r="77">
          <cell r="A77" t="str">
            <v>73120</v>
          </cell>
          <cell r="B77" t="str">
            <v>C Marketing</v>
          </cell>
          <cell r="C77" t="str">
            <v>T:C Marketing</v>
          </cell>
          <cell r="D77" t="str">
            <v>Contract Services</v>
          </cell>
          <cell r="E77" t="str">
            <v>P:Contract Services</v>
          </cell>
        </row>
        <row r="78">
          <cell r="A78" t="str">
            <v>73125</v>
          </cell>
          <cell r="B78" t="str">
            <v>C Marketing</v>
          </cell>
          <cell r="C78" t="str">
            <v>T:C Marketing</v>
          </cell>
          <cell r="D78" t="str">
            <v>Contract Services</v>
          </cell>
          <cell r="E78" t="str">
            <v>P:Contract Services</v>
          </cell>
        </row>
        <row r="79">
          <cell r="A79" t="str">
            <v>73130</v>
          </cell>
          <cell r="B79" t="str">
            <v>C Marketing</v>
          </cell>
          <cell r="C79" t="str">
            <v>T:C Marketing</v>
          </cell>
          <cell r="D79" t="str">
            <v>Contract Services</v>
          </cell>
          <cell r="E79" t="str">
            <v>P:Contract Services</v>
          </cell>
        </row>
        <row r="80">
          <cell r="A80" t="str">
            <v>75105</v>
          </cell>
          <cell r="B80" t="str">
            <v>C Outside Services</v>
          </cell>
          <cell r="C80" t="str">
            <v>U:C Outside Services</v>
          </cell>
          <cell r="D80" t="str">
            <v>Contract Services</v>
          </cell>
          <cell r="E80" t="str">
            <v>P:Contract Services</v>
          </cell>
        </row>
        <row r="81">
          <cell r="A81" t="str">
            <v>75110</v>
          </cell>
          <cell r="B81" t="str">
            <v>C Outside Services</v>
          </cell>
          <cell r="C81" t="str">
            <v>U:C Outside Services</v>
          </cell>
          <cell r="D81" t="str">
            <v>Contract Services</v>
          </cell>
          <cell r="E81" t="str">
            <v>P:Contract Services</v>
          </cell>
        </row>
        <row r="82">
          <cell r="A82" t="str">
            <v>75115</v>
          </cell>
          <cell r="B82" t="str">
            <v>C Outside Services</v>
          </cell>
          <cell r="C82" t="str">
            <v>U:C Outside Services</v>
          </cell>
          <cell r="D82" t="str">
            <v>Contract Services</v>
          </cell>
          <cell r="E82" t="str">
            <v>P:Contract Services</v>
          </cell>
        </row>
        <row r="83">
          <cell r="A83" t="str">
            <v>75120</v>
          </cell>
          <cell r="B83" t="str">
            <v>C Outside Services</v>
          </cell>
          <cell r="C83" t="str">
            <v>U:C Outside Services</v>
          </cell>
          <cell r="D83" t="str">
            <v>Contract Services</v>
          </cell>
          <cell r="E83" t="str">
            <v>P:Contract Services</v>
          </cell>
        </row>
        <row r="84">
          <cell r="A84" t="str">
            <v>75125</v>
          </cell>
          <cell r="B84" t="str">
            <v>C Outside Services</v>
          </cell>
          <cell r="C84" t="str">
            <v>U:C Outside Services</v>
          </cell>
          <cell r="D84" t="str">
            <v>Contract Services</v>
          </cell>
          <cell r="E84" t="str">
            <v>P:Contract Services</v>
          </cell>
        </row>
        <row r="85">
          <cell r="A85" t="str">
            <v>75130</v>
          </cell>
          <cell r="B85" t="str">
            <v>C Outside Services</v>
          </cell>
          <cell r="C85" t="str">
            <v>U:C Outside Services</v>
          </cell>
          <cell r="D85" t="str">
            <v>Contract Services</v>
          </cell>
          <cell r="E85" t="str">
            <v>P:Contract Services</v>
          </cell>
        </row>
        <row r="86">
          <cell r="A86" t="str">
            <v>75135</v>
          </cell>
          <cell r="B86" t="str">
            <v>C Outside Services</v>
          </cell>
          <cell r="C86" t="str">
            <v>U:C Outside Services</v>
          </cell>
          <cell r="D86" t="str">
            <v>Contract Services</v>
          </cell>
          <cell r="E86" t="str">
            <v>P:Contract Services</v>
          </cell>
        </row>
        <row r="87">
          <cell r="A87" t="str">
            <v>75140</v>
          </cell>
          <cell r="B87" t="str">
            <v>C Outside Services</v>
          </cell>
          <cell r="C87" t="str">
            <v>U:C Outside Services</v>
          </cell>
          <cell r="D87" t="str">
            <v>Contract Services</v>
          </cell>
          <cell r="E87" t="str">
            <v>P:Contract Services</v>
          </cell>
        </row>
        <row r="88">
          <cell r="A88" t="str">
            <v>75145</v>
          </cell>
          <cell r="B88" t="str">
            <v>C Outside Services</v>
          </cell>
          <cell r="C88" t="str">
            <v>U:C Outside Services</v>
          </cell>
          <cell r="D88" t="str">
            <v>Contract Services</v>
          </cell>
          <cell r="E88" t="str">
            <v>P:Contract Services</v>
          </cell>
        </row>
        <row r="89">
          <cell r="A89" t="str">
            <v>75150</v>
          </cell>
          <cell r="B89" t="str">
            <v>C Outside Services</v>
          </cell>
          <cell r="C89" t="str">
            <v>U:C Outside Services</v>
          </cell>
          <cell r="D89" t="str">
            <v>Contract Services</v>
          </cell>
          <cell r="E89" t="str">
            <v>P:Contract Services</v>
          </cell>
        </row>
        <row r="90">
          <cell r="A90" t="str">
            <v>75155</v>
          </cell>
          <cell r="B90" t="str">
            <v>C Outside Services</v>
          </cell>
          <cell r="C90" t="str">
            <v>U:C Outside Services</v>
          </cell>
          <cell r="D90" t="str">
            <v>Contract Services</v>
          </cell>
          <cell r="E90" t="str">
            <v>P:Contract Services</v>
          </cell>
        </row>
        <row r="91">
          <cell r="A91" t="str">
            <v>75160</v>
          </cell>
          <cell r="B91" t="str">
            <v>C Outside Services</v>
          </cell>
          <cell r="C91" t="str">
            <v>U:C Outside Services</v>
          </cell>
          <cell r="D91" t="str">
            <v>Contract Services</v>
          </cell>
          <cell r="E91" t="str">
            <v>P:Contract Services</v>
          </cell>
        </row>
        <row r="92">
          <cell r="A92" t="str">
            <v>75165</v>
          </cell>
          <cell r="B92" t="str">
            <v>C Outside Services</v>
          </cell>
          <cell r="C92" t="str">
            <v>U:C Outside Services</v>
          </cell>
          <cell r="D92" t="str">
            <v>Contract Services</v>
          </cell>
          <cell r="E92" t="str">
            <v>P:Contract Services</v>
          </cell>
        </row>
        <row r="93">
          <cell r="A93" t="str">
            <v>77105</v>
          </cell>
          <cell r="B93" t="str">
            <v>C Depreciation</v>
          </cell>
          <cell r="C93" t="str">
            <v>V:C Depreciation</v>
          </cell>
          <cell r="D93" t="str">
            <v>Depreciation</v>
          </cell>
          <cell r="E93" t="str">
            <v>Q:Depreciation</v>
          </cell>
        </row>
        <row r="94">
          <cell r="A94" t="str">
            <v>77110</v>
          </cell>
          <cell r="B94" t="str">
            <v>C Depreciation</v>
          </cell>
          <cell r="C94" t="str">
            <v>V:C Depreciation</v>
          </cell>
          <cell r="D94" t="str">
            <v>Depreciation</v>
          </cell>
          <cell r="E94" t="str">
            <v>Q:Depreciation</v>
          </cell>
        </row>
        <row r="95">
          <cell r="A95" t="str">
            <v>77115</v>
          </cell>
          <cell r="B95" t="str">
            <v>C Depreciation</v>
          </cell>
          <cell r="C95" t="str">
            <v>V:C Depreciation</v>
          </cell>
          <cell r="D95" t="str">
            <v>Depreciation</v>
          </cell>
          <cell r="E95" t="str">
            <v>Q:Depreciation</v>
          </cell>
        </row>
        <row r="96">
          <cell r="A96" t="str">
            <v>79105</v>
          </cell>
          <cell r="B96" t="str">
            <v>C Building</v>
          </cell>
          <cell r="C96" t="str">
            <v>W:C Building</v>
          </cell>
          <cell r="D96" t="str">
            <v>Facilities</v>
          </cell>
          <cell r="E96" t="str">
            <v>R:Facilities</v>
          </cell>
        </row>
        <row r="97">
          <cell r="A97" t="str">
            <v>79110</v>
          </cell>
          <cell r="B97" t="str">
            <v>C Building</v>
          </cell>
          <cell r="C97" t="str">
            <v>W:C Building</v>
          </cell>
          <cell r="D97" t="str">
            <v>Facilities</v>
          </cell>
          <cell r="E97" t="str">
            <v>R:Facilities</v>
          </cell>
        </row>
        <row r="98">
          <cell r="A98" t="str">
            <v>79120</v>
          </cell>
          <cell r="B98" t="str">
            <v>C Building</v>
          </cell>
          <cell r="C98" t="str">
            <v>W:C Building</v>
          </cell>
          <cell r="D98" t="str">
            <v>Facilities</v>
          </cell>
          <cell r="E98" t="str">
            <v>R:Facilities</v>
          </cell>
        </row>
        <row r="99">
          <cell r="A99" t="str">
            <v>79305</v>
          </cell>
          <cell r="B99" t="str">
            <v>C Building</v>
          </cell>
          <cell r="C99" t="str">
            <v>W:C Building</v>
          </cell>
          <cell r="D99" t="str">
            <v>Facilities</v>
          </cell>
          <cell r="E99" t="str">
            <v>R:Facilities</v>
          </cell>
        </row>
        <row r="100">
          <cell r="A100" t="str">
            <v>79310</v>
          </cell>
          <cell r="B100" t="str">
            <v>C Utilities</v>
          </cell>
          <cell r="C100" t="str">
            <v>X:C Utilities</v>
          </cell>
          <cell r="D100" t="str">
            <v>Facilities</v>
          </cell>
          <cell r="E100" t="str">
            <v>R:Facilities</v>
          </cell>
        </row>
        <row r="101">
          <cell r="A101" t="str">
            <v>79315</v>
          </cell>
          <cell r="B101" t="str">
            <v>C Utilities</v>
          </cell>
          <cell r="C101" t="str">
            <v>X:C Utilities</v>
          </cell>
          <cell r="D101" t="str">
            <v>Facilities</v>
          </cell>
          <cell r="E101" t="str">
            <v>R:Facilities</v>
          </cell>
        </row>
        <row r="102">
          <cell r="A102" t="str">
            <v>79320</v>
          </cell>
          <cell r="B102" t="str">
            <v>C Utilities</v>
          </cell>
          <cell r="C102" t="str">
            <v>X:C Utilities</v>
          </cell>
          <cell r="D102" t="str">
            <v>Facilities</v>
          </cell>
          <cell r="E102" t="str">
            <v>R:Facilities</v>
          </cell>
        </row>
        <row r="103">
          <cell r="A103" t="str">
            <v>79505</v>
          </cell>
          <cell r="B103" t="str">
            <v>C Insurance/Taxes</v>
          </cell>
          <cell r="C103" t="str">
            <v>Y:C Insurance/Taxes</v>
          </cell>
          <cell r="D103" t="str">
            <v>Other</v>
          </cell>
          <cell r="E103" t="str">
            <v>S:Other</v>
          </cell>
        </row>
        <row r="104">
          <cell r="A104" t="str">
            <v>79510</v>
          </cell>
          <cell r="B104" t="str">
            <v>C Insurance/Taxes</v>
          </cell>
          <cell r="C104" t="str">
            <v>Y:C Insurance/Taxes</v>
          </cell>
          <cell r="D104" t="str">
            <v>Other</v>
          </cell>
          <cell r="E104" t="str">
            <v>S:Other</v>
          </cell>
        </row>
        <row r="105">
          <cell r="A105" t="str">
            <v>79515</v>
          </cell>
          <cell r="B105" t="str">
            <v>C Insurance/Taxes</v>
          </cell>
          <cell r="C105" t="str">
            <v>Y:C Insurance/Taxes</v>
          </cell>
          <cell r="D105" t="str">
            <v>Other</v>
          </cell>
          <cell r="E105" t="str">
            <v>S:Other</v>
          </cell>
        </row>
        <row r="106">
          <cell r="A106" t="str">
            <v>79520</v>
          </cell>
          <cell r="B106" t="str">
            <v>C Insurance/Taxes</v>
          </cell>
          <cell r="C106" t="str">
            <v>Y:C Insurance/Taxes</v>
          </cell>
          <cell r="D106" t="str">
            <v>Other</v>
          </cell>
          <cell r="E106" t="str">
            <v>S:Other</v>
          </cell>
        </row>
        <row r="107">
          <cell r="A107" t="str">
            <v>79525</v>
          </cell>
          <cell r="B107" t="str">
            <v>C Insurance/Taxes</v>
          </cell>
          <cell r="C107" t="str">
            <v>Y:C Insurance/Taxes</v>
          </cell>
          <cell r="D107" t="str">
            <v>Other</v>
          </cell>
          <cell r="E107" t="str">
            <v>S:Other</v>
          </cell>
        </row>
        <row r="108">
          <cell r="A108" t="str">
            <v>79705</v>
          </cell>
          <cell r="B108" t="str">
            <v>C Misc</v>
          </cell>
          <cell r="C108" t="str">
            <v>Z:C Misc</v>
          </cell>
          <cell r="D108" t="str">
            <v>Other</v>
          </cell>
          <cell r="E108" t="str">
            <v>S:Other</v>
          </cell>
        </row>
        <row r="109">
          <cell r="A109" t="str">
            <v>79710</v>
          </cell>
          <cell r="B109" t="str">
            <v>C Misc</v>
          </cell>
          <cell r="C109" t="str">
            <v>Z:C Misc</v>
          </cell>
          <cell r="D109" t="str">
            <v>Other</v>
          </cell>
          <cell r="E109" t="str">
            <v>S:Other</v>
          </cell>
        </row>
        <row r="110">
          <cell r="A110" t="str">
            <v>79715</v>
          </cell>
          <cell r="B110" t="str">
            <v>C Misc</v>
          </cell>
          <cell r="C110" t="str">
            <v>Z:C Misc</v>
          </cell>
          <cell r="D110" t="str">
            <v>Other</v>
          </cell>
          <cell r="E110" t="str">
            <v>S:Other</v>
          </cell>
        </row>
        <row r="111">
          <cell r="A111" t="str">
            <v>79720</v>
          </cell>
          <cell r="B111" t="str">
            <v>C Misc</v>
          </cell>
          <cell r="C111" t="str">
            <v>Z:C Misc</v>
          </cell>
          <cell r="D111" t="str">
            <v>Other</v>
          </cell>
          <cell r="E111" t="str">
            <v>S:Other</v>
          </cell>
        </row>
        <row r="112">
          <cell r="A112" t="str">
            <v>79725</v>
          </cell>
          <cell r="B112" t="str">
            <v>C Misc</v>
          </cell>
          <cell r="C112" t="str">
            <v>Z:C Misc</v>
          </cell>
          <cell r="D112" t="str">
            <v>Other</v>
          </cell>
          <cell r="E112" t="str">
            <v>S:Other</v>
          </cell>
        </row>
        <row r="113">
          <cell r="A113" t="str">
            <v>81105</v>
          </cell>
          <cell r="B113" t="str">
            <v>C Allocation</v>
          </cell>
          <cell r="C113" t="str">
            <v>AA:C Allocation</v>
          </cell>
          <cell r="D113" t="str">
            <v>Recharges</v>
          </cell>
          <cell r="E113" t="str">
            <v>T:Recharges</v>
          </cell>
        </row>
        <row r="114">
          <cell r="A114" t="str">
            <v>81110</v>
          </cell>
          <cell r="B114" t="str">
            <v>C Allocation</v>
          </cell>
          <cell r="C114" t="str">
            <v>AA:C Allocation</v>
          </cell>
          <cell r="D114" t="str">
            <v>Recharges</v>
          </cell>
          <cell r="E114" t="str">
            <v>T:Recharges</v>
          </cell>
        </row>
        <row r="115">
          <cell r="A115" t="str">
            <v>81115</v>
          </cell>
          <cell r="B115" t="str">
            <v>C Allocation</v>
          </cell>
          <cell r="C115" t="str">
            <v>AA:C Allocation</v>
          </cell>
          <cell r="D115" t="str">
            <v>Recharges</v>
          </cell>
          <cell r="E115" t="str">
            <v>T:Recharges</v>
          </cell>
        </row>
        <row r="116">
          <cell r="A116" t="str">
            <v>81305</v>
          </cell>
          <cell r="B116" t="str">
            <v>C Allocation</v>
          </cell>
          <cell r="C116" t="str">
            <v>AA:C Allocation</v>
          </cell>
          <cell r="D116" t="str">
            <v>Allocations</v>
          </cell>
          <cell r="E116" t="str">
            <v>U:Allocations</v>
          </cell>
        </row>
        <row r="117">
          <cell r="A117" t="str">
            <v>81310</v>
          </cell>
          <cell r="B117" t="str">
            <v>C Allocation</v>
          </cell>
          <cell r="C117" t="str">
            <v>AA:C Allocation</v>
          </cell>
          <cell r="D117" t="str">
            <v>Recharges</v>
          </cell>
          <cell r="E117" t="str">
            <v>T:Recharges</v>
          </cell>
        </row>
        <row r="118">
          <cell r="A118" t="str">
            <v>83105</v>
          </cell>
          <cell r="B118" t="str">
            <v>C Allocation</v>
          </cell>
          <cell r="C118" t="str">
            <v>AA:C Allocation</v>
          </cell>
          <cell r="D118" t="str">
            <v>Recharges</v>
          </cell>
          <cell r="E118" t="str">
            <v>T:Recharges</v>
          </cell>
        </row>
        <row r="119">
          <cell r="A119" t="str">
            <v>83110</v>
          </cell>
          <cell r="B119" t="str">
            <v>C Allocation</v>
          </cell>
          <cell r="C119" t="str">
            <v>AA:C Allocation</v>
          </cell>
          <cell r="D119" t="str">
            <v>Recharges</v>
          </cell>
          <cell r="E119" t="str">
            <v>T:Recharges</v>
          </cell>
        </row>
        <row r="120">
          <cell r="A120" t="str">
            <v>83115</v>
          </cell>
          <cell r="B120" t="str">
            <v>C Allocation</v>
          </cell>
          <cell r="C120" t="str">
            <v>AA:C Allocation</v>
          </cell>
          <cell r="D120" t="str">
            <v>Recharges</v>
          </cell>
          <cell r="E120" t="str">
            <v>T:Recharges</v>
          </cell>
        </row>
        <row r="121">
          <cell r="A121" t="str">
            <v>83305</v>
          </cell>
          <cell r="B121" t="str">
            <v>C Allocation</v>
          </cell>
          <cell r="C121" t="str">
            <v>AA:C Allocation</v>
          </cell>
          <cell r="D121" t="str">
            <v>Allocations</v>
          </cell>
          <cell r="E121" t="str">
            <v>U:Allocations</v>
          </cell>
        </row>
        <row r="122">
          <cell r="A122" t="str">
            <v>83310</v>
          </cell>
          <cell r="B122" t="str">
            <v>C Allocation</v>
          </cell>
          <cell r="C122" t="str">
            <v>AA:C Allocation</v>
          </cell>
          <cell r="D122" t="str">
            <v>Recharges</v>
          </cell>
          <cell r="E122" t="str">
            <v>T:Recharges</v>
          </cell>
        </row>
        <row r="123">
          <cell r="A123" t="str">
            <v>83315</v>
          </cell>
          <cell r="B123" t="str">
            <v>C Allocation</v>
          </cell>
          <cell r="C123" t="str">
            <v>AA:C Allocation</v>
          </cell>
          <cell r="D123" t="str">
            <v>Recharges</v>
          </cell>
          <cell r="E123" t="str">
            <v>T:Recharges</v>
          </cell>
        </row>
        <row r="124">
          <cell r="A124" t="str">
            <v>81315</v>
          </cell>
          <cell r="B124" t="str">
            <v>C Recharges</v>
          </cell>
          <cell r="C124" t="str">
            <v>AB:C Recharges</v>
          </cell>
          <cell r="D124" t="str">
            <v>Recharges</v>
          </cell>
          <cell r="E124" t="str">
            <v>T:Recharges</v>
          </cell>
        </row>
        <row r="125">
          <cell r="A125" t="str">
            <v>85110</v>
          </cell>
          <cell r="B125" t="str">
            <v>C BS Transfer</v>
          </cell>
          <cell r="C125" t="str">
            <v>AC:C BS Transfer</v>
          </cell>
          <cell r="D125" t="str">
            <v>Allocations</v>
          </cell>
          <cell r="E125" t="str">
            <v>U:Allocations</v>
          </cell>
        </row>
        <row r="126">
          <cell r="A126" t="str">
            <v>91105</v>
          </cell>
          <cell r="B126" t="str">
            <v>Interest</v>
          </cell>
          <cell r="C126" t="str">
            <v>AD:Interest</v>
          </cell>
          <cell r="D126" t="str">
            <v>Non Operating Inc/(Exp)</v>
          </cell>
          <cell r="E126" t="str">
            <v>V:Non Operating Inc/(Exp)</v>
          </cell>
        </row>
        <row r="127">
          <cell r="A127" t="str">
            <v>91120</v>
          </cell>
          <cell r="B127" t="str">
            <v>Interest-I/C</v>
          </cell>
          <cell r="C127" t="str">
            <v>AE:Interest-I/C</v>
          </cell>
          <cell r="D127" t="str">
            <v>I/C Non Operating Inc/(Exp)</v>
          </cell>
          <cell r="E127" t="str">
            <v>W:I/C Non Operating Inc/(Exp)</v>
          </cell>
        </row>
        <row r="128">
          <cell r="A128" t="str">
            <v>91125</v>
          </cell>
          <cell r="B128" t="str">
            <v>Other Exp</v>
          </cell>
          <cell r="C128" t="str">
            <v>AI:Other Exp</v>
          </cell>
          <cell r="D128" t="str">
            <v>Non Operating Inc/(Exp)</v>
          </cell>
          <cell r="E128" t="str">
            <v>V:Non Operating Inc/(Exp)</v>
          </cell>
        </row>
        <row r="129">
          <cell r="A129" t="str">
            <v>91305</v>
          </cell>
          <cell r="B129" t="str">
            <v>Interest</v>
          </cell>
          <cell r="C129" t="str">
            <v>AD:Interest</v>
          </cell>
          <cell r="D129" t="str">
            <v>I/C Non Operating Inc/(Exp)</v>
          </cell>
          <cell r="E129" t="str">
            <v>W:I/C Non Operating Inc/(Exp)</v>
          </cell>
        </row>
        <row r="130">
          <cell r="A130" t="str">
            <v>91310</v>
          </cell>
          <cell r="B130" t="str">
            <v>Other Inc</v>
          </cell>
          <cell r="C130" t="str">
            <v>AG:Other Inc</v>
          </cell>
          <cell r="D130" t="str">
            <v>Non Operating Inc/(Exp)</v>
          </cell>
          <cell r="E130" t="str">
            <v>V:Non Operating Inc/(Exp)</v>
          </cell>
        </row>
        <row r="131">
          <cell r="A131" t="str">
            <v>91320</v>
          </cell>
          <cell r="B131" t="str">
            <v>Interest-I/C</v>
          </cell>
          <cell r="C131" t="str">
            <v>AE:Interest-I/C</v>
          </cell>
          <cell r="D131" t="str">
            <v>I/C Non Operating Inc/(Exp)</v>
          </cell>
          <cell r="E131" t="str">
            <v>W:I/C Non Operating Inc/(Exp)</v>
          </cell>
        </row>
        <row r="132">
          <cell r="A132" t="str">
            <v>91325</v>
          </cell>
          <cell r="B132" t="str">
            <v>Other Inc</v>
          </cell>
          <cell r="C132" t="str">
            <v>AG:Other Inc</v>
          </cell>
          <cell r="D132" t="str">
            <v>Non Operating Inc/(Exp)</v>
          </cell>
          <cell r="E132" t="str">
            <v>V:Non Operating Inc/(Exp)</v>
          </cell>
        </row>
        <row r="133">
          <cell r="A133" t="str">
            <v>91505</v>
          </cell>
          <cell r="B133" t="str">
            <v>FX</v>
          </cell>
          <cell r="C133" t="str">
            <v>AF:FX</v>
          </cell>
          <cell r="D133" t="str">
            <v>Non Operating Inc/(Exp)</v>
          </cell>
          <cell r="E133" t="str">
            <v>V:Non Operating Inc/(Exp)</v>
          </cell>
        </row>
        <row r="134">
          <cell r="A134" t="str">
            <v>91510</v>
          </cell>
          <cell r="B134" t="str">
            <v>FX</v>
          </cell>
          <cell r="C134" t="str">
            <v>AF:FX</v>
          </cell>
          <cell r="D134" t="str">
            <v>Non Operating Inc/(Exp)</v>
          </cell>
          <cell r="E134" t="str">
            <v>V:Non Operating Inc/(Exp)</v>
          </cell>
        </row>
        <row r="135">
          <cell r="A135" t="str">
            <v>91515</v>
          </cell>
          <cell r="B135" t="str">
            <v>FX</v>
          </cell>
          <cell r="C135" t="str">
            <v>AF:FX</v>
          </cell>
          <cell r="D135" t="str">
            <v>Non Operating Inc/(Exp)</v>
          </cell>
          <cell r="E135" t="str">
            <v>V:Non Operating Inc/(Exp)</v>
          </cell>
        </row>
        <row r="136">
          <cell r="A136" t="str">
            <v>91520</v>
          </cell>
          <cell r="B136" t="str">
            <v>FX</v>
          </cell>
          <cell r="C136" t="str">
            <v>AF:FX</v>
          </cell>
          <cell r="D136" t="str">
            <v>Non Operating Inc/(Exp)</v>
          </cell>
          <cell r="E136" t="str">
            <v>V:Non Operating Inc/(Exp)</v>
          </cell>
        </row>
        <row r="137">
          <cell r="A137" t="str">
            <v>91525</v>
          </cell>
          <cell r="B137" t="str">
            <v>FX</v>
          </cell>
          <cell r="C137" t="str">
            <v>AF:FX</v>
          </cell>
          <cell r="D137" t="str">
            <v>Non Operating Inc/(Exp)</v>
          </cell>
          <cell r="E137" t="str">
            <v>V:Non Operating Inc/(Exp)</v>
          </cell>
        </row>
        <row r="138">
          <cell r="A138" t="str">
            <v>91530</v>
          </cell>
          <cell r="B138" t="str">
            <v>FX</v>
          </cell>
          <cell r="C138" t="str">
            <v>AF:FX</v>
          </cell>
          <cell r="D138" t="str">
            <v>Non Operating Inc/(Exp)</v>
          </cell>
          <cell r="E138" t="str">
            <v>V:Non Operating Inc/(Exp)</v>
          </cell>
        </row>
        <row r="139">
          <cell r="A139" t="str">
            <v>91705</v>
          </cell>
          <cell r="B139" t="str">
            <v>Asset Disp</v>
          </cell>
          <cell r="C139" t="str">
            <v>AK:Asset Disp</v>
          </cell>
          <cell r="D139" t="str">
            <v>Non Operating Inc/(Exp)</v>
          </cell>
          <cell r="E139" t="str">
            <v>V:Non Operating Inc/(Exp)</v>
          </cell>
        </row>
        <row r="140">
          <cell r="A140" t="str">
            <v>92105</v>
          </cell>
          <cell r="B140" t="str">
            <v>Taxes</v>
          </cell>
          <cell r="C140" t="str">
            <v>AJ:Taxes</v>
          </cell>
          <cell r="D140" t="str">
            <v>Taxes</v>
          </cell>
          <cell r="E140" t="str">
            <v>X:Taxes</v>
          </cell>
        </row>
        <row r="141">
          <cell r="A141" t="str">
            <v>92110</v>
          </cell>
          <cell r="B141" t="str">
            <v>Taxes</v>
          </cell>
          <cell r="C141" t="str">
            <v>AJ:Taxes</v>
          </cell>
          <cell r="D141" t="str">
            <v>Taxes</v>
          </cell>
          <cell r="E141" t="str">
            <v>X:Taxes</v>
          </cell>
        </row>
      </sheetData>
      <sheetData sheetId="1"/>
      <sheetData sheetId="2">
        <row r="4">
          <cell r="C4" t="str">
            <v>AUD</v>
          </cell>
          <cell r="D4">
            <v>0.98040000000000005</v>
          </cell>
          <cell r="E4">
            <v>0.96275100000000002</v>
          </cell>
          <cell r="F4">
            <v>0.93282699999999996</v>
          </cell>
          <cell r="G4">
            <v>0.94688600000000001</v>
          </cell>
          <cell r="H4">
            <v>0.96554600000000002</v>
          </cell>
          <cell r="I4">
            <v>0.96554600000000002</v>
          </cell>
          <cell r="J4">
            <v>0.96554600000000002</v>
          </cell>
          <cell r="K4">
            <v>0.96554600000000002</v>
          </cell>
          <cell r="L4">
            <v>0.96554600000000002</v>
          </cell>
          <cell r="M4">
            <v>0.96554600000000002</v>
          </cell>
          <cell r="N4">
            <v>0.96554600000000002</v>
          </cell>
          <cell r="O4">
            <v>0.96554600000000002</v>
          </cell>
        </row>
        <row r="5">
          <cell r="C5" t="str">
            <v>JPY</v>
          </cell>
          <cell r="D5">
            <v>78</v>
          </cell>
          <cell r="E5" t="e">
            <v>#N/A</v>
          </cell>
          <cell r="F5" t="e">
            <v>#N/A</v>
          </cell>
          <cell r="G5" t="e">
            <v>#N/A</v>
          </cell>
          <cell r="H5" t="e">
            <v>#N/A</v>
          </cell>
          <cell r="I5" t="e">
            <v>#N/A</v>
          </cell>
          <cell r="J5" t="e">
            <v>#N/A</v>
          </cell>
          <cell r="K5" t="e">
            <v>#N/A</v>
          </cell>
          <cell r="L5" t="e">
            <v>#N/A</v>
          </cell>
          <cell r="M5" t="e">
            <v>#N/A</v>
          </cell>
          <cell r="N5" t="e">
            <v>#N/A</v>
          </cell>
          <cell r="O5" t="e">
            <v>#N/A</v>
          </cell>
        </row>
        <row r="6">
          <cell r="C6" t="str">
            <v>KRW</v>
          </cell>
          <cell r="D6">
            <v>1100</v>
          </cell>
          <cell r="E6" t="e">
            <v>#N/A</v>
          </cell>
          <cell r="F6" t="e">
            <v>#N/A</v>
          </cell>
          <cell r="G6" t="e">
            <v>#N/A</v>
          </cell>
          <cell r="H6" t="e">
            <v>#N/A</v>
          </cell>
          <cell r="I6" t="e">
            <v>#N/A</v>
          </cell>
          <cell r="J6" t="e">
            <v>#N/A</v>
          </cell>
          <cell r="K6" t="e">
            <v>#N/A</v>
          </cell>
          <cell r="L6" t="e">
            <v>#N/A</v>
          </cell>
          <cell r="M6" t="e">
            <v>#N/A</v>
          </cell>
          <cell r="N6" t="e">
            <v>#N/A</v>
          </cell>
          <cell r="O6" t="e">
            <v>#N/A</v>
          </cell>
        </row>
        <row r="7">
          <cell r="C7" t="str">
            <v>NTD</v>
          </cell>
          <cell r="D7">
            <v>30</v>
          </cell>
          <cell r="E7" t="e">
            <v>#N/A</v>
          </cell>
          <cell r="F7" t="e">
            <v>#N/A</v>
          </cell>
          <cell r="G7" t="e">
            <v>#N/A</v>
          </cell>
          <cell r="H7" t="e">
            <v>#N/A</v>
          </cell>
          <cell r="I7" t="e">
            <v>#N/A</v>
          </cell>
          <cell r="J7" t="e">
            <v>#N/A</v>
          </cell>
          <cell r="K7" t="e">
            <v>#N/A</v>
          </cell>
          <cell r="L7" t="e">
            <v>#N/A</v>
          </cell>
          <cell r="M7" t="e">
            <v>#N/A</v>
          </cell>
          <cell r="N7" t="e">
            <v>#N/A</v>
          </cell>
          <cell r="O7" t="e">
            <v>#N/A</v>
          </cell>
        </row>
        <row r="8">
          <cell r="C8" t="str">
            <v>CNY</v>
          </cell>
          <cell r="D8">
            <v>6.3</v>
          </cell>
          <cell r="E8" t="e">
            <v>#N/A</v>
          </cell>
          <cell r="F8" t="e">
            <v>#N/A</v>
          </cell>
          <cell r="G8" t="e">
            <v>#N/A</v>
          </cell>
          <cell r="H8" t="e">
            <v>#N/A</v>
          </cell>
          <cell r="I8" t="e">
            <v>#N/A</v>
          </cell>
          <cell r="J8" t="e">
            <v>#N/A</v>
          </cell>
          <cell r="K8" t="e">
            <v>#N/A</v>
          </cell>
          <cell r="L8" t="e">
            <v>#N/A</v>
          </cell>
          <cell r="M8" t="e">
            <v>#N/A</v>
          </cell>
          <cell r="N8" t="e">
            <v>#N/A</v>
          </cell>
          <cell r="O8" t="e">
            <v>#N/A</v>
          </cell>
        </row>
        <row r="9">
          <cell r="C9" t="str">
            <v>HKD</v>
          </cell>
          <cell r="D9">
            <v>7.75</v>
          </cell>
          <cell r="E9" t="e">
            <v>#N/A</v>
          </cell>
          <cell r="F9" t="e">
            <v>#N/A</v>
          </cell>
          <cell r="G9" t="e">
            <v>#N/A</v>
          </cell>
          <cell r="H9" t="e">
            <v>#N/A</v>
          </cell>
          <cell r="I9" t="e">
            <v>#N/A</v>
          </cell>
          <cell r="J9" t="e">
            <v>#N/A</v>
          </cell>
          <cell r="K9" t="e">
            <v>#N/A</v>
          </cell>
          <cell r="L9" t="e">
            <v>#N/A</v>
          </cell>
          <cell r="M9" t="e">
            <v>#N/A</v>
          </cell>
          <cell r="N9" t="e">
            <v>#N/A</v>
          </cell>
          <cell r="O9" t="e">
            <v>#N/A</v>
          </cell>
        </row>
        <row r="10">
          <cell r="C10" t="str">
            <v>SGD</v>
          </cell>
          <cell r="D10">
            <v>1.28</v>
          </cell>
          <cell r="E10" t="e">
            <v>#N/A</v>
          </cell>
          <cell r="F10" t="e">
            <v>#N/A</v>
          </cell>
          <cell r="G10" t="e">
            <v>#N/A</v>
          </cell>
          <cell r="H10" t="e">
            <v>#N/A</v>
          </cell>
          <cell r="I10" t="e">
            <v>#N/A</v>
          </cell>
          <cell r="J10" t="e">
            <v>#N/A</v>
          </cell>
          <cell r="K10" t="e">
            <v>#N/A</v>
          </cell>
          <cell r="L10" t="e">
            <v>#N/A</v>
          </cell>
          <cell r="M10" t="e">
            <v>#N/A</v>
          </cell>
          <cell r="N10" t="e">
            <v>#N/A</v>
          </cell>
          <cell r="O10" t="e">
            <v>#N/A</v>
          </cell>
        </row>
        <row r="11">
          <cell r="C11" t="str">
            <v>INR</v>
          </cell>
          <cell r="D11">
            <v>51</v>
          </cell>
          <cell r="E11" t="e">
            <v>#N/A</v>
          </cell>
          <cell r="F11" t="e">
            <v>#N/A</v>
          </cell>
          <cell r="G11" t="e">
            <v>#N/A</v>
          </cell>
          <cell r="H11" t="e">
            <v>#N/A</v>
          </cell>
          <cell r="I11" t="e">
            <v>#N/A</v>
          </cell>
          <cell r="J11" t="e">
            <v>#N/A</v>
          </cell>
          <cell r="K11" t="e">
            <v>#N/A</v>
          </cell>
          <cell r="L11" t="e">
            <v>#N/A</v>
          </cell>
          <cell r="M11" t="e">
            <v>#N/A</v>
          </cell>
          <cell r="N11" t="e">
            <v>#N/A</v>
          </cell>
          <cell r="O11" t="e">
            <v>#N/A</v>
          </cell>
        </row>
        <row r="12">
          <cell r="C12" t="str">
            <v>USD</v>
          </cell>
          <cell r="D12">
            <v>1</v>
          </cell>
          <cell r="E12">
            <v>1</v>
          </cell>
          <cell r="F12">
            <v>1</v>
          </cell>
          <cell r="G12">
            <v>1</v>
          </cell>
          <cell r="H12">
            <v>1</v>
          </cell>
          <cell r="I12">
            <v>1</v>
          </cell>
          <cell r="J12">
            <v>1</v>
          </cell>
          <cell r="K12">
            <v>1</v>
          </cell>
          <cell r="L12">
            <v>1</v>
          </cell>
          <cell r="M12">
            <v>1</v>
          </cell>
          <cell r="N12">
            <v>1</v>
          </cell>
          <cell r="O12">
            <v>1</v>
          </cell>
        </row>
        <row r="16">
          <cell r="C16" t="str">
            <v>AUD</v>
          </cell>
          <cell r="D16">
            <v>1.06</v>
          </cell>
          <cell r="E16">
            <v>1.0022340000000001</v>
          </cell>
          <cell r="F16">
            <v>0.991456</v>
          </cell>
          <cell r="G16">
            <v>0.98935300000000004</v>
          </cell>
          <cell r="H16">
            <v>0.94596899999999995</v>
          </cell>
          <cell r="I16">
            <v>0.93476000000000004</v>
          </cell>
          <cell r="J16">
            <v>0.94304299999999996</v>
          </cell>
          <cell r="K16">
            <v>0.92815800000000004</v>
          </cell>
          <cell r="L16">
            <v>0.95193399999999995</v>
          </cell>
          <cell r="M16">
            <v>0.97150300000000001</v>
          </cell>
          <cell r="N16">
            <v>0.98814199999999996</v>
          </cell>
          <cell r="O16">
            <v>0.98809999999999998</v>
          </cell>
        </row>
        <row r="17">
          <cell r="C17" t="str">
            <v>JPY</v>
          </cell>
          <cell r="D17">
            <v>84</v>
          </cell>
          <cell r="E17">
            <v>82.483069999999998</v>
          </cell>
          <cell r="F17">
            <v>82.581157000000005</v>
          </cell>
          <cell r="G17">
            <v>81.603341999999998</v>
          </cell>
          <cell r="H17">
            <v>83.254242000000005</v>
          </cell>
          <cell r="I17">
            <v>81.078671</v>
          </cell>
          <cell r="J17">
            <v>80.430464000000001</v>
          </cell>
          <cell r="K17">
            <v>79.403520999999998</v>
          </cell>
          <cell r="L17">
            <v>77.043383000000006</v>
          </cell>
          <cell r="M17">
            <v>76.817894999999993</v>
          </cell>
          <cell r="N17">
            <v>76.597244000000003</v>
          </cell>
          <cell r="O17">
            <v>77.497152</v>
          </cell>
        </row>
        <row r="18">
          <cell r="C18" t="str">
            <v>KRW</v>
          </cell>
          <cell r="D18">
            <v>1150</v>
          </cell>
          <cell r="E18">
            <v>1114.9514999999999</v>
          </cell>
          <cell r="F18">
            <v>1117.0688110000001</v>
          </cell>
          <cell r="G18">
            <v>1120.1971550000001</v>
          </cell>
          <cell r="H18">
            <v>1083.4236189999999</v>
          </cell>
          <cell r="I18">
            <v>1083.0715909999999</v>
          </cell>
          <cell r="J18">
            <v>1078.981442</v>
          </cell>
          <cell r="K18">
            <v>1056.7473319999999</v>
          </cell>
          <cell r="L18">
            <v>1072.041166</v>
          </cell>
          <cell r="M18">
            <v>1108.8933239999999</v>
          </cell>
          <cell r="N18">
            <v>1153.668666</v>
          </cell>
          <cell r="O18">
            <v>1131.9900379999999</v>
          </cell>
        </row>
        <row r="19">
          <cell r="C19" t="str">
            <v>NTD</v>
          </cell>
          <cell r="D19">
            <v>31</v>
          </cell>
          <cell r="E19">
            <v>29.156728999999999</v>
          </cell>
          <cell r="F19">
            <v>29.155114000000001</v>
          </cell>
          <cell r="G19">
            <v>29.494871</v>
          </cell>
          <cell r="H19">
            <v>29.001227</v>
          </cell>
          <cell r="I19">
            <v>28.711953000000001</v>
          </cell>
          <cell r="J19">
            <v>28.800184000000002</v>
          </cell>
          <cell r="K19">
            <v>28.823262</v>
          </cell>
          <cell r="L19">
            <v>28.666848000000002</v>
          </cell>
          <cell r="M19">
            <v>29.380051999999999</v>
          </cell>
          <cell r="N19">
            <v>30.072565000000001</v>
          </cell>
          <cell r="O19">
            <v>29.852260999999999</v>
          </cell>
        </row>
        <row r="20">
          <cell r="C20" t="str">
            <v>CNY</v>
          </cell>
          <cell r="D20">
            <v>6.75</v>
          </cell>
          <cell r="E20">
            <v>6.85</v>
          </cell>
          <cell r="F20">
            <v>6.5670659999999996</v>
          </cell>
          <cell r="G20">
            <v>6.5575150000000004</v>
          </cell>
          <cell r="H20">
            <v>6.5184800000000003</v>
          </cell>
          <cell r="I20">
            <v>6.489293</v>
          </cell>
          <cell r="J20">
            <v>6.4699790000000004</v>
          </cell>
          <cell r="K20">
            <v>6.446917</v>
          </cell>
          <cell r="L20">
            <v>6.3856960000000003</v>
          </cell>
          <cell r="M20">
            <v>6.3761970000000003</v>
          </cell>
          <cell r="N20">
            <v>6.3647200000000002</v>
          </cell>
          <cell r="O20">
            <v>6.3458500000000004</v>
          </cell>
        </row>
        <row r="21">
          <cell r="C21" t="str">
            <v>HKD</v>
          </cell>
          <cell r="D21">
            <v>7.75</v>
          </cell>
          <cell r="E21">
            <v>7.7883899999999997</v>
          </cell>
          <cell r="F21">
            <v>7.7918599999999998</v>
          </cell>
          <cell r="G21">
            <v>7.7883599999999999</v>
          </cell>
          <cell r="H21">
            <v>7.7690299999999999</v>
          </cell>
          <cell r="I21">
            <v>7.7796700000000003</v>
          </cell>
          <cell r="J21">
            <v>7.7832100000000004</v>
          </cell>
          <cell r="K21">
            <v>7.7925899999999997</v>
          </cell>
          <cell r="L21">
            <v>7.7938700000000001</v>
          </cell>
          <cell r="M21">
            <v>7.7929000000000004</v>
          </cell>
          <cell r="N21">
            <v>7.765784</v>
          </cell>
          <cell r="O21">
            <v>7.7930169999999999</v>
          </cell>
        </row>
        <row r="22">
          <cell r="C22" t="str">
            <v>SGD</v>
          </cell>
          <cell r="D22">
            <v>1.28</v>
          </cell>
          <cell r="E22">
            <v>1.25</v>
          </cell>
          <cell r="F22">
            <v>1.25</v>
          </cell>
          <cell r="G22">
            <v>1.25</v>
          </cell>
          <cell r="H22">
            <v>1.25</v>
          </cell>
          <cell r="I22">
            <v>1.25</v>
          </cell>
          <cell r="J22">
            <v>1.25</v>
          </cell>
          <cell r="K22">
            <v>1.25</v>
          </cell>
          <cell r="L22">
            <v>1.25</v>
          </cell>
          <cell r="M22">
            <v>1.25</v>
          </cell>
          <cell r="N22">
            <v>1.25</v>
          </cell>
          <cell r="O22">
            <v>1.25</v>
          </cell>
        </row>
        <row r="23">
          <cell r="C23" t="str">
            <v>INR</v>
          </cell>
          <cell r="D23">
            <v>42</v>
          </cell>
          <cell r="E23">
            <v>45.637301999999998</v>
          </cell>
          <cell r="F23">
            <v>45.512262999999997</v>
          </cell>
          <cell r="G23">
            <v>45.375962999999999</v>
          </cell>
          <cell r="H23">
            <v>44.622338999999997</v>
          </cell>
          <cell r="I23">
            <v>44.879475999999997</v>
          </cell>
          <cell r="J23">
            <v>45.177933000000003</v>
          </cell>
          <cell r="K23">
            <v>44.552956000000002</v>
          </cell>
          <cell r="L23">
            <v>45.272632000000002</v>
          </cell>
          <cell r="M23">
            <v>47.569212999999998</v>
          </cell>
          <cell r="N23">
            <v>49.517698000000003</v>
          </cell>
          <cell r="O23">
            <v>50.769925999999998</v>
          </cell>
        </row>
        <row r="24">
          <cell r="C24" t="str">
            <v>USD</v>
          </cell>
          <cell r="D24">
            <v>1</v>
          </cell>
          <cell r="E24">
            <v>1</v>
          </cell>
          <cell r="F24">
            <v>1</v>
          </cell>
          <cell r="G24">
            <v>1</v>
          </cell>
          <cell r="H24">
            <v>1</v>
          </cell>
          <cell r="I24">
            <v>1</v>
          </cell>
          <cell r="J24">
            <v>1</v>
          </cell>
          <cell r="K24">
            <v>1</v>
          </cell>
          <cell r="L24">
            <v>1</v>
          </cell>
          <cell r="M24">
            <v>1</v>
          </cell>
          <cell r="N24">
            <v>1</v>
          </cell>
          <cell r="O24">
            <v>1</v>
          </cell>
        </row>
      </sheetData>
      <sheetData sheetId="3"/>
      <sheetData sheetId="4"/>
      <sheetData sheetId="5"/>
      <sheetData sheetId="6"/>
      <sheetData sheetId="7"/>
      <sheetData sheetId="8"/>
      <sheetData sheetId="9"/>
      <sheetData sheetId="10"/>
      <sheetData sheetId="11">
        <row r="4">
          <cell r="A4" t="str">
            <v>1001000</v>
          </cell>
        </row>
      </sheetData>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Checklist"/>
      <sheetName val="Lists"/>
      <sheetName val="TB Reconcilliation"/>
      <sheetName val="UCG-TB"/>
      <sheetName val="UCG-Transaction Journal"/>
      <sheetName val="QB-TB"/>
      <sheetName val="QB-Transaction Journal"/>
      <sheetName val="Cash-HSBC Bank"/>
      <sheetName val="Cash-UCC Trust"/>
      <sheetName val="AR (Aged)"/>
      <sheetName val="UCC CBI Account Statement"/>
      <sheetName val="Prepaid Insurance"/>
      <sheetName val="Prepayments"/>
      <sheetName val="Accrued Revenue"/>
      <sheetName val="Repairable Spares"/>
      <sheetName val="RefundableDeposit"/>
      <sheetName val="Preliminary Exps"/>
      <sheetName val="AP (Aged)"/>
      <sheetName val="Accruals"/>
      <sheetName val="Accrued Other"/>
      <sheetName val="Superannuation"/>
      <sheetName val="Withholdings"/>
      <sheetName val="Share Capital"/>
      <sheetName val="Deferred Service"/>
      <sheetName val="TDS (Unpaid)"/>
      <sheetName val="TDS"/>
      <sheetName val="Income Tax"/>
      <sheetName val="DTA"/>
      <sheetName val="DTA Schedule"/>
      <sheetName val="Regus"/>
      <sheetName val="UCG"/>
    </sheetNames>
    <sheetDataSet>
      <sheetData sheetId="0">
        <row r="3">
          <cell r="C3">
            <v>41364</v>
          </cell>
        </row>
      </sheetData>
      <sheetData sheetId="1"/>
      <sheetData sheetId="2"/>
      <sheetData sheetId="3"/>
      <sheetData sheetId="4">
        <row r="5">
          <cell r="H5" t="str">
            <v>Particulars</v>
          </cell>
        </row>
      </sheetData>
      <sheetData sheetId="5"/>
      <sheetData sheetId="6">
        <row r="3">
          <cell r="B3" t="str">
            <v>1001100 · HSBC Operating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3">
          <cell r="H93">
            <v>0.30899954209329134</v>
          </cell>
        </row>
      </sheetData>
      <sheetData sheetId="30">
        <row r="1">
          <cell r="C1">
            <v>0.1236</v>
          </cell>
        </row>
      </sheetData>
      <sheetData sheetId="3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36">
          <cell r="F36">
            <v>4746197.76</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0902"/>
      <sheetName val="first cut"/>
      <sheetName val="Planning Mat"/>
      <sheetName val="TBR workings"/>
      <sheetName val="Leadsheet"/>
      <sheetName val="Adjustment Entry"/>
    </sheetNames>
    <sheetDataSet>
      <sheetData sheetId="0" refreshError="1"/>
      <sheetData sheetId="1"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2" refreshError="1"/>
      <sheetData sheetId="3" refreshError="1"/>
      <sheetData sheetId="4" refreshError="1"/>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ducteeTransactions"/>
      <sheetName val="Sheet1"/>
    </sheetNames>
    <sheetDataSet>
      <sheetData sheetId="0" refreshError="1"/>
      <sheetData sheetId="1">
        <row r="3">
          <cell r="A3" t="str">
            <v>A</v>
          </cell>
          <cell r="I3" t="str">
            <v>A</v>
          </cell>
        </row>
        <row r="4">
          <cell r="A4" t="str">
            <v>B</v>
          </cell>
          <cell r="I4" t="str">
            <v>B</v>
          </cell>
        </row>
        <row r="5">
          <cell r="A5" t="str">
            <v>C</v>
          </cell>
          <cell r="I5" t="str">
            <v>C</v>
          </cell>
        </row>
        <row r="6">
          <cell r="A6" t="str">
            <v>D</v>
          </cell>
          <cell r="I6" t="str">
            <v>T</v>
          </cell>
        </row>
        <row r="7">
          <cell r="A7" t="str">
            <v>E</v>
          </cell>
          <cell r="I7" t="str">
            <v>Y</v>
          </cell>
        </row>
        <row r="8">
          <cell r="A8" t="str">
            <v>F</v>
          </cell>
        </row>
        <row r="9">
          <cell r="A9" t="str">
            <v>G</v>
          </cell>
        </row>
        <row r="10">
          <cell r="A10" t="str">
            <v>H</v>
          </cell>
        </row>
        <row r="11">
          <cell r="A11" t="str">
            <v>I</v>
          </cell>
        </row>
        <row r="12">
          <cell r="A12" t="str">
            <v>92A</v>
          </cell>
        </row>
        <row r="13">
          <cell r="A13" t="str">
            <v>92B</v>
          </cell>
        </row>
        <row r="14">
          <cell r="A14" t="str">
            <v>193</v>
          </cell>
        </row>
        <row r="15">
          <cell r="A15" t="str">
            <v>94A</v>
          </cell>
        </row>
        <row r="16">
          <cell r="A16" t="str">
            <v>94B</v>
          </cell>
        </row>
        <row r="17">
          <cell r="A17" t="str">
            <v>4BB</v>
          </cell>
        </row>
        <row r="18">
          <cell r="A18" t="str">
            <v>94C</v>
          </cell>
        </row>
        <row r="19">
          <cell r="A19" t="str">
            <v>94D</v>
          </cell>
        </row>
        <row r="20">
          <cell r="A20" t="str">
            <v>4EE</v>
          </cell>
        </row>
        <row r="21">
          <cell r="A21" t="str">
            <v>94F</v>
          </cell>
        </row>
        <row r="22">
          <cell r="A22" t="str">
            <v>94G</v>
          </cell>
        </row>
        <row r="23">
          <cell r="A23" t="str">
            <v>94H</v>
          </cell>
        </row>
        <row r="24">
          <cell r="A24" t="str">
            <v>94I</v>
          </cell>
        </row>
        <row r="25">
          <cell r="A25" t="str">
            <v>94J</v>
          </cell>
        </row>
        <row r="26">
          <cell r="A26" t="str">
            <v>94LA</v>
          </cell>
        </row>
        <row r="27">
          <cell r="A27" t="str">
            <v>94E</v>
          </cell>
        </row>
        <row r="28">
          <cell r="A28" t="str">
            <v>195</v>
          </cell>
        </row>
        <row r="29">
          <cell r="A29" t="str">
            <v>194</v>
          </cell>
        </row>
        <row r="30">
          <cell r="A30" t="str">
            <v>96B</v>
          </cell>
        </row>
        <row r="31">
          <cell r="A31" t="str">
            <v>96C</v>
          </cell>
        </row>
        <row r="32">
          <cell r="A32" t="str">
            <v>96D</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Accounts Payable"/>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PF"/>
      <sheetName val=" PF"/>
      <sheetName val="SAF-320005001.0002"/>
      <sheetName val="SAF"/>
      <sheetName val="HLWF-320005001.0003"/>
      <sheetName val="307099001.0249"/>
      <sheetName val="307099001.0250"/>
      <sheetName val="P.Tax-309007001.0054"/>
      <sheetName val="P.Tax"/>
      <sheetName val="452530001"/>
      <sheetName val="999999004&amp;999999034"/>
      <sheetName val="999999018"/>
      <sheetName val="999999032"/>
      <sheetName val="999999033"/>
      <sheetName val="Invesment-019500001 &amp; 01950004"/>
      <sheetName val="317200004.0202-FMO"/>
      <sheetName val="Trial_Sub"/>
    </sheetNames>
    <sheetDataSet>
      <sheetData sheetId="0">
        <row r="3">
          <cell r="A3" t="str">
            <v>Balance Period Name:SEP-03</v>
          </cell>
        </row>
        <row r="5">
          <cell r="A5" t="str">
            <v>CDR.SA</v>
          </cell>
          <cell r="B5" t="str">
            <v>CDR</v>
          </cell>
          <cell r="C5" t="str">
            <v>Account Desc</v>
          </cell>
          <cell r="D5" t="str">
            <v>SA</v>
          </cell>
          <cell r="E5" t="str">
            <v>Sub Account Desc</v>
          </cell>
          <cell r="F5" t="str">
            <v>Begining Balance Net</v>
          </cell>
          <cell r="G5" t="str">
            <v>Period Activity Net</v>
          </cell>
          <cell r="H5" t="str">
            <v>Ending Activity Net</v>
          </cell>
          <cell r="I5" t="str">
            <v>Responsibility</v>
          </cell>
        </row>
        <row r="6">
          <cell r="A6" t="str">
            <v>010100001.1287</v>
          </cell>
          <cell r="B6" t="str">
            <v>010100001</v>
          </cell>
          <cell r="C6" t="str">
            <v>Cash in Banks</v>
          </cell>
          <cell r="D6" t="str">
            <v>1287</v>
          </cell>
          <cell r="E6" t="str">
            <v>S.C.B. PREET VIHAR (53205010312</v>
          </cell>
          <cell r="F6">
            <v>0</v>
          </cell>
          <cell r="G6">
            <v>139440</v>
          </cell>
          <cell r="H6">
            <v>139440</v>
          </cell>
          <cell r="I6" t="str">
            <v>Vivek</v>
          </cell>
        </row>
        <row r="7">
          <cell r="A7" t="str">
            <v>010100001.2001</v>
          </cell>
          <cell r="B7" t="str">
            <v>010100001</v>
          </cell>
          <cell r="C7" t="str">
            <v>Cash in Banks</v>
          </cell>
          <cell r="D7" t="str">
            <v>2001</v>
          </cell>
          <cell r="E7" t="str">
            <v>CITIBANK(7152-167)-DELHI-Current A/c</v>
          </cell>
          <cell r="F7">
            <v>-3754239.9</v>
          </cell>
          <cell r="G7">
            <v>3267985.34</v>
          </cell>
          <cell r="H7">
            <v>-486254.56</v>
          </cell>
          <cell r="I7" t="str">
            <v>Pankaj</v>
          </cell>
        </row>
        <row r="8">
          <cell r="A8" t="str">
            <v>010100001.2004</v>
          </cell>
          <cell r="B8" t="str">
            <v>010100001</v>
          </cell>
          <cell r="C8" t="str">
            <v>Cash in Banks</v>
          </cell>
          <cell r="D8" t="str">
            <v>2004</v>
          </cell>
          <cell r="E8" t="str">
            <v>SBBJ , NEW DELHI -INGRES</v>
          </cell>
          <cell r="F8">
            <v>-2664501.48</v>
          </cell>
          <cell r="G8">
            <v>2680000</v>
          </cell>
          <cell r="H8">
            <v>15498.52</v>
          </cell>
          <cell r="I8" t="str">
            <v>Vivek</v>
          </cell>
        </row>
        <row r="9">
          <cell r="A9" t="str">
            <v>010100001.2007</v>
          </cell>
          <cell r="B9" t="str">
            <v>010100001</v>
          </cell>
          <cell r="C9" t="str">
            <v>Cash in Banks</v>
          </cell>
          <cell r="D9" t="str">
            <v>2007</v>
          </cell>
          <cell r="E9" t="str">
            <v>FEDERAL BANK -INGRES</v>
          </cell>
          <cell r="F9">
            <v>15598.72</v>
          </cell>
          <cell r="G9">
            <v>-5400</v>
          </cell>
          <cell r="H9">
            <v>10198.719999999999</v>
          </cell>
          <cell r="I9" t="str">
            <v>Vivek</v>
          </cell>
        </row>
        <row r="10">
          <cell r="A10" t="str">
            <v>010100001.2010</v>
          </cell>
          <cell r="B10" t="str">
            <v>010100001</v>
          </cell>
          <cell r="C10" t="str">
            <v>Cash in Banks</v>
          </cell>
          <cell r="D10" t="str">
            <v>2010</v>
          </cell>
          <cell r="E10" t="str">
            <v>SBOP-LUDHIANA-CC A/C -INGRES</v>
          </cell>
          <cell r="F10">
            <v>10522.41</v>
          </cell>
          <cell r="G10">
            <v>0</v>
          </cell>
          <cell r="H10">
            <v>10522.41</v>
          </cell>
          <cell r="I10" t="str">
            <v>Vivek</v>
          </cell>
        </row>
        <row r="11">
          <cell r="A11" t="str">
            <v>010100001.2012</v>
          </cell>
          <cell r="B11" t="str">
            <v>010100001</v>
          </cell>
          <cell r="C11" t="str">
            <v>Cash in Banks</v>
          </cell>
          <cell r="D11" t="str">
            <v>2012</v>
          </cell>
          <cell r="E11" t="str">
            <v>CITIBANK -7152-027CC A/C -INGRES</v>
          </cell>
          <cell r="F11">
            <v>-53615932.810000002</v>
          </cell>
          <cell r="G11">
            <v>-16552566.27</v>
          </cell>
          <cell r="H11">
            <v>-70168499.079999998</v>
          </cell>
          <cell r="I11" t="str">
            <v>Vivek</v>
          </cell>
        </row>
        <row r="12">
          <cell r="A12" t="str">
            <v>010100001.2013</v>
          </cell>
          <cell r="B12" t="str">
            <v>010100001</v>
          </cell>
          <cell r="C12" t="str">
            <v>Cash in Banks</v>
          </cell>
          <cell r="D12" t="str">
            <v>2013</v>
          </cell>
          <cell r="E12" t="str">
            <v>ANZ GRINDLAYS-301800 CC A/C -INGRES</v>
          </cell>
          <cell r="F12">
            <v>-1195953.2</v>
          </cell>
          <cell r="G12">
            <v>3302249.82</v>
          </cell>
          <cell r="H12">
            <v>2106296.62</v>
          </cell>
          <cell r="I12" t="str">
            <v>Vivek</v>
          </cell>
        </row>
        <row r="13">
          <cell r="A13" t="str">
            <v>010100001.2016</v>
          </cell>
          <cell r="B13" t="str">
            <v>010100001</v>
          </cell>
          <cell r="C13" t="str">
            <v>Cash in Banks</v>
          </cell>
          <cell r="D13" t="str">
            <v>2016</v>
          </cell>
          <cell r="E13" t="str">
            <v>CITIBANK -INGRES</v>
          </cell>
          <cell r="F13">
            <v>0.01</v>
          </cell>
          <cell r="G13">
            <v>0</v>
          </cell>
          <cell r="H13">
            <v>0.01</v>
          </cell>
          <cell r="I13" t="str">
            <v>Vivek</v>
          </cell>
        </row>
        <row r="14">
          <cell r="A14" t="str">
            <v>010100001.2019</v>
          </cell>
          <cell r="B14" t="str">
            <v>010100001</v>
          </cell>
          <cell r="C14" t="str">
            <v>Cash in Banks</v>
          </cell>
          <cell r="D14" t="str">
            <v>2019</v>
          </cell>
          <cell r="E14" t="str">
            <v>CITIBANK MUMBAI CC A/C -INGRES</v>
          </cell>
          <cell r="F14">
            <v>-5985327.5300000003</v>
          </cell>
          <cell r="G14">
            <v>4564426.18</v>
          </cell>
          <cell r="H14">
            <v>-1420901.35</v>
          </cell>
          <cell r="I14" t="str">
            <v>Vivek</v>
          </cell>
        </row>
        <row r="15">
          <cell r="A15" t="str">
            <v>010100001.2020</v>
          </cell>
          <cell r="B15" t="str">
            <v>010100001</v>
          </cell>
          <cell r="C15" t="str">
            <v>Cash in Banks</v>
          </cell>
          <cell r="D15" t="str">
            <v>2020</v>
          </cell>
          <cell r="E15" t="str">
            <v>CITIBANK - CAL CC A/C -INGRES</v>
          </cell>
          <cell r="F15">
            <v>-124433.01</v>
          </cell>
          <cell r="G15">
            <v>-466001</v>
          </cell>
          <cell r="H15">
            <v>-590434.01</v>
          </cell>
          <cell r="I15" t="str">
            <v>Vivek</v>
          </cell>
        </row>
        <row r="16">
          <cell r="A16" t="str">
            <v>010100001.2021</v>
          </cell>
          <cell r="B16" t="str">
            <v>010100001</v>
          </cell>
          <cell r="C16" t="str">
            <v>Cash in Banks</v>
          </cell>
          <cell r="D16" t="str">
            <v>2021</v>
          </cell>
          <cell r="E16" t="str">
            <v>ABN AMRO -CC A/C-6244750 -INGRES</v>
          </cell>
          <cell r="F16">
            <v>842701.08</v>
          </cell>
          <cell r="G16">
            <v>-1666690.33</v>
          </cell>
          <cell r="H16">
            <v>-823989.25</v>
          </cell>
          <cell r="I16" t="str">
            <v>Vivek</v>
          </cell>
        </row>
        <row r="17">
          <cell r="A17" t="str">
            <v>010100001.2022</v>
          </cell>
          <cell r="B17" t="str">
            <v>010100001</v>
          </cell>
          <cell r="C17" t="str">
            <v>Cash in Banks</v>
          </cell>
          <cell r="D17" t="str">
            <v>2022</v>
          </cell>
          <cell r="E17" t="str">
            <v>CITIBANK CHENNAI -PRODC/A -INGRES</v>
          </cell>
          <cell r="F17">
            <v>-1189514.1399999999</v>
          </cell>
          <cell r="G17">
            <v>-10430145</v>
          </cell>
          <cell r="H17">
            <v>-11619659.140000001</v>
          </cell>
          <cell r="I17" t="str">
            <v>Vivek</v>
          </cell>
        </row>
        <row r="18">
          <cell r="A18" t="str">
            <v>010100001.2024</v>
          </cell>
          <cell r="B18" t="str">
            <v>010100001</v>
          </cell>
          <cell r="C18" t="str">
            <v>Cash in Banks</v>
          </cell>
          <cell r="D18" t="str">
            <v>2024</v>
          </cell>
          <cell r="E18" t="str">
            <v>BNP -10922-0310 CC A/C -INGRES</v>
          </cell>
          <cell r="F18">
            <v>883.82</v>
          </cell>
          <cell r="G18">
            <v>0</v>
          </cell>
          <cell r="H18">
            <v>883.82</v>
          </cell>
          <cell r="I18" t="str">
            <v>Vivek</v>
          </cell>
        </row>
        <row r="19">
          <cell r="A19" t="str">
            <v>010100001.2025</v>
          </cell>
          <cell r="B19" t="str">
            <v>010100001</v>
          </cell>
          <cell r="C19" t="str">
            <v>Cash in Banks</v>
          </cell>
          <cell r="D19" t="str">
            <v>2025</v>
          </cell>
          <cell r="E19" t="str">
            <v>CASH ON HAND -INGRES</v>
          </cell>
          <cell r="F19">
            <v>-91281.68</v>
          </cell>
          <cell r="G19">
            <v>937962</v>
          </cell>
          <cell r="H19">
            <v>846680.32</v>
          </cell>
          <cell r="I19" t="str">
            <v>Vivek</v>
          </cell>
        </row>
        <row r="20">
          <cell r="A20" t="str">
            <v>010100001.2026</v>
          </cell>
          <cell r="B20" t="str">
            <v>010100001</v>
          </cell>
          <cell r="C20" t="str">
            <v>Cash in Banks</v>
          </cell>
          <cell r="D20" t="str">
            <v>2026</v>
          </cell>
          <cell r="E20" t="str">
            <v>CASH IN HAND - KANPUR -INGRES</v>
          </cell>
          <cell r="F20">
            <v>71524</v>
          </cell>
          <cell r="G20">
            <v>-71535</v>
          </cell>
          <cell r="H20">
            <v>-11</v>
          </cell>
          <cell r="I20" t="str">
            <v>Vivek</v>
          </cell>
        </row>
        <row r="21">
          <cell r="A21" t="str">
            <v>010100001.2027</v>
          </cell>
          <cell r="B21" t="str">
            <v>010100001</v>
          </cell>
          <cell r="C21" t="str">
            <v>Cash in Banks</v>
          </cell>
          <cell r="D21" t="str">
            <v>2027</v>
          </cell>
          <cell r="E21" t="str">
            <v>CASH IN HAND-JAIPUR -INGRES</v>
          </cell>
          <cell r="F21">
            <v>309088</v>
          </cell>
          <cell r="G21">
            <v>-309404</v>
          </cell>
          <cell r="H21">
            <v>-316</v>
          </cell>
          <cell r="I21" t="str">
            <v>Vivek</v>
          </cell>
        </row>
        <row r="22">
          <cell r="A22" t="str">
            <v>010100001.2028</v>
          </cell>
          <cell r="B22" t="str">
            <v>010100001</v>
          </cell>
          <cell r="C22" t="str">
            <v>Cash in Banks</v>
          </cell>
          <cell r="D22" t="str">
            <v>2028</v>
          </cell>
          <cell r="E22" t="str">
            <v>CASH IN HAND - LUDHIANA -INGRES</v>
          </cell>
          <cell r="F22">
            <v>131500</v>
          </cell>
          <cell r="G22">
            <v>-131500</v>
          </cell>
          <cell r="H22">
            <v>0</v>
          </cell>
          <cell r="I22" t="str">
            <v>Vivek</v>
          </cell>
        </row>
        <row r="23">
          <cell r="A23" t="str">
            <v>010100001.2029</v>
          </cell>
          <cell r="B23" t="str">
            <v>010100001</v>
          </cell>
          <cell r="C23" t="str">
            <v>Cash in Banks</v>
          </cell>
          <cell r="D23" t="str">
            <v>2029</v>
          </cell>
          <cell r="E23" t="str">
            <v>CASH IN HAND INDORE -INGRES</v>
          </cell>
          <cell r="F23">
            <v>-217125</v>
          </cell>
          <cell r="G23">
            <v>217125</v>
          </cell>
          <cell r="H23">
            <v>0</v>
          </cell>
          <cell r="I23" t="str">
            <v>Vivek</v>
          </cell>
        </row>
        <row r="24">
          <cell r="A24" t="str">
            <v>010100001.2030</v>
          </cell>
          <cell r="B24" t="str">
            <v>010100001</v>
          </cell>
          <cell r="C24" t="str">
            <v>Cash in Banks</v>
          </cell>
          <cell r="D24" t="str">
            <v>2030</v>
          </cell>
          <cell r="E24" t="str">
            <v>CASH IN HAND - CHANDIGARH -INGRES</v>
          </cell>
          <cell r="F24">
            <v>24000</v>
          </cell>
          <cell r="G24">
            <v>0</v>
          </cell>
          <cell r="H24">
            <v>24000</v>
          </cell>
          <cell r="I24" t="str">
            <v>Vivek</v>
          </cell>
        </row>
        <row r="25">
          <cell r="A25" t="str">
            <v>010100001.2033</v>
          </cell>
          <cell r="B25" t="str">
            <v>010100001</v>
          </cell>
          <cell r="C25" t="str">
            <v>Cash in Banks</v>
          </cell>
          <cell r="D25" t="str">
            <v>2033</v>
          </cell>
          <cell r="E25" t="str">
            <v>CASH ON HAND - SURAT -INGRES</v>
          </cell>
          <cell r="F25">
            <v>-2</v>
          </cell>
          <cell r="G25">
            <v>0</v>
          </cell>
          <cell r="H25">
            <v>-2</v>
          </cell>
          <cell r="I25" t="str">
            <v>Vivek</v>
          </cell>
        </row>
        <row r="26">
          <cell r="A26" t="str">
            <v>010100001.2034</v>
          </cell>
          <cell r="B26" t="str">
            <v>010100001</v>
          </cell>
          <cell r="C26" t="str">
            <v>Cash in Banks</v>
          </cell>
          <cell r="D26" t="str">
            <v>2034</v>
          </cell>
          <cell r="E26" t="str">
            <v>CASH IN HAND - MADRAS -INGRES</v>
          </cell>
          <cell r="F26">
            <v>-1</v>
          </cell>
          <cell r="G26">
            <v>0</v>
          </cell>
          <cell r="H26">
            <v>-1</v>
          </cell>
          <cell r="I26" t="str">
            <v>Vivek</v>
          </cell>
        </row>
        <row r="27">
          <cell r="A27" t="str">
            <v>010100001.2035</v>
          </cell>
          <cell r="B27" t="str">
            <v>010100001</v>
          </cell>
          <cell r="C27" t="str">
            <v>Cash in Banks</v>
          </cell>
          <cell r="D27" t="str">
            <v>2035</v>
          </cell>
          <cell r="E27" t="str">
            <v>CASH IN HAND - JODHPUR -INGRES</v>
          </cell>
          <cell r="F27">
            <v>-161372</v>
          </cell>
          <cell r="G27">
            <v>438226</v>
          </cell>
          <cell r="H27">
            <v>276854</v>
          </cell>
          <cell r="I27" t="str">
            <v>Vivek</v>
          </cell>
        </row>
        <row r="28">
          <cell r="A28" t="str">
            <v>010100001.2039</v>
          </cell>
          <cell r="B28" t="str">
            <v>010100001</v>
          </cell>
          <cell r="C28" t="str">
            <v>Cash in Banks</v>
          </cell>
          <cell r="D28" t="str">
            <v>2039</v>
          </cell>
          <cell r="E28" t="str">
            <v>CASH IN HAND - AMRITSAR -INGRES</v>
          </cell>
          <cell r="F28">
            <v>40500</v>
          </cell>
          <cell r="G28">
            <v>-40500</v>
          </cell>
          <cell r="H28">
            <v>0</v>
          </cell>
          <cell r="I28" t="str">
            <v>Vivek</v>
          </cell>
        </row>
        <row r="29">
          <cell r="A29" t="str">
            <v>010100001.2040</v>
          </cell>
          <cell r="B29" t="str">
            <v>010100001</v>
          </cell>
          <cell r="C29" t="str">
            <v>Cash in Banks</v>
          </cell>
          <cell r="D29" t="str">
            <v>2040</v>
          </cell>
          <cell r="E29" t="str">
            <v>CASH IN HAND ROHTAK -HARYANA-INGRES</v>
          </cell>
          <cell r="F29">
            <v>45110</v>
          </cell>
          <cell r="G29">
            <v>-45110</v>
          </cell>
          <cell r="H29">
            <v>0</v>
          </cell>
          <cell r="I29" t="str">
            <v>Vivek</v>
          </cell>
        </row>
        <row r="30">
          <cell r="A30" t="str">
            <v>010100001.2041</v>
          </cell>
          <cell r="B30" t="str">
            <v>010100001</v>
          </cell>
          <cell r="C30" t="str">
            <v>Cash in Banks</v>
          </cell>
          <cell r="D30" t="str">
            <v>2041</v>
          </cell>
          <cell r="E30" t="str">
            <v>BANK OF PUNJAB-NORTH -INGRES</v>
          </cell>
          <cell r="F30">
            <v>5718736.8600000003</v>
          </cell>
          <cell r="G30">
            <v>3314128</v>
          </cell>
          <cell r="H30">
            <v>9032864.8599999994</v>
          </cell>
          <cell r="I30" t="str">
            <v>Vivek</v>
          </cell>
        </row>
        <row r="31">
          <cell r="A31" t="str">
            <v>010100001.2049</v>
          </cell>
          <cell r="B31" t="str">
            <v>010100001</v>
          </cell>
          <cell r="C31" t="str">
            <v>Cash in Banks</v>
          </cell>
          <cell r="D31" t="str">
            <v>2049</v>
          </cell>
          <cell r="E31" t="str">
            <v>ANZ GRINDLAYS - AMRITSAR A/C -INGRES</v>
          </cell>
          <cell r="F31">
            <v>682450</v>
          </cell>
          <cell r="G31">
            <v>-90114</v>
          </cell>
          <cell r="H31">
            <v>592336</v>
          </cell>
          <cell r="I31" t="str">
            <v>Vivek</v>
          </cell>
        </row>
        <row r="32">
          <cell r="A32" t="str">
            <v>010100001.2050</v>
          </cell>
          <cell r="B32" t="str">
            <v>010100001</v>
          </cell>
          <cell r="C32" t="str">
            <v>Cash in Banks</v>
          </cell>
          <cell r="D32" t="str">
            <v>2050</v>
          </cell>
          <cell r="E32" t="str">
            <v>ANZ GRINDLAYS - KANPUR A/C -INGRES</v>
          </cell>
          <cell r="F32">
            <v>4260911</v>
          </cell>
          <cell r="G32">
            <v>-3173024</v>
          </cell>
          <cell r="H32">
            <v>1087887</v>
          </cell>
          <cell r="I32" t="str">
            <v>Vivek</v>
          </cell>
        </row>
        <row r="33">
          <cell r="A33" t="str">
            <v>010100001.2052</v>
          </cell>
          <cell r="B33" t="str">
            <v>010100001</v>
          </cell>
          <cell r="C33" t="str">
            <v>Cash in Banks</v>
          </cell>
          <cell r="D33" t="str">
            <v>2052</v>
          </cell>
          <cell r="E33" t="str">
            <v>SBBJ - INDORE CURR. A/C -INGRES</v>
          </cell>
          <cell r="F33">
            <v>9393.58</v>
          </cell>
          <cell r="G33">
            <v>0</v>
          </cell>
          <cell r="H33">
            <v>9393.58</v>
          </cell>
          <cell r="I33" t="str">
            <v>Vivek</v>
          </cell>
        </row>
        <row r="34">
          <cell r="A34" t="str">
            <v>010100001.2055</v>
          </cell>
          <cell r="B34" t="str">
            <v>010100001</v>
          </cell>
          <cell r="C34" t="str">
            <v>Cash in Banks</v>
          </cell>
          <cell r="D34" t="str">
            <v>2055</v>
          </cell>
          <cell r="E34" t="str">
            <v>SBBJ-JODHPUR C-A/C -INGRES</v>
          </cell>
          <cell r="F34">
            <v>4710394.8</v>
          </cell>
          <cell r="G34">
            <v>-4435471</v>
          </cell>
          <cell r="H34">
            <v>274923.8</v>
          </cell>
          <cell r="I34" t="str">
            <v>Vivek</v>
          </cell>
        </row>
        <row r="35">
          <cell r="A35" t="str">
            <v>010100001.2058</v>
          </cell>
          <cell r="B35" t="str">
            <v>010100001</v>
          </cell>
          <cell r="C35" t="str">
            <v>Cash in Banks</v>
          </cell>
          <cell r="D35" t="str">
            <v>2058</v>
          </cell>
          <cell r="E35" t="str">
            <v>CITI BANK-CPPF-ACCT. -INGRES</v>
          </cell>
          <cell r="F35">
            <v>-561294.37</v>
          </cell>
          <cell r="G35">
            <v>8830197.1199999992</v>
          </cell>
          <cell r="H35">
            <v>8268902.75</v>
          </cell>
          <cell r="I35" t="str">
            <v>Vivek</v>
          </cell>
        </row>
        <row r="36">
          <cell r="A36" t="str">
            <v>010100001.2059</v>
          </cell>
          <cell r="B36" t="str">
            <v>010100001</v>
          </cell>
          <cell r="C36" t="str">
            <v>Cash in Banks</v>
          </cell>
          <cell r="D36" t="str">
            <v>2059</v>
          </cell>
          <cell r="E36" t="str">
            <v>CITI CPPF WEST 7152086 -INGRES</v>
          </cell>
          <cell r="F36">
            <v>1944974.83</v>
          </cell>
          <cell r="G36">
            <v>9646151.3100000005</v>
          </cell>
          <cell r="H36">
            <v>11591126.140000001</v>
          </cell>
          <cell r="I36" t="str">
            <v>Vivek</v>
          </cell>
        </row>
        <row r="37">
          <cell r="A37" t="str">
            <v>010100001.2060</v>
          </cell>
          <cell r="B37" t="str">
            <v>010100001</v>
          </cell>
          <cell r="C37" t="str">
            <v>Cash in Banks</v>
          </cell>
          <cell r="D37" t="str">
            <v>2060</v>
          </cell>
          <cell r="E37" t="str">
            <v>CITI CPPF EAST 7152078 -INGRES</v>
          </cell>
          <cell r="F37">
            <v>99883</v>
          </cell>
          <cell r="G37">
            <v>362939</v>
          </cell>
          <cell r="H37">
            <v>462822</v>
          </cell>
          <cell r="I37" t="str">
            <v>Vivek</v>
          </cell>
        </row>
        <row r="38">
          <cell r="A38" t="str">
            <v>010100001.2061</v>
          </cell>
          <cell r="B38" t="str">
            <v>010100001</v>
          </cell>
          <cell r="C38" t="str">
            <v>Cash in Banks</v>
          </cell>
          <cell r="D38" t="str">
            <v>2061</v>
          </cell>
          <cell r="E38" t="str">
            <v>CITI CPPF SOUTH 7152094 -INGRES</v>
          </cell>
          <cell r="F38">
            <v>367295</v>
          </cell>
          <cell r="G38">
            <v>1659784</v>
          </cell>
          <cell r="H38">
            <v>2027079</v>
          </cell>
          <cell r="I38" t="str">
            <v>Vivek</v>
          </cell>
        </row>
        <row r="39">
          <cell r="A39" t="str">
            <v>010100001.2062</v>
          </cell>
          <cell r="B39" t="str">
            <v>010100001</v>
          </cell>
          <cell r="C39" t="str">
            <v>Cash in Banks</v>
          </cell>
          <cell r="D39" t="str">
            <v>2062</v>
          </cell>
          <cell r="E39" t="str">
            <v>SBOP, DELHI NO LIEN A/C -INGRES</v>
          </cell>
          <cell r="F39">
            <v>3582.73</v>
          </cell>
          <cell r="G39">
            <v>0</v>
          </cell>
          <cell r="H39">
            <v>3582.73</v>
          </cell>
          <cell r="I39" t="str">
            <v>Vivek</v>
          </cell>
        </row>
        <row r="40">
          <cell r="A40" t="str">
            <v>010100001.2065</v>
          </cell>
          <cell r="B40" t="str">
            <v>010100001</v>
          </cell>
          <cell r="C40" t="str">
            <v>Cash in Banks</v>
          </cell>
          <cell r="D40" t="str">
            <v>2065</v>
          </cell>
          <cell r="E40" t="str">
            <v>CITIBANK -7152-159 A/C -INGRES</v>
          </cell>
          <cell r="F40">
            <v>37551625.460000001</v>
          </cell>
          <cell r="G40">
            <v>76575.72</v>
          </cell>
          <cell r="H40">
            <v>37628201.18</v>
          </cell>
          <cell r="I40" t="str">
            <v>Vivek</v>
          </cell>
        </row>
        <row r="41">
          <cell r="A41" t="str">
            <v>010100001.2066</v>
          </cell>
          <cell r="B41" t="str">
            <v>010100001</v>
          </cell>
          <cell r="C41" t="str">
            <v>Cash in Banks</v>
          </cell>
          <cell r="D41" t="str">
            <v>2066</v>
          </cell>
          <cell r="E41" t="str">
            <v>CITI CPPF NORTH OBC 7152108 -INGRES</v>
          </cell>
          <cell r="F41">
            <v>133681.42000000001</v>
          </cell>
          <cell r="G41">
            <v>60.71</v>
          </cell>
          <cell r="H41">
            <v>133742.13</v>
          </cell>
          <cell r="I41" t="str">
            <v>Vivek</v>
          </cell>
        </row>
        <row r="42">
          <cell r="A42" t="str">
            <v>010100001.2067</v>
          </cell>
          <cell r="B42" t="str">
            <v>010100001</v>
          </cell>
          <cell r="C42" t="str">
            <v>Cash in Banks</v>
          </cell>
          <cell r="D42" t="str">
            <v>2067</v>
          </cell>
          <cell r="E42" t="str">
            <v>CITI CPPF OBC-E -INGRES</v>
          </cell>
          <cell r="F42">
            <v>22892.31</v>
          </cell>
          <cell r="G42">
            <v>0</v>
          </cell>
          <cell r="H42">
            <v>22892.31</v>
          </cell>
          <cell r="I42" t="str">
            <v>Vivek</v>
          </cell>
        </row>
        <row r="43">
          <cell r="A43" t="str">
            <v>010100001.2068</v>
          </cell>
          <cell r="B43" t="str">
            <v>010100001</v>
          </cell>
          <cell r="C43" t="str">
            <v>Cash in Banks</v>
          </cell>
          <cell r="D43" t="str">
            <v>2068</v>
          </cell>
          <cell r="E43" t="str">
            <v>CITI CPPF OBC-S -INGRES</v>
          </cell>
          <cell r="F43">
            <v>700779.57</v>
          </cell>
          <cell r="G43">
            <v>204278.55</v>
          </cell>
          <cell r="H43">
            <v>905058.12</v>
          </cell>
          <cell r="I43" t="str">
            <v>Vivek</v>
          </cell>
        </row>
        <row r="44">
          <cell r="A44" t="str">
            <v>010100001.2070</v>
          </cell>
          <cell r="B44" t="str">
            <v>010100001</v>
          </cell>
          <cell r="C44" t="str">
            <v>Cash in Banks</v>
          </cell>
          <cell r="D44" t="str">
            <v>2070</v>
          </cell>
          <cell r="E44" t="str">
            <v>SBOP MAIN-DEL-OUTS -INGRES</v>
          </cell>
          <cell r="F44">
            <v>6172.32</v>
          </cell>
          <cell r="G44">
            <v>0</v>
          </cell>
          <cell r="H44">
            <v>6172.32</v>
          </cell>
          <cell r="I44" t="str">
            <v>Vivek</v>
          </cell>
        </row>
        <row r="45">
          <cell r="A45" t="str">
            <v>010100001.2071</v>
          </cell>
          <cell r="B45" t="str">
            <v>010100001</v>
          </cell>
          <cell r="C45" t="str">
            <v>Cash in Banks</v>
          </cell>
          <cell r="D45" t="str">
            <v>2071</v>
          </cell>
          <cell r="E45" t="str">
            <v>SBOP JULLUNDHUR CURR. A/C -INGRES</v>
          </cell>
          <cell r="F45">
            <v>9619.17</v>
          </cell>
          <cell r="G45">
            <v>0</v>
          </cell>
          <cell r="H45">
            <v>9619.17</v>
          </cell>
          <cell r="I45" t="str">
            <v>Vivek</v>
          </cell>
        </row>
        <row r="46">
          <cell r="A46" t="str">
            <v>010100001.2073</v>
          </cell>
          <cell r="B46" t="str">
            <v>010100001</v>
          </cell>
          <cell r="C46" t="str">
            <v>Cash in Banks</v>
          </cell>
          <cell r="D46" t="str">
            <v>2073</v>
          </cell>
          <cell r="E46" t="str">
            <v>SBI - MUZAFFARNAGAR BRANCH -INGRES</v>
          </cell>
          <cell r="F46">
            <v>6654780</v>
          </cell>
          <cell r="G46">
            <v>-6275930</v>
          </cell>
          <cell r="H46">
            <v>378850</v>
          </cell>
          <cell r="I46" t="str">
            <v>Vivek</v>
          </cell>
        </row>
        <row r="47">
          <cell r="A47" t="str">
            <v>010100001.2074</v>
          </cell>
          <cell r="B47" t="str">
            <v>010100001</v>
          </cell>
          <cell r="C47" t="str">
            <v>Cash in Banks</v>
          </cell>
          <cell r="D47" t="str">
            <v>2074</v>
          </cell>
          <cell r="E47" t="str">
            <v>VYSYA BANK LTD - SURAT CMS AC -INGRES</v>
          </cell>
          <cell r="F47">
            <v>11297668</v>
          </cell>
          <cell r="G47">
            <v>-798212</v>
          </cell>
          <cell r="H47">
            <v>10499456</v>
          </cell>
          <cell r="I47" t="str">
            <v>Vivek</v>
          </cell>
        </row>
        <row r="48">
          <cell r="A48" t="str">
            <v>010100001.2075</v>
          </cell>
          <cell r="B48" t="str">
            <v>010100001</v>
          </cell>
          <cell r="C48" t="str">
            <v>Cash in Banks</v>
          </cell>
          <cell r="D48" t="str">
            <v>2075</v>
          </cell>
          <cell r="E48" t="str">
            <v>CASH AT BANK - FIXED DEPOSITS -INGRES</v>
          </cell>
          <cell r="F48">
            <v>126500</v>
          </cell>
          <cell r="G48">
            <v>0</v>
          </cell>
          <cell r="H48">
            <v>126500</v>
          </cell>
          <cell r="I48" t="str">
            <v>Vivek</v>
          </cell>
        </row>
        <row r="49">
          <cell r="A49" t="str">
            <v>010100001.2077</v>
          </cell>
          <cell r="B49" t="str">
            <v>010100001</v>
          </cell>
          <cell r="C49" t="str">
            <v>Cash in Banks</v>
          </cell>
          <cell r="D49" t="str">
            <v>2077</v>
          </cell>
          <cell r="E49" t="str">
            <v>VIJAYA BANK-FINAL DIV.95-96 -INGRES</v>
          </cell>
          <cell r="F49">
            <v>380583.33</v>
          </cell>
          <cell r="G49">
            <v>0</v>
          </cell>
          <cell r="H49">
            <v>380583.33</v>
          </cell>
          <cell r="I49" t="str">
            <v>Vivek</v>
          </cell>
        </row>
        <row r="50">
          <cell r="A50" t="str">
            <v>010100001.2079</v>
          </cell>
          <cell r="B50" t="str">
            <v>010100001</v>
          </cell>
          <cell r="C50" t="str">
            <v>Cash in Banks</v>
          </cell>
          <cell r="D50" t="str">
            <v>2079</v>
          </cell>
          <cell r="E50" t="str">
            <v>DEUTSCHE BANK, WEST -INGRES</v>
          </cell>
          <cell r="F50">
            <v>5906463.9900000002</v>
          </cell>
          <cell r="G50">
            <v>4987341</v>
          </cell>
          <cell r="H50">
            <v>10893804.99</v>
          </cell>
          <cell r="I50" t="str">
            <v>Vivek</v>
          </cell>
        </row>
        <row r="51">
          <cell r="A51" t="str">
            <v>010100001.2081</v>
          </cell>
          <cell r="B51" t="str">
            <v>010100001</v>
          </cell>
          <cell r="C51" t="str">
            <v>Cash in Banks</v>
          </cell>
          <cell r="D51" t="str">
            <v>2081</v>
          </cell>
          <cell r="E51" t="str">
            <v>Bank of Rajasthan(1400301-111201)</v>
          </cell>
          <cell r="F51">
            <v>-235662</v>
          </cell>
          <cell r="G51">
            <v>2536534</v>
          </cell>
          <cell r="H51">
            <v>2300872</v>
          </cell>
          <cell r="I51" t="str">
            <v>Vivek</v>
          </cell>
        </row>
        <row r="52">
          <cell r="A52" t="str">
            <v>010100001.2082</v>
          </cell>
          <cell r="B52" t="str">
            <v>010100001</v>
          </cell>
          <cell r="C52" t="str">
            <v>Cash in Banks</v>
          </cell>
          <cell r="D52" t="str">
            <v>2082</v>
          </cell>
          <cell r="E52" t="str">
            <v>Corporation Bank(Ingres)</v>
          </cell>
          <cell r="F52">
            <v>3816320.2</v>
          </cell>
          <cell r="G52">
            <v>-998637</v>
          </cell>
          <cell r="H52">
            <v>2817683.2</v>
          </cell>
          <cell r="I52" t="str">
            <v>Vivek</v>
          </cell>
        </row>
        <row r="53">
          <cell r="A53" t="str">
            <v>010100001.2083</v>
          </cell>
          <cell r="B53" t="str">
            <v>010100001</v>
          </cell>
          <cell r="C53" t="str">
            <v>Cash in Banks</v>
          </cell>
          <cell r="D53" t="str">
            <v>2083</v>
          </cell>
          <cell r="E53" t="str">
            <v>FD for ABS -- 10</v>
          </cell>
          <cell r="F53">
            <v>15600000</v>
          </cell>
          <cell r="G53">
            <v>0</v>
          </cell>
          <cell r="H53">
            <v>15600000</v>
          </cell>
          <cell r="I53" t="str">
            <v>Vivek</v>
          </cell>
        </row>
        <row r="54">
          <cell r="A54" t="str">
            <v>019240001.0000</v>
          </cell>
          <cell r="B54" t="str">
            <v>019240001</v>
          </cell>
          <cell r="C54" t="str">
            <v>Jan 1. Secuities of a foreign government and its agencies</v>
          </cell>
          <cell r="D54" t="str">
            <v>0000</v>
          </cell>
          <cell r="E54" t="str">
            <v>None</v>
          </cell>
          <cell r="F54">
            <v>20221318.210000001</v>
          </cell>
          <cell r="G54">
            <v>0</v>
          </cell>
          <cell r="H54">
            <v>20221318.210000001</v>
          </cell>
          <cell r="I54" t="str">
            <v>Vivek</v>
          </cell>
        </row>
        <row r="55">
          <cell r="A55" t="str">
            <v>019240002.0002</v>
          </cell>
          <cell r="B55" t="str">
            <v>019240002</v>
          </cell>
          <cell r="C55" t="str">
            <v>Securities of a foreign government and its agencies- YTD Purchases at Cost</v>
          </cell>
          <cell r="D55" t="str">
            <v>0002</v>
          </cell>
          <cell r="E55" t="str">
            <v>Quoted</v>
          </cell>
          <cell r="F55">
            <v>12010000</v>
          </cell>
          <cell r="G55">
            <v>0</v>
          </cell>
          <cell r="H55">
            <v>12010000</v>
          </cell>
          <cell r="I55" t="str">
            <v>Vivek</v>
          </cell>
        </row>
        <row r="56">
          <cell r="A56" t="str">
            <v>019240002.0004</v>
          </cell>
          <cell r="B56" t="str">
            <v>019240002</v>
          </cell>
          <cell r="C56" t="str">
            <v>Securities of a foreign government and its agencies- YTD Purchases at Cost</v>
          </cell>
          <cell r="D56" t="str">
            <v>0004</v>
          </cell>
          <cell r="E56" t="str">
            <v>Investement for ABS-10</v>
          </cell>
          <cell r="F56">
            <v>20025192</v>
          </cell>
          <cell r="G56">
            <v>0</v>
          </cell>
          <cell r="H56">
            <v>20025192</v>
          </cell>
          <cell r="I56" t="str">
            <v>Mishraji</v>
          </cell>
        </row>
        <row r="57">
          <cell r="A57" t="str">
            <v>019240003.0001</v>
          </cell>
          <cell r="B57" t="str">
            <v>019240003</v>
          </cell>
          <cell r="C57" t="str">
            <v>Securities of a foreign government and its agencies- YTD Purchases at Cost YTD Amortization of Premium / Discount</v>
          </cell>
          <cell r="D57" t="str">
            <v>0001</v>
          </cell>
          <cell r="E57" t="str">
            <v>Quoted</v>
          </cell>
          <cell r="F57">
            <v>-98808.76</v>
          </cell>
          <cell r="G57">
            <v>-49404.76</v>
          </cell>
          <cell r="H57">
            <v>-148213.51999999999</v>
          </cell>
          <cell r="I57" t="str">
            <v>Vivek</v>
          </cell>
        </row>
        <row r="58">
          <cell r="A58" t="str">
            <v>019240004.0000</v>
          </cell>
          <cell r="B58" t="str">
            <v>019240004</v>
          </cell>
          <cell r="C58" t="str">
            <v>Securities of a foreign government and its agencies- YTD Sales Amortized Cost</v>
          </cell>
          <cell r="D58" t="str">
            <v>0000</v>
          </cell>
          <cell r="E58" t="str">
            <v>None</v>
          </cell>
          <cell r="F58">
            <v>-20221318.890000001</v>
          </cell>
          <cell r="G58">
            <v>0</v>
          </cell>
          <cell r="H58">
            <v>-20221318.890000001</v>
          </cell>
          <cell r="I58" t="str">
            <v>Vivek</v>
          </cell>
        </row>
        <row r="59">
          <cell r="A59" t="str">
            <v>019240004.0004</v>
          </cell>
          <cell r="B59" t="str">
            <v>019240004</v>
          </cell>
          <cell r="C59" t="str">
            <v>Securities of a foreign government and its agencies- YTD Sales Amortized Cost</v>
          </cell>
          <cell r="D59" t="str">
            <v>0004</v>
          </cell>
          <cell r="E59" t="str">
            <v>Investment for ABS-10</v>
          </cell>
          <cell r="F59">
            <v>-6318296</v>
          </cell>
          <cell r="G59">
            <v>-1405967</v>
          </cell>
          <cell r="H59">
            <v>-7724263</v>
          </cell>
          <cell r="I59" t="str">
            <v>Mishraji</v>
          </cell>
        </row>
        <row r="60">
          <cell r="A60" t="str">
            <v>019500001.0001</v>
          </cell>
          <cell r="B60" t="str">
            <v>019500001</v>
          </cell>
          <cell r="C60" t="str">
            <v>Amortized Cost at Jan 1</v>
          </cell>
          <cell r="D60" t="str">
            <v>0001</v>
          </cell>
          <cell r="E60" t="str">
            <v>Investment in Associated Cos.</v>
          </cell>
          <cell r="F60">
            <v>50700000</v>
          </cell>
          <cell r="G60">
            <v>0</v>
          </cell>
          <cell r="H60">
            <v>50700000</v>
          </cell>
          <cell r="I60" t="str">
            <v>Pankaj</v>
          </cell>
        </row>
        <row r="61">
          <cell r="A61" t="str">
            <v>019500004.0001</v>
          </cell>
          <cell r="B61" t="str">
            <v>019500004</v>
          </cell>
          <cell r="C61" t="str">
            <v>YTD Sales at Amortized Cost</v>
          </cell>
          <cell r="D61" t="str">
            <v>0001</v>
          </cell>
          <cell r="E61" t="str">
            <v>Quoted</v>
          </cell>
          <cell r="F61">
            <v>-50700000</v>
          </cell>
          <cell r="G61">
            <v>0</v>
          </cell>
          <cell r="H61">
            <v>-50700000</v>
          </cell>
          <cell r="I61" t="str">
            <v>Pankaj</v>
          </cell>
        </row>
        <row r="62">
          <cell r="A62" t="str">
            <v>030001001.0001</v>
          </cell>
          <cell r="B62" t="str">
            <v>030001001</v>
          </cell>
          <cell r="C62" t="str">
            <v>January 1 Balance</v>
          </cell>
          <cell r="D62" t="str">
            <v>0001</v>
          </cell>
          <cell r="E62" t="str">
            <v>Financing Loans</v>
          </cell>
          <cell r="F62">
            <v>2185785399</v>
          </cell>
          <cell r="G62">
            <v>0</v>
          </cell>
          <cell r="H62">
            <v>2185785399</v>
          </cell>
          <cell r="I62" t="str">
            <v>Mishraji</v>
          </cell>
        </row>
        <row r="63">
          <cell r="A63" t="str">
            <v>030001001.0002</v>
          </cell>
          <cell r="B63" t="str">
            <v>030001001</v>
          </cell>
          <cell r="C63" t="str">
            <v>January 1 Balance</v>
          </cell>
          <cell r="D63" t="str">
            <v>0002</v>
          </cell>
          <cell r="E63" t="str">
            <v>Financing Loans Debtors</v>
          </cell>
          <cell r="F63">
            <v>28731078.890000001</v>
          </cell>
          <cell r="G63">
            <v>0</v>
          </cell>
          <cell r="H63">
            <v>28731078.890000001</v>
          </cell>
          <cell r="I63" t="str">
            <v>Mishraji</v>
          </cell>
        </row>
        <row r="64">
          <cell r="A64" t="str">
            <v>030001001.0007</v>
          </cell>
          <cell r="B64" t="str">
            <v>030001001</v>
          </cell>
          <cell r="C64" t="str">
            <v>January 1 Balance</v>
          </cell>
          <cell r="D64" t="str">
            <v>0007</v>
          </cell>
          <cell r="E64" t="str">
            <v>CNG TRUCK BOOKING -INGRES</v>
          </cell>
          <cell r="F64">
            <v>3812500</v>
          </cell>
          <cell r="G64">
            <v>0</v>
          </cell>
          <cell r="H64">
            <v>3812500</v>
          </cell>
          <cell r="I64" t="str">
            <v>Mishraji</v>
          </cell>
        </row>
        <row r="65">
          <cell r="A65" t="str">
            <v>030001001.0008</v>
          </cell>
          <cell r="B65" t="str">
            <v>030001001</v>
          </cell>
          <cell r="C65" t="str">
            <v>January 1 Balance</v>
          </cell>
          <cell r="D65" t="str">
            <v>0008</v>
          </cell>
          <cell r="E65" t="str">
            <v>GURANTEE INST. RECEIVABLE -INGRES</v>
          </cell>
          <cell r="F65">
            <v>71874.44</v>
          </cell>
          <cell r="G65">
            <v>0</v>
          </cell>
          <cell r="H65">
            <v>71874.44</v>
          </cell>
          <cell r="I65" t="str">
            <v>Mishraji</v>
          </cell>
        </row>
        <row r="66">
          <cell r="A66" t="str">
            <v>030001002.0001</v>
          </cell>
          <cell r="B66" t="str">
            <v>030001002</v>
          </cell>
          <cell r="C66" t="str">
            <v>Current Year Collections - Liquidations</v>
          </cell>
          <cell r="D66" t="str">
            <v>0001</v>
          </cell>
          <cell r="E66" t="str">
            <v>Financing Loans</v>
          </cell>
          <cell r="F66">
            <v>2350163184.29</v>
          </cell>
          <cell r="G66">
            <v>110172933</v>
          </cell>
          <cell r="H66">
            <v>2460336117.29</v>
          </cell>
          <cell r="I66" t="str">
            <v>Mishraji</v>
          </cell>
        </row>
        <row r="67">
          <cell r="A67" t="str">
            <v>030001002.0002</v>
          </cell>
          <cell r="B67" t="str">
            <v>030001002</v>
          </cell>
          <cell r="C67" t="str">
            <v>Current Year Collections - Liquidations</v>
          </cell>
          <cell r="D67" t="str">
            <v>0002</v>
          </cell>
          <cell r="E67" t="str">
            <v>Financing Loans Debtors</v>
          </cell>
          <cell r="F67">
            <v>83074094.189999998</v>
          </cell>
          <cell r="G67">
            <v>42532792.340000004</v>
          </cell>
          <cell r="H67">
            <v>125606886.53</v>
          </cell>
          <cell r="I67" t="str">
            <v>Mishraji</v>
          </cell>
        </row>
        <row r="68">
          <cell r="A68" t="str">
            <v>030001002.0007</v>
          </cell>
          <cell r="B68" t="str">
            <v>030001002</v>
          </cell>
          <cell r="C68" t="str">
            <v>Current Year Collections - Liquidations</v>
          </cell>
          <cell r="D68" t="str">
            <v>0007</v>
          </cell>
          <cell r="E68" t="str">
            <v>CNG TRUCK BOOKING -INGRES</v>
          </cell>
          <cell r="F68">
            <v>-262500</v>
          </cell>
          <cell r="G68">
            <v>-1750000</v>
          </cell>
          <cell r="H68">
            <v>-2012500</v>
          </cell>
          <cell r="I68" t="str">
            <v>Mishraji</v>
          </cell>
        </row>
        <row r="69">
          <cell r="A69" t="str">
            <v>030001002.0008</v>
          </cell>
          <cell r="B69" t="str">
            <v>030001002</v>
          </cell>
          <cell r="C69" t="str">
            <v>Current Year Collections - Liquidations</v>
          </cell>
          <cell r="D69" t="str">
            <v>0008</v>
          </cell>
          <cell r="E69" t="str">
            <v>GURANTEE INST. RECEIVABLE -INGRES</v>
          </cell>
          <cell r="F69">
            <v>1300727</v>
          </cell>
          <cell r="G69">
            <v>0</v>
          </cell>
          <cell r="H69">
            <v>1300727</v>
          </cell>
          <cell r="I69" t="str">
            <v>Mishraji</v>
          </cell>
        </row>
        <row r="70">
          <cell r="A70" t="str">
            <v>047001001.0014</v>
          </cell>
          <cell r="B70" t="str">
            <v>047001001</v>
          </cell>
          <cell r="C70" t="str">
            <v>January 1 Balance</v>
          </cell>
          <cell r="D70" t="str">
            <v>0014</v>
          </cell>
          <cell r="E70" t="str">
            <v>LEASED PLANT AND MACHINE</v>
          </cell>
          <cell r="F70">
            <v>601497209.87</v>
          </cell>
          <cell r="G70">
            <v>0</v>
          </cell>
          <cell r="H70">
            <v>601497209.87</v>
          </cell>
          <cell r="I70" t="str">
            <v>Mishraji</v>
          </cell>
        </row>
        <row r="71">
          <cell r="A71" t="str">
            <v>047001001.0015</v>
          </cell>
          <cell r="B71" t="str">
            <v>047001001</v>
          </cell>
          <cell r="C71" t="str">
            <v>January 1 Balance</v>
          </cell>
          <cell r="D71" t="str">
            <v>0015</v>
          </cell>
          <cell r="E71" t="str">
            <v>LEASED AIR CONDITIONERS</v>
          </cell>
          <cell r="F71">
            <v>10413874.199999999</v>
          </cell>
          <cell r="G71">
            <v>0</v>
          </cell>
          <cell r="H71">
            <v>10413874.199999999</v>
          </cell>
          <cell r="I71" t="str">
            <v>Mishraji</v>
          </cell>
        </row>
        <row r="72">
          <cell r="A72" t="str">
            <v>047001001.0016</v>
          </cell>
          <cell r="B72" t="str">
            <v>047001001</v>
          </cell>
          <cell r="C72" t="str">
            <v>January 1 Balance</v>
          </cell>
          <cell r="D72" t="str">
            <v>0016</v>
          </cell>
          <cell r="E72" t="str">
            <v>LEASED GEN SETS -INGRES</v>
          </cell>
          <cell r="F72">
            <v>1358389</v>
          </cell>
          <cell r="G72">
            <v>0</v>
          </cell>
          <cell r="H72">
            <v>1358389</v>
          </cell>
          <cell r="I72" t="str">
            <v>Mishraji</v>
          </cell>
        </row>
        <row r="73">
          <cell r="A73" t="str">
            <v>047001001.0017</v>
          </cell>
          <cell r="B73" t="str">
            <v>047001001</v>
          </cell>
          <cell r="C73" t="str">
            <v>January 1 Balance</v>
          </cell>
          <cell r="D73" t="str">
            <v>0017</v>
          </cell>
          <cell r="E73" t="str">
            <v>LEASED - HEAVY EQUIPMENT</v>
          </cell>
          <cell r="F73">
            <v>5339300</v>
          </cell>
          <cell r="G73">
            <v>0</v>
          </cell>
          <cell r="H73">
            <v>5339300</v>
          </cell>
          <cell r="I73" t="str">
            <v>Mishraji</v>
          </cell>
        </row>
        <row r="74">
          <cell r="A74" t="str">
            <v>047001001.0018</v>
          </cell>
          <cell r="B74" t="str">
            <v>047001001</v>
          </cell>
          <cell r="C74" t="str">
            <v>January 1 Balance</v>
          </cell>
          <cell r="D74" t="str">
            <v>0018</v>
          </cell>
          <cell r="E74" t="str">
            <v>LEASED P&amp;M 40 EASED P&amp;M &lt;RS.5000/- -I</v>
          </cell>
          <cell r="F74">
            <v>986400</v>
          </cell>
          <cell r="G74">
            <v>0</v>
          </cell>
          <cell r="H74">
            <v>986400</v>
          </cell>
          <cell r="I74" t="str">
            <v>Mishraji</v>
          </cell>
        </row>
        <row r="75">
          <cell r="A75" t="str">
            <v>047001001.0019</v>
          </cell>
          <cell r="B75" t="str">
            <v>047001001</v>
          </cell>
          <cell r="C75" t="str">
            <v>January 1 Balance</v>
          </cell>
          <cell r="D75" t="str">
            <v>0019</v>
          </cell>
          <cell r="E75" t="str">
            <v>LEASED P&amp;M &lt;RS.5000/- -I</v>
          </cell>
          <cell r="F75">
            <v>74832909</v>
          </cell>
          <cell r="G75">
            <v>0</v>
          </cell>
          <cell r="H75">
            <v>74832909</v>
          </cell>
          <cell r="I75" t="str">
            <v>Mishraji</v>
          </cell>
        </row>
        <row r="76">
          <cell r="A76" t="str">
            <v>047001001.0020</v>
          </cell>
          <cell r="B76" t="str">
            <v>047001001</v>
          </cell>
          <cell r="C76" t="str">
            <v>January 1 Balance</v>
          </cell>
          <cell r="D76" t="str">
            <v>0020</v>
          </cell>
          <cell r="E76" t="str">
            <v>LEASED PLANT &amp; MACHINERY</v>
          </cell>
          <cell r="F76">
            <v>346143782</v>
          </cell>
          <cell r="G76">
            <v>0</v>
          </cell>
          <cell r="H76">
            <v>346143782</v>
          </cell>
          <cell r="I76" t="str">
            <v>Mishraji</v>
          </cell>
        </row>
        <row r="77">
          <cell r="A77" t="str">
            <v>047001001.0021</v>
          </cell>
          <cell r="B77" t="str">
            <v>047001001</v>
          </cell>
          <cell r="C77" t="str">
            <v>January 1 Balance</v>
          </cell>
          <cell r="D77" t="str">
            <v>0021</v>
          </cell>
          <cell r="E77" t="str">
            <v>LEASED COMPUTER -INGRES</v>
          </cell>
          <cell r="F77">
            <v>55474285.030000001</v>
          </cell>
          <cell r="G77">
            <v>0</v>
          </cell>
          <cell r="H77">
            <v>55474285.030000001</v>
          </cell>
          <cell r="I77" t="str">
            <v>Mishraji</v>
          </cell>
        </row>
        <row r="78">
          <cell r="A78" t="str">
            <v>047001001.0022</v>
          </cell>
          <cell r="B78" t="str">
            <v>047001001</v>
          </cell>
          <cell r="C78" t="str">
            <v>January 1 Balance</v>
          </cell>
          <cell r="D78" t="str">
            <v>0022</v>
          </cell>
          <cell r="E78" t="str">
            <v>LEASED OFFICE EQUIPMENTS</v>
          </cell>
          <cell r="F78">
            <v>20484769.399999999</v>
          </cell>
          <cell r="G78">
            <v>0</v>
          </cell>
          <cell r="H78">
            <v>20484769.399999999</v>
          </cell>
          <cell r="I78" t="str">
            <v>Mishraji</v>
          </cell>
        </row>
        <row r="79">
          <cell r="A79" t="str">
            <v>047001001.0023</v>
          </cell>
          <cell r="B79" t="str">
            <v>047001001</v>
          </cell>
          <cell r="C79" t="str">
            <v>January 1 Balance</v>
          </cell>
          <cell r="D79" t="str">
            <v>0023</v>
          </cell>
          <cell r="E79" t="str">
            <v>LEASED ASSETS -O.E. -ING</v>
          </cell>
          <cell r="F79">
            <v>522082</v>
          </cell>
          <cell r="G79">
            <v>0</v>
          </cell>
          <cell r="H79">
            <v>522082</v>
          </cell>
          <cell r="I79" t="str">
            <v>Mishraji</v>
          </cell>
        </row>
        <row r="80">
          <cell r="A80" t="str">
            <v>047001001.0024</v>
          </cell>
          <cell r="B80" t="str">
            <v>047001001</v>
          </cell>
          <cell r="C80" t="str">
            <v>January 1 Balance</v>
          </cell>
          <cell r="D80" t="str">
            <v>0024</v>
          </cell>
          <cell r="E80" t="str">
            <v>LEASED VEHICLES-TANKERS</v>
          </cell>
          <cell r="F80">
            <v>15711797</v>
          </cell>
          <cell r="G80">
            <v>0</v>
          </cell>
          <cell r="H80">
            <v>15711797</v>
          </cell>
          <cell r="I80" t="str">
            <v>Mishraji</v>
          </cell>
        </row>
        <row r="81">
          <cell r="A81" t="str">
            <v>047001001.0025</v>
          </cell>
          <cell r="B81" t="str">
            <v>047001001</v>
          </cell>
          <cell r="C81" t="str">
            <v>January 1 Balance</v>
          </cell>
          <cell r="D81" t="str">
            <v>0025</v>
          </cell>
          <cell r="E81" t="str">
            <v>LEASED VEHICLES -HCV -I</v>
          </cell>
          <cell r="F81">
            <v>160766757</v>
          </cell>
          <cell r="G81">
            <v>0</v>
          </cell>
          <cell r="H81">
            <v>160766757</v>
          </cell>
          <cell r="I81" t="str">
            <v>Mishraji</v>
          </cell>
        </row>
        <row r="82">
          <cell r="A82" t="str">
            <v>047001001.0026</v>
          </cell>
          <cell r="B82" t="str">
            <v>047001001</v>
          </cell>
          <cell r="C82" t="str">
            <v>January 1 Balance</v>
          </cell>
          <cell r="D82" t="str">
            <v>0026</v>
          </cell>
          <cell r="E82" t="str">
            <v>LEASED VEHICLES -LCV -I</v>
          </cell>
          <cell r="F82">
            <v>65973946</v>
          </cell>
          <cell r="G82">
            <v>0</v>
          </cell>
          <cell r="H82">
            <v>65973946</v>
          </cell>
          <cell r="I82" t="str">
            <v>Mishraji</v>
          </cell>
        </row>
        <row r="83">
          <cell r="A83" t="str">
            <v>047001001.0027</v>
          </cell>
          <cell r="B83" t="str">
            <v>047001001</v>
          </cell>
          <cell r="C83" t="str">
            <v>January 1 Balance</v>
          </cell>
          <cell r="D83" t="str">
            <v>0027</v>
          </cell>
          <cell r="E83" t="str">
            <v>LEASED VEHICLES -CAR -I</v>
          </cell>
          <cell r="F83">
            <v>46058646.259999998</v>
          </cell>
          <cell r="G83">
            <v>0</v>
          </cell>
          <cell r="H83">
            <v>46058646.259999998</v>
          </cell>
          <cell r="I83" t="str">
            <v>Mishraji</v>
          </cell>
        </row>
        <row r="84">
          <cell r="A84" t="str">
            <v>047001001.0028</v>
          </cell>
          <cell r="B84" t="str">
            <v>047001001</v>
          </cell>
          <cell r="C84" t="str">
            <v>January 1 Balance</v>
          </cell>
          <cell r="D84" t="str">
            <v>0028</v>
          </cell>
          <cell r="E84" t="str">
            <v>LEASED SCOOTERS &amp; MOTOR</v>
          </cell>
          <cell r="F84">
            <v>2367721</v>
          </cell>
          <cell r="G84">
            <v>0</v>
          </cell>
          <cell r="H84">
            <v>2367721</v>
          </cell>
          <cell r="I84" t="str">
            <v>Mishraji</v>
          </cell>
        </row>
        <row r="85">
          <cell r="A85" t="str">
            <v>047001001.0029</v>
          </cell>
          <cell r="B85" t="str">
            <v>047001001</v>
          </cell>
          <cell r="C85" t="str">
            <v>January 1 Balance</v>
          </cell>
          <cell r="D85" t="str">
            <v>0029</v>
          </cell>
          <cell r="E85" t="str">
            <v>LEASED FURNITURE AND FIX</v>
          </cell>
          <cell r="F85">
            <v>22617056.199999999</v>
          </cell>
          <cell r="G85">
            <v>0</v>
          </cell>
          <cell r="H85">
            <v>22617056.199999999</v>
          </cell>
          <cell r="I85" t="str">
            <v>Mishraji</v>
          </cell>
        </row>
        <row r="86">
          <cell r="A86" t="str">
            <v>047001001.0030</v>
          </cell>
          <cell r="B86" t="str">
            <v>047001001</v>
          </cell>
          <cell r="C86" t="str">
            <v>January 1 Balance</v>
          </cell>
          <cell r="D86" t="str">
            <v>0030</v>
          </cell>
          <cell r="E86" t="str">
            <v>LEASED-AEROPLANES -INGRE</v>
          </cell>
          <cell r="F86">
            <v>62751274</v>
          </cell>
          <cell r="G86">
            <v>0</v>
          </cell>
          <cell r="H86">
            <v>62751274</v>
          </cell>
          <cell r="I86" t="str">
            <v>Mishraji</v>
          </cell>
        </row>
        <row r="87">
          <cell r="A87" t="str">
            <v>047001001.0033</v>
          </cell>
          <cell r="B87" t="str">
            <v>047001001</v>
          </cell>
          <cell r="C87" t="str">
            <v>January 1 Balance</v>
          </cell>
          <cell r="D87" t="str">
            <v>0033</v>
          </cell>
          <cell r="E87" t="str">
            <v>ACC.DEP.LEASED P &amp; M -IN</v>
          </cell>
          <cell r="F87">
            <v>-155537052.66999999</v>
          </cell>
          <cell r="G87">
            <v>0</v>
          </cell>
          <cell r="H87">
            <v>-155537052.66999999</v>
          </cell>
          <cell r="I87" t="str">
            <v>Mishraji</v>
          </cell>
        </row>
        <row r="88">
          <cell r="A88" t="str">
            <v>047001001.0034</v>
          </cell>
          <cell r="B88" t="str">
            <v>047001001</v>
          </cell>
          <cell r="C88" t="str">
            <v>January 1 Balance</v>
          </cell>
          <cell r="D88" t="str">
            <v>0034</v>
          </cell>
          <cell r="E88" t="str">
            <v>ACC.DEP. LEASED ACS -ING</v>
          </cell>
          <cell r="F88">
            <v>-2685718.28</v>
          </cell>
          <cell r="G88">
            <v>0</v>
          </cell>
          <cell r="H88">
            <v>-2685718.28</v>
          </cell>
          <cell r="I88" t="str">
            <v>Mishraji</v>
          </cell>
        </row>
        <row r="89">
          <cell r="A89" t="str">
            <v>047001001.0035</v>
          </cell>
          <cell r="B89" t="str">
            <v>047001001</v>
          </cell>
          <cell r="C89" t="str">
            <v>January 1 Balance</v>
          </cell>
          <cell r="D89" t="str">
            <v>0035</v>
          </cell>
          <cell r="E89" t="str">
            <v>ACC.DEP. LEASED GENSETS</v>
          </cell>
          <cell r="F89">
            <v>0.13</v>
          </cell>
          <cell r="G89">
            <v>0</v>
          </cell>
          <cell r="H89">
            <v>0.13</v>
          </cell>
          <cell r="I89" t="str">
            <v>Mishraji</v>
          </cell>
        </row>
        <row r="90">
          <cell r="A90" t="str">
            <v>047001001.0036</v>
          </cell>
          <cell r="B90" t="str">
            <v>047001001</v>
          </cell>
          <cell r="C90" t="str">
            <v>January 1 Balance</v>
          </cell>
          <cell r="D90" t="str">
            <v>0036</v>
          </cell>
          <cell r="E90" t="str">
            <v>ACC.DEPRECIATION-HEAVY E</v>
          </cell>
          <cell r="F90">
            <v>-2819411.36</v>
          </cell>
          <cell r="G90">
            <v>0</v>
          </cell>
          <cell r="H90">
            <v>-2819411.36</v>
          </cell>
          <cell r="I90" t="str">
            <v>Mishraji</v>
          </cell>
        </row>
        <row r="91">
          <cell r="A91" t="str">
            <v>047001001.0037</v>
          </cell>
          <cell r="B91" t="str">
            <v>047001001</v>
          </cell>
          <cell r="C91" t="str">
            <v>January 1 Balance</v>
          </cell>
          <cell r="D91" t="str">
            <v>0037</v>
          </cell>
          <cell r="E91" t="str">
            <v>ACC.DEP LEASED P&amp;M 40IT</v>
          </cell>
          <cell r="F91">
            <v>-787650.11</v>
          </cell>
          <cell r="G91">
            <v>0</v>
          </cell>
          <cell r="H91">
            <v>-787650.11</v>
          </cell>
          <cell r="I91" t="str">
            <v>Mishraji</v>
          </cell>
        </row>
        <row r="92">
          <cell r="A92" t="str">
            <v>047001001.0038</v>
          </cell>
          <cell r="B92" t="str">
            <v>047001001</v>
          </cell>
          <cell r="C92" t="str">
            <v>January 1 Balance</v>
          </cell>
          <cell r="D92" t="str">
            <v>0038</v>
          </cell>
          <cell r="E92" t="str">
            <v>ACC.DEP LEASED P&amp;M&lt;5000/</v>
          </cell>
          <cell r="F92">
            <v>-58715750.82</v>
          </cell>
          <cell r="G92">
            <v>0</v>
          </cell>
          <cell r="H92">
            <v>-58715750.82</v>
          </cell>
          <cell r="I92" t="str">
            <v>Mishraji</v>
          </cell>
        </row>
        <row r="93">
          <cell r="A93" t="str">
            <v>047001001.0039</v>
          </cell>
          <cell r="B93" t="str">
            <v>047001001</v>
          </cell>
          <cell r="C93" t="str">
            <v>January 1 Balance</v>
          </cell>
          <cell r="D93" t="str">
            <v>0039</v>
          </cell>
          <cell r="E93" t="str">
            <v>ACC. DEP. - LEASED P&amp;M -</v>
          </cell>
          <cell r="F93">
            <v>-116366223.78</v>
          </cell>
          <cell r="G93">
            <v>0</v>
          </cell>
          <cell r="H93">
            <v>-116366223.78</v>
          </cell>
          <cell r="I93" t="str">
            <v>Mishraji</v>
          </cell>
        </row>
        <row r="94">
          <cell r="A94" t="str">
            <v>047001001.0040</v>
          </cell>
          <cell r="B94" t="str">
            <v>047001001</v>
          </cell>
          <cell r="C94" t="str">
            <v>January 1 Balance</v>
          </cell>
          <cell r="D94" t="str">
            <v>0040</v>
          </cell>
          <cell r="E94" t="str">
            <v>ACC. DEP. LEASED COMPUTE</v>
          </cell>
          <cell r="F94">
            <v>-40444014.729999997</v>
          </cell>
          <cell r="G94">
            <v>0</v>
          </cell>
          <cell r="H94">
            <v>-40444014.729999997</v>
          </cell>
          <cell r="I94" t="str">
            <v>Mishraji</v>
          </cell>
        </row>
        <row r="95">
          <cell r="A95" t="str">
            <v>047001001.0041</v>
          </cell>
          <cell r="B95" t="str">
            <v>047001001</v>
          </cell>
          <cell r="C95" t="str">
            <v>January 1 Balance</v>
          </cell>
          <cell r="D95" t="str">
            <v>0041</v>
          </cell>
          <cell r="E95" t="str">
            <v>ACC.DEP. LEASED O.E. -IN</v>
          </cell>
          <cell r="F95">
            <v>-2832730.31</v>
          </cell>
          <cell r="G95">
            <v>0</v>
          </cell>
          <cell r="H95">
            <v>-2832730.31</v>
          </cell>
          <cell r="I95" t="str">
            <v>Mishraji</v>
          </cell>
        </row>
        <row r="96">
          <cell r="A96" t="str">
            <v>047001001.0042</v>
          </cell>
          <cell r="B96" t="str">
            <v>047001001</v>
          </cell>
          <cell r="C96" t="str">
            <v>January 1 Balance</v>
          </cell>
          <cell r="D96" t="str">
            <v>0042</v>
          </cell>
          <cell r="E96" t="str">
            <v>ACC.DEP.LEASED HCVS -ING</v>
          </cell>
          <cell r="F96">
            <v>0.01</v>
          </cell>
          <cell r="G96">
            <v>0</v>
          </cell>
          <cell r="H96">
            <v>0.01</v>
          </cell>
          <cell r="I96" t="str">
            <v>Mishraji</v>
          </cell>
        </row>
        <row r="97">
          <cell r="A97" t="str">
            <v>047001001.0045</v>
          </cell>
          <cell r="B97" t="str">
            <v>047001001</v>
          </cell>
          <cell r="C97" t="str">
            <v>January 1 Balance</v>
          </cell>
          <cell r="D97" t="str">
            <v>0045</v>
          </cell>
          <cell r="E97" t="str">
            <v>ACC.DEPRECIATION-TANKERS</v>
          </cell>
          <cell r="F97">
            <v>-12033117.08</v>
          </cell>
          <cell r="G97">
            <v>0</v>
          </cell>
          <cell r="H97">
            <v>-12033117.08</v>
          </cell>
          <cell r="I97" t="str">
            <v>Mishraji</v>
          </cell>
        </row>
        <row r="98">
          <cell r="A98" t="str">
            <v>047001001.0046</v>
          </cell>
          <cell r="B98" t="str">
            <v>047001001</v>
          </cell>
          <cell r="C98" t="str">
            <v>January 1 Balance</v>
          </cell>
          <cell r="D98" t="str">
            <v>0046</v>
          </cell>
          <cell r="E98" t="str">
            <v>ACC.DEP.LEASED HCVS -ING</v>
          </cell>
          <cell r="F98">
            <v>-83746002.680000007</v>
          </cell>
          <cell r="G98">
            <v>0</v>
          </cell>
          <cell r="H98">
            <v>-83746002.680000007</v>
          </cell>
          <cell r="I98" t="str">
            <v>Mishraji</v>
          </cell>
        </row>
        <row r="99">
          <cell r="A99" t="str">
            <v>047001001.0047</v>
          </cell>
          <cell r="B99" t="str">
            <v>047001001</v>
          </cell>
          <cell r="C99" t="str">
            <v>January 1 Balance</v>
          </cell>
          <cell r="D99" t="str">
            <v>0047</v>
          </cell>
          <cell r="E99" t="str">
            <v>ACC. DEP. LEASED CAR-LUX</v>
          </cell>
          <cell r="F99">
            <v>-38679519.869999997</v>
          </cell>
          <cell r="G99">
            <v>0</v>
          </cell>
          <cell r="H99">
            <v>-38679519.869999997</v>
          </cell>
          <cell r="I99" t="str">
            <v>Mishraji</v>
          </cell>
        </row>
        <row r="100">
          <cell r="A100" t="str">
            <v>047001001.0048</v>
          </cell>
          <cell r="B100" t="str">
            <v>047001001</v>
          </cell>
          <cell r="C100" t="str">
            <v>January 1 Balance</v>
          </cell>
          <cell r="D100" t="str">
            <v>0048</v>
          </cell>
          <cell r="E100" t="str">
            <v>ACC.DEP. LEASED CARS -IN</v>
          </cell>
          <cell r="F100">
            <v>-10045258.99</v>
          </cell>
          <cell r="G100">
            <v>0</v>
          </cell>
          <cell r="H100">
            <v>-10045258.99</v>
          </cell>
          <cell r="I100" t="str">
            <v>Mishraji</v>
          </cell>
        </row>
        <row r="101">
          <cell r="A101" t="str">
            <v>047001001.0049</v>
          </cell>
          <cell r="B101" t="str">
            <v>047001001</v>
          </cell>
          <cell r="C101" t="str">
            <v>January 1 Balance</v>
          </cell>
          <cell r="D101" t="str">
            <v>0049</v>
          </cell>
          <cell r="E101" t="str">
            <v>ACC.DEP. LEASED S &amp; M -I</v>
          </cell>
          <cell r="F101">
            <v>-137544.16</v>
          </cell>
          <cell r="G101">
            <v>0</v>
          </cell>
          <cell r="H101">
            <v>-137544.16</v>
          </cell>
          <cell r="I101" t="str">
            <v>Mishraji</v>
          </cell>
        </row>
        <row r="102">
          <cell r="A102" t="str">
            <v>047001001.0050</v>
          </cell>
          <cell r="B102" t="str">
            <v>047001001</v>
          </cell>
          <cell r="C102" t="str">
            <v>January 1 Balance</v>
          </cell>
          <cell r="D102" t="str">
            <v>0050</v>
          </cell>
          <cell r="E102" t="str">
            <v>ACC. DEP. LEASED F &amp; F -</v>
          </cell>
          <cell r="F102">
            <v>-5244207.63</v>
          </cell>
          <cell r="G102">
            <v>0</v>
          </cell>
          <cell r="H102">
            <v>-5244207.63</v>
          </cell>
          <cell r="I102" t="str">
            <v>Mishraji</v>
          </cell>
        </row>
        <row r="103">
          <cell r="A103" t="str">
            <v>047001001.0051</v>
          </cell>
          <cell r="B103" t="str">
            <v>047001001</v>
          </cell>
          <cell r="C103" t="str">
            <v>January 1 Balance</v>
          </cell>
          <cell r="D103" t="str">
            <v>0051</v>
          </cell>
          <cell r="E103" t="str">
            <v>ACC. DEP. LEASED AEROPLA</v>
          </cell>
          <cell r="F103">
            <v>-49096854.960000001</v>
          </cell>
          <cell r="G103">
            <v>0</v>
          </cell>
          <cell r="H103">
            <v>-49096854.960000001</v>
          </cell>
          <cell r="I103" t="str">
            <v>Mishraji</v>
          </cell>
        </row>
        <row r="104">
          <cell r="A104" t="str">
            <v>047001001.0053</v>
          </cell>
          <cell r="B104" t="str">
            <v>047001001</v>
          </cell>
          <cell r="C104" t="str">
            <v>January 1 Balance</v>
          </cell>
          <cell r="D104" t="str">
            <v>0053</v>
          </cell>
          <cell r="E104" t="str">
            <v>LEASED ADJ. AC'S -INGRES</v>
          </cell>
          <cell r="F104">
            <v>0.01</v>
          </cell>
          <cell r="G104">
            <v>0</v>
          </cell>
          <cell r="H104">
            <v>0.01</v>
          </cell>
          <cell r="I104" t="str">
            <v>Mishraji</v>
          </cell>
        </row>
        <row r="105">
          <cell r="A105" t="str">
            <v>047001001.0054</v>
          </cell>
          <cell r="B105" t="str">
            <v>047001001</v>
          </cell>
          <cell r="C105" t="str">
            <v>January 1 Balance</v>
          </cell>
          <cell r="D105" t="str">
            <v>0054</v>
          </cell>
          <cell r="E105" t="str">
            <v>LEASED ADJ. P &amp; M 100</v>
          </cell>
          <cell r="F105">
            <v>0.01</v>
          </cell>
          <cell r="G105">
            <v>0</v>
          </cell>
          <cell r="H105">
            <v>0.01</v>
          </cell>
          <cell r="I105" t="str">
            <v>Mishraji</v>
          </cell>
        </row>
        <row r="106">
          <cell r="A106" t="str">
            <v>047001001.0055</v>
          </cell>
          <cell r="B106" t="str">
            <v>047001001</v>
          </cell>
          <cell r="C106" t="str">
            <v>January 1 Balance</v>
          </cell>
          <cell r="D106" t="str">
            <v>0055</v>
          </cell>
          <cell r="E106" t="str">
            <v>LEASED ADJ. P &amp; M -INGRE</v>
          </cell>
          <cell r="F106">
            <v>-309735891.64999998</v>
          </cell>
          <cell r="G106">
            <v>0</v>
          </cell>
          <cell r="H106">
            <v>-309735891.64999998</v>
          </cell>
          <cell r="I106" t="str">
            <v>Mishraji</v>
          </cell>
        </row>
        <row r="107">
          <cell r="A107" t="str">
            <v>047001001.0056</v>
          </cell>
          <cell r="B107" t="str">
            <v>047001001</v>
          </cell>
          <cell r="C107" t="str">
            <v>January 1 Balance</v>
          </cell>
          <cell r="D107" t="str">
            <v>0056</v>
          </cell>
          <cell r="E107" t="str">
            <v>ACC.DEP. LEASED O.E. -IN</v>
          </cell>
          <cell r="F107">
            <v>-6239282.5300000003</v>
          </cell>
          <cell r="G107">
            <v>0</v>
          </cell>
          <cell r="H107">
            <v>-6239282.5300000003</v>
          </cell>
          <cell r="I107" t="str">
            <v>Mishraji</v>
          </cell>
        </row>
        <row r="108">
          <cell r="A108" t="str">
            <v>047001001.0057</v>
          </cell>
          <cell r="B108" t="str">
            <v>047001001</v>
          </cell>
          <cell r="C108" t="str">
            <v>January 1 Balance</v>
          </cell>
          <cell r="D108" t="str">
            <v>0057</v>
          </cell>
          <cell r="E108" t="str">
            <v>LEASED ADJ. HEAVY EQUIP.</v>
          </cell>
          <cell r="F108">
            <v>-2699801.43</v>
          </cell>
          <cell r="G108">
            <v>0</v>
          </cell>
          <cell r="H108">
            <v>-2699801.43</v>
          </cell>
          <cell r="I108" t="str">
            <v>Mishraji</v>
          </cell>
        </row>
        <row r="109">
          <cell r="A109" t="str">
            <v>047001001.0058</v>
          </cell>
          <cell r="B109" t="str">
            <v>047001001</v>
          </cell>
          <cell r="C109" t="str">
            <v>January 1 Balance</v>
          </cell>
          <cell r="D109" t="str">
            <v>0058</v>
          </cell>
          <cell r="E109" t="str">
            <v>LEASED ADJ. P&amp; M 40Perct. -IN</v>
          </cell>
          <cell r="F109">
            <v>-198741.31</v>
          </cell>
          <cell r="G109">
            <v>0</v>
          </cell>
          <cell r="H109">
            <v>-198741.31</v>
          </cell>
          <cell r="I109" t="str">
            <v>Mishraji</v>
          </cell>
        </row>
        <row r="110">
          <cell r="A110" t="str">
            <v>047001001.0059</v>
          </cell>
          <cell r="B110" t="str">
            <v>047001001</v>
          </cell>
          <cell r="C110" t="str">
            <v>January 1 Balance</v>
          </cell>
          <cell r="D110" t="str">
            <v>0059</v>
          </cell>
          <cell r="E110" t="str">
            <v>LEASED ADJ . P&amp; M&lt;5000 -</v>
          </cell>
          <cell r="F110">
            <v>-2313889.31</v>
          </cell>
          <cell r="G110">
            <v>0</v>
          </cell>
          <cell r="H110">
            <v>-2313889.31</v>
          </cell>
          <cell r="I110" t="str">
            <v>Mishraji</v>
          </cell>
        </row>
        <row r="111">
          <cell r="A111" t="str">
            <v>047001001.0060</v>
          </cell>
          <cell r="B111" t="str">
            <v>047001001</v>
          </cell>
          <cell r="C111" t="str">
            <v>January 1 Balance</v>
          </cell>
          <cell r="D111" t="str">
            <v>0060</v>
          </cell>
          <cell r="E111" t="str">
            <v>LEASED ADJ. P &amp; M 100Perct. I</v>
          </cell>
          <cell r="F111">
            <v>-218104241.38999999</v>
          </cell>
          <cell r="G111">
            <v>0</v>
          </cell>
          <cell r="H111">
            <v>-218104241.38999999</v>
          </cell>
          <cell r="I111" t="str">
            <v>Mishraji</v>
          </cell>
        </row>
        <row r="112">
          <cell r="A112" t="str">
            <v>047001001.0062</v>
          </cell>
          <cell r="B112" t="str">
            <v>047001001</v>
          </cell>
          <cell r="C112" t="str">
            <v>January 1 Balance</v>
          </cell>
          <cell r="D112" t="str">
            <v>0062</v>
          </cell>
          <cell r="E112" t="str">
            <v>LEASED ADJ. COMPUTERS -I</v>
          </cell>
          <cell r="F112">
            <v>-11906063.07</v>
          </cell>
          <cell r="G112">
            <v>0</v>
          </cell>
          <cell r="H112">
            <v>-11906063.07</v>
          </cell>
          <cell r="I112" t="str">
            <v>Mishraji</v>
          </cell>
        </row>
        <row r="113">
          <cell r="A113" t="str">
            <v>047001001.0063</v>
          </cell>
          <cell r="B113" t="str">
            <v>047001001</v>
          </cell>
          <cell r="C113" t="str">
            <v>January 1 Balance</v>
          </cell>
          <cell r="D113" t="str">
            <v>0063</v>
          </cell>
          <cell r="E113" t="str">
            <v>LEASED ADJ. O.E. -INGRES</v>
          </cell>
          <cell r="F113">
            <v>-11301100.75</v>
          </cell>
          <cell r="G113">
            <v>0</v>
          </cell>
          <cell r="H113">
            <v>-11301100.75</v>
          </cell>
          <cell r="I113" t="str">
            <v>Mishraji</v>
          </cell>
        </row>
        <row r="114">
          <cell r="A114" t="str">
            <v>047001001.0064</v>
          </cell>
          <cell r="B114" t="str">
            <v>047001001</v>
          </cell>
          <cell r="C114" t="str">
            <v>January 1 Balance</v>
          </cell>
          <cell r="D114" t="str">
            <v>0064</v>
          </cell>
          <cell r="E114" t="str">
            <v>LEASED ADJ. HCV'S -INGRE</v>
          </cell>
          <cell r="F114">
            <v>0.01</v>
          </cell>
          <cell r="G114">
            <v>0</v>
          </cell>
          <cell r="H114">
            <v>0.01</v>
          </cell>
          <cell r="I114" t="str">
            <v>Mishraji</v>
          </cell>
        </row>
        <row r="115">
          <cell r="A115" t="str">
            <v>047001001.0065</v>
          </cell>
          <cell r="B115" t="str">
            <v>047001001</v>
          </cell>
          <cell r="C115" t="str">
            <v>January 1 Balance</v>
          </cell>
          <cell r="D115" t="str">
            <v>0065</v>
          </cell>
          <cell r="E115" t="str">
            <v>LEASED ADJ. CARS -INGRES</v>
          </cell>
          <cell r="F115">
            <v>-0.02</v>
          </cell>
          <cell r="G115">
            <v>0</v>
          </cell>
          <cell r="H115">
            <v>-0.02</v>
          </cell>
          <cell r="I115" t="str">
            <v>Mishraji</v>
          </cell>
        </row>
        <row r="116">
          <cell r="A116" t="str">
            <v>047001001.0066</v>
          </cell>
          <cell r="B116" t="str">
            <v>047001001</v>
          </cell>
          <cell r="C116" t="str">
            <v>January 1 Balance</v>
          </cell>
          <cell r="D116" t="str">
            <v>0066</v>
          </cell>
          <cell r="E116" t="str">
            <v>LEASED ADJ.TANKERS -INGR</v>
          </cell>
          <cell r="F116">
            <v>-442303.53</v>
          </cell>
          <cell r="G116">
            <v>0</v>
          </cell>
          <cell r="H116">
            <v>-442303.53</v>
          </cell>
          <cell r="I116" t="str">
            <v>Mishraji</v>
          </cell>
        </row>
        <row r="117">
          <cell r="A117" t="str">
            <v>047001001.0067</v>
          </cell>
          <cell r="B117" t="str">
            <v>047001001</v>
          </cell>
          <cell r="C117" t="str">
            <v>January 1 Balance</v>
          </cell>
          <cell r="D117" t="str">
            <v>0067</v>
          </cell>
          <cell r="E117" t="str">
            <v>LEASED ADJ. HCV'S -INGRE</v>
          </cell>
          <cell r="F117">
            <v>-33196584.890000001</v>
          </cell>
          <cell r="G117">
            <v>0</v>
          </cell>
          <cell r="H117">
            <v>-33196584.890000001</v>
          </cell>
          <cell r="I117" t="str">
            <v>Mishraji</v>
          </cell>
        </row>
        <row r="118">
          <cell r="A118" t="str">
            <v>047001001.0068</v>
          </cell>
          <cell r="B118" t="str">
            <v>047001001</v>
          </cell>
          <cell r="C118" t="str">
            <v>January 1 Balance</v>
          </cell>
          <cell r="D118" t="str">
            <v>0068</v>
          </cell>
          <cell r="E118" t="str">
            <v>LEASED ADJ. CARS -INGRES</v>
          </cell>
          <cell r="F118">
            <v>-33157518</v>
          </cell>
          <cell r="G118">
            <v>0</v>
          </cell>
          <cell r="H118">
            <v>-33157518</v>
          </cell>
          <cell r="I118" t="str">
            <v>Mishraji</v>
          </cell>
        </row>
        <row r="119">
          <cell r="A119" t="str">
            <v>047001001.0069</v>
          </cell>
          <cell r="B119" t="str">
            <v>047001001</v>
          </cell>
          <cell r="C119" t="str">
            <v>January 1 Balance</v>
          </cell>
          <cell r="D119" t="str">
            <v>0069</v>
          </cell>
          <cell r="E119" t="str">
            <v>LEASED ADJ. S &amp; M -INGRE</v>
          </cell>
          <cell r="F119">
            <v>-1115676.94</v>
          </cell>
          <cell r="G119">
            <v>0</v>
          </cell>
          <cell r="H119">
            <v>-1115676.94</v>
          </cell>
          <cell r="I119" t="str">
            <v>Mishraji</v>
          </cell>
        </row>
        <row r="120">
          <cell r="A120" t="str">
            <v>047001001.0070</v>
          </cell>
          <cell r="B120" t="str">
            <v>047001001</v>
          </cell>
          <cell r="C120" t="str">
            <v>January 1 Balance</v>
          </cell>
          <cell r="D120" t="str">
            <v>0070</v>
          </cell>
          <cell r="E120" t="str">
            <v>LEASED ADJ. F &amp; F -INGRE</v>
          </cell>
          <cell r="F120">
            <v>-8183077.1900000004</v>
          </cell>
          <cell r="G120">
            <v>0</v>
          </cell>
          <cell r="H120">
            <v>-8183077.1900000004</v>
          </cell>
          <cell r="I120" t="str">
            <v>Mishraji</v>
          </cell>
        </row>
        <row r="121">
          <cell r="A121" t="str">
            <v>047001001.0071</v>
          </cell>
          <cell r="B121" t="str">
            <v>047001001</v>
          </cell>
          <cell r="C121" t="str">
            <v>January 1 Balance</v>
          </cell>
          <cell r="D121" t="str">
            <v>0071</v>
          </cell>
          <cell r="E121" t="str">
            <v>LEASED ADJ. CAR -LUX -I</v>
          </cell>
          <cell r="F121">
            <v>-6915233.7800000003</v>
          </cell>
          <cell r="G121">
            <v>0</v>
          </cell>
          <cell r="H121">
            <v>-6915233.7800000003</v>
          </cell>
          <cell r="I121" t="str">
            <v>Mishraji</v>
          </cell>
        </row>
        <row r="122">
          <cell r="A122" t="str">
            <v>047001001.0072</v>
          </cell>
          <cell r="B122" t="str">
            <v>047001001</v>
          </cell>
          <cell r="C122" t="str">
            <v>January 1 Balance</v>
          </cell>
          <cell r="D122" t="str">
            <v>0072</v>
          </cell>
          <cell r="E122" t="str">
            <v>LEASED ADJ. AEROPLANES -</v>
          </cell>
          <cell r="F122">
            <v>-12226411.93</v>
          </cell>
          <cell r="G122">
            <v>0</v>
          </cell>
          <cell r="H122">
            <v>-12226411.93</v>
          </cell>
          <cell r="I122" t="str">
            <v>Mishraji</v>
          </cell>
        </row>
        <row r="123">
          <cell r="A123" t="str">
            <v>047001001.0073</v>
          </cell>
          <cell r="B123" t="str">
            <v>047001001</v>
          </cell>
          <cell r="C123" t="str">
            <v>January 1 Balance</v>
          </cell>
          <cell r="D123" t="str">
            <v>0073</v>
          </cell>
          <cell r="E123" t="str">
            <v>STOCK ON HIRE -INGRES</v>
          </cell>
          <cell r="F123">
            <v>525168029.04000002</v>
          </cell>
          <cell r="G123">
            <v>0</v>
          </cell>
          <cell r="H123">
            <v>525168029.04000002</v>
          </cell>
          <cell r="I123" t="str">
            <v>Mishraji</v>
          </cell>
        </row>
        <row r="124">
          <cell r="A124" t="str">
            <v>047001001.0074</v>
          </cell>
          <cell r="B124" t="str">
            <v>047001001</v>
          </cell>
          <cell r="C124" t="str">
            <v>January 1 Balance</v>
          </cell>
          <cell r="D124" t="str">
            <v>0074</v>
          </cell>
          <cell r="E124" t="str">
            <v>H.P. INSTALMENTS RECEIVA</v>
          </cell>
          <cell r="F124">
            <v>200949423.44999999</v>
          </cell>
          <cell r="G124">
            <v>0</v>
          </cell>
          <cell r="H124">
            <v>200949423.44999999</v>
          </cell>
          <cell r="I124" t="str">
            <v>Mishraji</v>
          </cell>
        </row>
        <row r="125">
          <cell r="A125" t="str">
            <v>047001001.0075</v>
          </cell>
          <cell r="B125" t="str">
            <v>047001001</v>
          </cell>
          <cell r="C125" t="str">
            <v>January 1 Balance</v>
          </cell>
          <cell r="D125" t="str">
            <v>0075</v>
          </cell>
          <cell r="E125" t="str">
            <v>UNALLOCATED RECEIPTS -IN</v>
          </cell>
          <cell r="F125">
            <v>-2340634.7400000002</v>
          </cell>
          <cell r="G125">
            <v>0</v>
          </cell>
          <cell r="H125">
            <v>-2340634.7400000002</v>
          </cell>
          <cell r="I125" t="str">
            <v>Mishraji</v>
          </cell>
        </row>
        <row r="126">
          <cell r="A126" t="str">
            <v>047001001.0076</v>
          </cell>
          <cell r="B126" t="str">
            <v>047001001</v>
          </cell>
          <cell r="C126" t="str">
            <v>January 1 Balance</v>
          </cell>
          <cell r="D126" t="str">
            <v>0076</v>
          </cell>
          <cell r="E126" t="str">
            <v>PARTY EXPENSES A/C -INGR</v>
          </cell>
          <cell r="F126">
            <v>3471359.6</v>
          </cell>
          <cell r="G126">
            <v>0</v>
          </cell>
          <cell r="H126">
            <v>3471359.6</v>
          </cell>
          <cell r="I126" t="str">
            <v>Mishraji</v>
          </cell>
        </row>
        <row r="127">
          <cell r="A127" t="str">
            <v>047001001.0077</v>
          </cell>
          <cell r="B127" t="str">
            <v>047001001</v>
          </cell>
          <cell r="C127" t="str">
            <v>January 1 Balance</v>
          </cell>
          <cell r="D127" t="str">
            <v>0077</v>
          </cell>
          <cell r="E127" t="str">
            <v>INSURANCE CONTROL A/C -I</v>
          </cell>
          <cell r="F127">
            <v>1798838.09</v>
          </cell>
          <cell r="G127">
            <v>0</v>
          </cell>
          <cell r="H127">
            <v>1798838.09</v>
          </cell>
          <cell r="I127" t="str">
            <v>Mishraji</v>
          </cell>
        </row>
        <row r="128">
          <cell r="A128" t="str">
            <v>047001001.0078</v>
          </cell>
          <cell r="B128" t="str">
            <v>047001001</v>
          </cell>
          <cell r="C128" t="str">
            <v>January 1 Balance</v>
          </cell>
          <cell r="D128" t="str">
            <v>0078</v>
          </cell>
          <cell r="E128" t="str">
            <v>REPOSSESSED STOCK -INGRE</v>
          </cell>
          <cell r="F128">
            <v>7696229.7599999998</v>
          </cell>
          <cell r="G128">
            <v>0</v>
          </cell>
          <cell r="H128">
            <v>7696229.7599999998</v>
          </cell>
          <cell r="I128" t="str">
            <v>Vivek</v>
          </cell>
        </row>
        <row r="129">
          <cell r="A129" t="str">
            <v>047001001.0079</v>
          </cell>
          <cell r="B129" t="str">
            <v>047001001</v>
          </cell>
          <cell r="C129" t="str">
            <v>January 1 Balance</v>
          </cell>
          <cell r="D129" t="str">
            <v>0079</v>
          </cell>
          <cell r="E129" t="str">
            <v>BILLS RECEIVABLE -INGRES</v>
          </cell>
          <cell r="F129">
            <v>123101723.23</v>
          </cell>
          <cell r="G129">
            <v>0</v>
          </cell>
          <cell r="H129">
            <v>123101723.23</v>
          </cell>
          <cell r="I129" t="str">
            <v>Mishraji</v>
          </cell>
        </row>
        <row r="130">
          <cell r="A130" t="str">
            <v>047001001.0080</v>
          </cell>
          <cell r="B130" t="str">
            <v>047001001</v>
          </cell>
          <cell r="C130" t="str">
            <v>January 1 Balance</v>
          </cell>
          <cell r="D130" t="str">
            <v>0080</v>
          </cell>
          <cell r="E130" t="str">
            <v>BR PURCHASED DELHI -INGR</v>
          </cell>
          <cell r="F130">
            <v>-123101722.89</v>
          </cell>
          <cell r="G130">
            <v>0</v>
          </cell>
          <cell r="H130">
            <v>-123101722.89</v>
          </cell>
          <cell r="I130" t="str">
            <v>Mishraji</v>
          </cell>
        </row>
        <row r="131">
          <cell r="A131" t="str">
            <v>047001001.0081</v>
          </cell>
          <cell r="B131" t="str">
            <v>047001001</v>
          </cell>
          <cell r="C131" t="str">
            <v>January 1 Balance</v>
          </cell>
          <cell r="D131" t="str">
            <v>0081</v>
          </cell>
          <cell r="E131" t="str">
            <v>LEASE RENTALS RECEIVABLE</v>
          </cell>
          <cell r="F131">
            <v>163498114.53999999</v>
          </cell>
          <cell r="G131">
            <v>0</v>
          </cell>
          <cell r="H131">
            <v>163498114.53999999</v>
          </cell>
          <cell r="I131" t="str">
            <v>Mishraji</v>
          </cell>
        </row>
        <row r="132">
          <cell r="A132" t="str">
            <v>047001001.0082</v>
          </cell>
          <cell r="B132" t="str">
            <v>047001001</v>
          </cell>
          <cell r="C132" t="str">
            <v>January 1 Balance</v>
          </cell>
          <cell r="D132" t="str">
            <v>0082</v>
          </cell>
          <cell r="E132" t="str">
            <v>SUB-LEASE RENTALS RECEIV</v>
          </cell>
          <cell r="F132">
            <v>-602759</v>
          </cell>
          <cell r="G132">
            <v>0</v>
          </cell>
          <cell r="H132">
            <v>-602759</v>
          </cell>
          <cell r="I132" t="str">
            <v>Mishraji</v>
          </cell>
        </row>
        <row r="133">
          <cell r="A133" t="str">
            <v>047001001.0083</v>
          </cell>
          <cell r="B133" t="str">
            <v>047001001</v>
          </cell>
          <cell r="C133" t="str">
            <v>January 1 Balance</v>
          </cell>
          <cell r="D133" t="str">
            <v>0083</v>
          </cell>
          <cell r="E133" t="str">
            <v>LEASE SECURITY DEPOSITS</v>
          </cell>
          <cell r="F133">
            <v>-250578689</v>
          </cell>
          <cell r="G133">
            <v>0</v>
          </cell>
          <cell r="H133">
            <v>-250578689</v>
          </cell>
          <cell r="I133" t="str">
            <v>Mishraji</v>
          </cell>
        </row>
        <row r="134">
          <cell r="A134" t="str">
            <v>047001001.0084</v>
          </cell>
          <cell r="B134" t="str">
            <v>047001001</v>
          </cell>
          <cell r="C134" t="str">
            <v>January 1 Balance</v>
          </cell>
          <cell r="D134" t="str">
            <v>0084</v>
          </cell>
          <cell r="E134" t="str">
            <v>LEASED ADJ. LCV'S</v>
          </cell>
          <cell r="F134">
            <v>0.01</v>
          </cell>
          <cell r="G134">
            <v>0</v>
          </cell>
          <cell r="H134">
            <v>0.01</v>
          </cell>
          <cell r="I134" t="str">
            <v>Mishraji</v>
          </cell>
        </row>
        <row r="135">
          <cell r="A135" t="str">
            <v>047001001.0085</v>
          </cell>
          <cell r="B135" t="str">
            <v>047001001</v>
          </cell>
          <cell r="C135" t="str">
            <v>January 1 Balance</v>
          </cell>
          <cell r="D135" t="str">
            <v>0085</v>
          </cell>
          <cell r="E135" t="str">
            <v>SOH - L A/C</v>
          </cell>
          <cell r="F135">
            <v>25451731</v>
          </cell>
          <cell r="G135">
            <v>0</v>
          </cell>
          <cell r="H135">
            <v>25451731</v>
          </cell>
          <cell r="I135" t="str">
            <v>Mishraji</v>
          </cell>
        </row>
        <row r="136">
          <cell r="A136" t="str">
            <v>047001001.0086</v>
          </cell>
          <cell r="B136" t="str">
            <v>047001001</v>
          </cell>
          <cell r="C136" t="str">
            <v>January 1 Balance</v>
          </cell>
          <cell r="D136" t="str">
            <v>0086</v>
          </cell>
          <cell r="E136" t="str">
            <v>PARTY RECEIVABLE -L A/C</v>
          </cell>
          <cell r="F136">
            <v>2449016</v>
          </cell>
          <cell r="G136">
            <v>0</v>
          </cell>
          <cell r="H136">
            <v>2449016</v>
          </cell>
          <cell r="I136" t="str">
            <v>Mishraji</v>
          </cell>
        </row>
        <row r="137">
          <cell r="A137" t="str">
            <v>047001002.0014</v>
          </cell>
          <cell r="B137" t="str">
            <v>047001002</v>
          </cell>
          <cell r="C137" t="str">
            <v>Current Year Collections -Liquidations</v>
          </cell>
          <cell r="D137" t="str">
            <v>0014</v>
          </cell>
          <cell r="E137" t="str">
            <v>LEASED PLANT AND MACHINE</v>
          </cell>
          <cell r="F137">
            <v>-18135303.890000001</v>
          </cell>
          <cell r="G137">
            <v>-17280468</v>
          </cell>
          <cell r="H137">
            <v>-35415771.890000001</v>
          </cell>
          <cell r="I137" t="str">
            <v>Mishraji</v>
          </cell>
        </row>
        <row r="138">
          <cell r="A138" t="str">
            <v>047001002.0015</v>
          </cell>
          <cell r="B138" t="str">
            <v>047001002</v>
          </cell>
          <cell r="C138" t="str">
            <v>Current Year Collections -Liquidations</v>
          </cell>
          <cell r="D138" t="str">
            <v>0015</v>
          </cell>
          <cell r="E138" t="str">
            <v>LEASED AIR CONDITIONERS</v>
          </cell>
          <cell r="F138">
            <v>-143204.6</v>
          </cell>
          <cell r="G138">
            <v>0</v>
          </cell>
          <cell r="H138">
            <v>-143204.6</v>
          </cell>
          <cell r="I138" t="str">
            <v>Mishraji</v>
          </cell>
        </row>
        <row r="139">
          <cell r="A139" t="str">
            <v>047001002.0016</v>
          </cell>
          <cell r="B139" t="str">
            <v>047001002</v>
          </cell>
          <cell r="C139" t="str">
            <v>Current Year Collections -Liquidations</v>
          </cell>
          <cell r="D139" t="str">
            <v>0016</v>
          </cell>
          <cell r="E139" t="str">
            <v>LEASED GEN SETS -INGRES</v>
          </cell>
          <cell r="F139">
            <v>-10650</v>
          </cell>
          <cell r="G139">
            <v>0</v>
          </cell>
          <cell r="H139">
            <v>-10650</v>
          </cell>
          <cell r="I139" t="str">
            <v>Mishraji</v>
          </cell>
        </row>
        <row r="140">
          <cell r="A140" t="str">
            <v>047001002.0020</v>
          </cell>
          <cell r="B140" t="str">
            <v>047001002</v>
          </cell>
          <cell r="C140" t="str">
            <v>Current Year Collections -Liquidations</v>
          </cell>
          <cell r="D140" t="str">
            <v>0020</v>
          </cell>
          <cell r="E140" t="str">
            <v>LEASED PLANT &amp; MACHINERY</v>
          </cell>
          <cell r="F140">
            <v>-84064762</v>
          </cell>
          <cell r="G140">
            <v>-25000000</v>
          </cell>
          <cell r="H140">
            <v>-109064762</v>
          </cell>
          <cell r="I140" t="str">
            <v>Mishraji</v>
          </cell>
        </row>
        <row r="141">
          <cell r="A141" t="str">
            <v>047001002.0021</v>
          </cell>
          <cell r="B141" t="str">
            <v>047001002</v>
          </cell>
          <cell r="C141" t="str">
            <v>Current Year Collections -Liquidations</v>
          </cell>
          <cell r="D141" t="str">
            <v>0021</v>
          </cell>
          <cell r="E141" t="str">
            <v>LEASED COMPUTER -INGRES</v>
          </cell>
          <cell r="F141">
            <v>1400777.2</v>
          </cell>
          <cell r="G141">
            <v>0</v>
          </cell>
          <cell r="H141">
            <v>1400777.2</v>
          </cell>
          <cell r="I141" t="str">
            <v>Mishraji</v>
          </cell>
        </row>
        <row r="142">
          <cell r="A142" t="str">
            <v>047001002.0022</v>
          </cell>
          <cell r="B142" t="str">
            <v>047001002</v>
          </cell>
          <cell r="C142" t="str">
            <v>Current Year Collections -Liquidations</v>
          </cell>
          <cell r="D142" t="str">
            <v>0022</v>
          </cell>
          <cell r="E142" t="str">
            <v>LEASED OFFICE EQUIPMENTS</v>
          </cell>
          <cell r="F142">
            <v>-2476659.4</v>
          </cell>
          <cell r="G142">
            <v>0</v>
          </cell>
          <cell r="H142">
            <v>-2476659.4</v>
          </cell>
          <cell r="I142" t="str">
            <v>Mishraji</v>
          </cell>
        </row>
        <row r="143">
          <cell r="A143" t="str">
            <v>047001002.0025</v>
          </cell>
          <cell r="B143" t="str">
            <v>047001002</v>
          </cell>
          <cell r="C143" t="str">
            <v>Current Year Collections -Liquidations</v>
          </cell>
          <cell r="D143" t="str">
            <v>0025</v>
          </cell>
          <cell r="E143" t="str">
            <v>LEASED VEHICLES -HCV -I</v>
          </cell>
          <cell r="F143">
            <v>-9031739</v>
          </cell>
          <cell r="G143">
            <v>-461328</v>
          </cell>
          <cell r="H143">
            <v>-9493067</v>
          </cell>
          <cell r="I143" t="str">
            <v>Mishraji</v>
          </cell>
        </row>
        <row r="144">
          <cell r="A144" t="str">
            <v>047001002.0026</v>
          </cell>
          <cell r="B144" t="str">
            <v>047001002</v>
          </cell>
          <cell r="C144" t="str">
            <v>Current Year Collections -Liquidations</v>
          </cell>
          <cell r="D144" t="str">
            <v>0026</v>
          </cell>
          <cell r="E144" t="str">
            <v>LEASED VEHICLES -LCV -I</v>
          </cell>
          <cell r="F144">
            <v>-7296049</v>
          </cell>
          <cell r="G144">
            <v>-340990</v>
          </cell>
          <cell r="H144">
            <v>-7637039</v>
          </cell>
          <cell r="I144" t="str">
            <v>Mishraji</v>
          </cell>
        </row>
        <row r="145">
          <cell r="A145" t="str">
            <v>047001002.0027</v>
          </cell>
          <cell r="B145" t="str">
            <v>047001002</v>
          </cell>
          <cell r="C145" t="str">
            <v>Current Year Collections -Liquidations</v>
          </cell>
          <cell r="D145" t="str">
            <v>0027</v>
          </cell>
          <cell r="E145" t="str">
            <v>LEASED VEHICLES -CAR -I</v>
          </cell>
          <cell r="F145">
            <v>-14897854.609999999</v>
          </cell>
          <cell r="G145">
            <v>0</v>
          </cell>
          <cell r="H145">
            <v>-14897854.609999999</v>
          </cell>
          <cell r="I145" t="str">
            <v>Mishraji</v>
          </cell>
        </row>
        <row r="146">
          <cell r="A146" t="str">
            <v>047001002.0028</v>
          </cell>
          <cell r="B146" t="str">
            <v>047001002</v>
          </cell>
          <cell r="C146" t="str">
            <v>Current Year Collections -Liquidations</v>
          </cell>
          <cell r="D146" t="str">
            <v>0028</v>
          </cell>
          <cell r="E146" t="str">
            <v>LEASED SCOOTERS &amp; MOTOR</v>
          </cell>
          <cell r="F146">
            <v>-507042</v>
          </cell>
          <cell r="G146">
            <v>0</v>
          </cell>
          <cell r="H146">
            <v>-507042</v>
          </cell>
          <cell r="I146" t="str">
            <v>Mishraji</v>
          </cell>
        </row>
        <row r="147">
          <cell r="A147" t="str">
            <v>047001002.0029</v>
          </cell>
          <cell r="B147" t="str">
            <v>047001002</v>
          </cell>
          <cell r="C147" t="str">
            <v>Current Year Collections -Liquidations</v>
          </cell>
          <cell r="D147" t="str">
            <v>0029</v>
          </cell>
          <cell r="E147" t="str">
            <v>LEASED FURNITURE AND FIX</v>
          </cell>
          <cell r="F147">
            <v>19246574.690000001</v>
          </cell>
          <cell r="G147">
            <v>0</v>
          </cell>
          <cell r="H147">
            <v>19246574.690000001</v>
          </cell>
          <cell r="I147" t="str">
            <v>Mishraji</v>
          </cell>
        </row>
        <row r="148">
          <cell r="A148" t="str">
            <v>047001002.0030</v>
          </cell>
          <cell r="B148" t="str">
            <v>047001002</v>
          </cell>
          <cell r="C148" t="str">
            <v>Current Year Collections -Liquidations</v>
          </cell>
          <cell r="D148" t="str">
            <v>0030</v>
          </cell>
          <cell r="E148" t="str">
            <v>LEASED-AEROPLANES -INGRE</v>
          </cell>
          <cell r="F148">
            <v>-62751274</v>
          </cell>
          <cell r="G148">
            <v>0</v>
          </cell>
          <cell r="H148">
            <v>-62751274</v>
          </cell>
          <cell r="I148" t="str">
            <v>Mishraji</v>
          </cell>
        </row>
        <row r="149">
          <cell r="A149" t="str">
            <v>047001002.0033</v>
          </cell>
          <cell r="B149" t="str">
            <v>047001002</v>
          </cell>
          <cell r="C149" t="str">
            <v>Current Year Collections -Liquidations</v>
          </cell>
          <cell r="D149" t="str">
            <v>0033</v>
          </cell>
          <cell r="E149" t="str">
            <v>ACC.DEP.LEASED P &amp; M -IN</v>
          </cell>
          <cell r="F149">
            <v>-16976776.239999998</v>
          </cell>
          <cell r="G149">
            <v>3044017.49</v>
          </cell>
          <cell r="H149">
            <v>-13932758.75</v>
          </cell>
          <cell r="I149" t="str">
            <v>Mishraji</v>
          </cell>
        </row>
        <row r="150">
          <cell r="A150" t="str">
            <v>047001002.0034</v>
          </cell>
          <cell r="B150" t="str">
            <v>047001002</v>
          </cell>
          <cell r="C150" t="str">
            <v>Current Year Collections -Liquidations</v>
          </cell>
          <cell r="D150" t="str">
            <v>0034</v>
          </cell>
          <cell r="E150" t="str">
            <v>ACC.DEP. LEASED ACS -ING</v>
          </cell>
          <cell r="F150">
            <v>-116871.03999999999</v>
          </cell>
          <cell r="G150">
            <v>0</v>
          </cell>
          <cell r="H150">
            <v>-116871.03999999999</v>
          </cell>
          <cell r="I150" t="str">
            <v>Mishraji</v>
          </cell>
        </row>
        <row r="151">
          <cell r="A151" t="str">
            <v>047001002.0035</v>
          </cell>
          <cell r="B151" t="str">
            <v>047001002</v>
          </cell>
          <cell r="C151" t="str">
            <v>Current Year Collections -Liquidations</v>
          </cell>
          <cell r="D151" t="str">
            <v>0035</v>
          </cell>
          <cell r="E151" t="str">
            <v>ACC.DEP. LEASED GENSETS</v>
          </cell>
          <cell r="F151">
            <v>-0.13</v>
          </cell>
          <cell r="G151">
            <v>0</v>
          </cell>
          <cell r="H151">
            <v>-0.13</v>
          </cell>
          <cell r="I151" t="str">
            <v>Mishraji</v>
          </cell>
        </row>
        <row r="152">
          <cell r="A152" t="str">
            <v>047001002.0036</v>
          </cell>
          <cell r="B152" t="str">
            <v>047001002</v>
          </cell>
          <cell r="C152" t="str">
            <v>Current Year Collections -Liquidations</v>
          </cell>
          <cell r="D152" t="str">
            <v>0036</v>
          </cell>
          <cell r="E152" t="str">
            <v>ACC.DEPRECIATION-HEAVY E</v>
          </cell>
          <cell r="F152">
            <v>-67131.360000000001</v>
          </cell>
          <cell r="G152">
            <v>0</v>
          </cell>
          <cell r="H152">
            <v>-67131.360000000001</v>
          </cell>
          <cell r="I152" t="str">
            <v>Mishraji</v>
          </cell>
        </row>
        <row r="153">
          <cell r="A153" t="str">
            <v>047001002.0037</v>
          </cell>
          <cell r="B153" t="str">
            <v>047001002</v>
          </cell>
          <cell r="C153" t="str">
            <v>Current Year Collections -Liquidations</v>
          </cell>
          <cell r="D153" t="str">
            <v>0037</v>
          </cell>
          <cell r="E153" t="str">
            <v>ACC.DEP LEASED P&amp;M 40Perct.IT</v>
          </cell>
          <cell r="F153">
            <v>0.79</v>
          </cell>
          <cell r="G153">
            <v>0</v>
          </cell>
          <cell r="H153">
            <v>0.79</v>
          </cell>
          <cell r="I153" t="str">
            <v>Mishraji</v>
          </cell>
        </row>
        <row r="154">
          <cell r="A154" t="str">
            <v>047001002.0038</v>
          </cell>
          <cell r="B154" t="str">
            <v>047001002</v>
          </cell>
          <cell r="C154" t="str">
            <v>Current Year Collections -Liquidations</v>
          </cell>
          <cell r="D154" t="str">
            <v>0038</v>
          </cell>
          <cell r="E154" t="str">
            <v>ACC.DEP LEASED P&amp;M&lt;5000/</v>
          </cell>
          <cell r="F154">
            <v>-496154.8</v>
          </cell>
          <cell r="G154">
            <v>0</v>
          </cell>
          <cell r="H154">
            <v>-496154.8</v>
          </cell>
          <cell r="I154" t="str">
            <v>Mishraji</v>
          </cell>
        </row>
        <row r="155">
          <cell r="A155" t="str">
            <v>047001002.0039</v>
          </cell>
          <cell r="B155" t="str">
            <v>047001002</v>
          </cell>
          <cell r="C155" t="str">
            <v>Current Year Collections -Liquidations</v>
          </cell>
          <cell r="D155" t="str">
            <v>0039</v>
          </cell>
          <cell r="E155" t="str">
            <v>ACC. DEP. - LEASED P&amp;M -</v>
          </cell>
          <cell r="F155">
            <v>-46317177.939999998</v>
          </cell>
          <cell r="G155">
            <v>7391780.8099999996</v>
          </cell>
          <cell r="H155">
            <v>-38925397.130000003</v>
          </cell>
          <cell r="I155" t="str">
            <v>Mishraji</v>
          </cell>
        </row>
        <row r="156">
          <cell r="A156" t="str">
            <v>047001002.0040</v>
          </cell>
          <cell r="B156" t="str">
            <v>047001002</v>
          </cell>
          <cell r="C156" t="str">
            <v>Current Year Collections -Liquidations</v>
          </cell>
          <cell r="D156" t="str">
            <v>0040</v>
          </cell>
          <cell r="E156" t="str">
            <v>ACC. DEP. LEASED COMPUTE</v>
          </cell>
          <cell r="F156">
            <v>6810605.3600000003</v>
          </cell>
          <cell r="G156">
            <v>0</v>
          </cell>
          <cell r="H156">
            <v>6810605.3600000003</v>
          </cell>
          <cell r="I156" t="str">
            <v>Mishraji</v>
          </cell>
        </row>
        <row r="157">
          <cell r="A157" t="str">
            <v>047001002.0041</v>
          </cell>
          <cell r="B157" t="str">
            <v>047001002</v>
          </cell>
          <cell r="C157" t="str">
            <v>Current Year Collections -Liquidations</v>
          </cell>
          <cell r="D157" t="str">
            <v>0041</v>
          </cell>
          <cell r="E157" t="str">
            <v>ACC.DEP. LEASED O.E. -IN</v>
          </cell>
          <cell r="F157">
            <v>1219246.32</v>
          </cell>
          <cell r="G157">
            <v>0</v>
          </cell>
          <cell r="H157">
            <v>1219246.32</v>
          </cell>
          <cell r="I157" t="str">
            <v>Mishraji</v>
          </cell>
        </row>
        <row r="158">
          <cell r="A158" t="str">
            <v>047001002.0045</v>
          </cell>
          <cell r="B158" t="str">
            <v>047001002</v>
          </cell>
          <cell r="C158" t="str">
            <v>Current Year Collections -Liquidations</v>
          </cell>
          <cell r="D158" t="str">
            <v>0045</v>
          </cell>
          <cell r="E158" t="str">
            <v>ACC.DEPRECIATION-TANKERS</v>
          </cell>
          <cell r="F158">
            <v>6871.65</v>
          </cell>
          <cell r="G158">
            <v>0</v>
          </cell>
          <cell r="H158">
            <v>6871.65</v>
          </cell>
          <cell r="I158" t="str">
            <v>Mishraji</v>
          </cell>
        </row>
        <row r="159">
          <cell r="A159" t="str">
            <v>047001002.0046</v>
          </cell>
          <cell r="B159" t="str">
            <v>047001002</v>
          </cell>
          <cell r="C159" t="str">
            <v>Current Year Collections -Liquidations</v>
          </cell>
          <cell r="D159" t="str">
            <v>0046</v>
          </cell>
          <cell r="E159" t="str">
            <v>ACC.DEP.LEASED HCVS -ING</v>
          </cell>
          <cell r="F159">
            <v>11269542.119999999</v>
          </cell>
          <cell r="G159">
            <v>217992.52</v>
          </cell>
          <cell r="H159">
            <v>11487534.640000001</v>
          </cell>
          <cell r="I159" t="str">
            <v>Mishraji</v>
          </cell>
        </row>
        <row r="160">
          <cell r="A160" t="str">
            <v>047001002.0047</v>
          </cell>
          <cell r="B160" t="str">
            <v>047001002</v>
          </cell>
          <cell r="C160" t="str">
            <v>Current Year Collections -Liquidations</v>
          </cell>
          <cell r="D160" t="str">
            <v>0047</v>
          </cell>
          <cell r="E160" t="str">
            <v>ACC. DEP. LEASED CAR-LUX</v>
          </cell>
          <cell r="F160">
            <v>12548163.109999999</v>
          </cell>
          <cell r="G160">
            <v>165823.44</v>
          </cell>
          <cell r="H160">
            <v>12713986.550000001</v>
          </cell>
          <cell r="I160" t="str">
            <v>Mishraji</v>
          </cell>
        </row>
        <row r="161">
          <cell r="A161" t="str">
            <v>047001002.0048</v>
          </cell>
          <cell r="B161" t="str">
            <v>047001002</v>
          </cell>
          <cell r="C161" t="str">
            <v>Current Year Collections -Liquidations</v>
          </cell>
          <cell r="D161" t="str">
            <v>0048</v>
          </cell>
          <cell r="E161" t="str">
            <v>ACC.DEP. LEASED CARS -IN</v>
          </cell>
          <cell r="F161">
            <v>2604466.1</v>
          </cell>
          <cell r="G161">
            <v>0</v>
          </cell>
          <cell r="H161">
            <v>2604466.1</v>
          </cell>
          <cell r="I161" t="str">
            <v>Mishraji</v>
          </cell>
        </row>
        <row r="162">
          <cell r="A162" t="str">
            <v>047001002.0049</v>
          </cell>
          <cell r="B162" t="str">
            <v>047001002</v>
          </cell>
          <cell r="C162" t="str">
            <v>Current Year Collections -Liquidations</v>
          </cell>
          <cell r="D162" t="str">
            <v>0049</v>
          </cell>
          <cell r="E162" t="str">
            <v>ACC.DEP. LEASED S &amp; M -I</v>
          </cell>
          <cell r="F162">
            <v>-163648.91</v>
          </cell>
          <cell r="G162">
            <v>0</v>
          </cell>
          <cell r="H162">
            <v>-163648.91</v>
          </cell>
          <cell r="I162" t="str">
            <v>Mishraji</v>
          </cell>
        </row>
        <row r="163">
          <cell r="A163" t="str">
            <v>047001002.0050</v>
          </cell>
          <cell r="B163" t="str">
            <v>047001002</v>
          </cell>
          <cell r="C163" t="str">
            <v>Current Year Collections -Liquidations</v>
          </cell>
          <cell r="D163" t="str">
            <v>0050</v>
          </cell>
          <cell r="E163" t="str">
            <v>ACC. DEP. LEASED F &amp; F -</v>
          </cell>
          <cell r="F163">
            <v>-5433766.0499999998</v>
          </cell>
          <cell r="G163">
            <v>0</v>
          </cell>
          <cell r="H163">
            <v>-5433766.0499999998</v>
          </cell>
          <cell r="I163" t="str">
            <v>Mishraji</v>
          </cell>
        </row>
        <row r="164">
          <cell r="A164" t="str">
            <v>047001002.0051</v>
          </cell>
          <cell r="B164" t="str">
            <v>047001002</v>
          </cell>
          <cell r="C164" t="str">
            <v>Current Year Collections -Liquidations</v>
          </cell>
          <cell r="D164" t="str">
            <v>0051</v>
          </cell>
          <cell r="E164" t="str">
            <v>ACC. DEP. LEASED AEROPLA</v>
          </cell>
          <cell r="F164">
            <v>49096854.960000001</v>
          </cell>
          <cell r="G164">
            <v>0</v>
          </cell>
          <cell r="H164">
            <v>49096854.960000001</v>
          </cell>
          <cell r="I164" t="str">
            <v>Mishraji</v>
          </cell>
        </row>
        <row r="165">
          <cell r="A165" t="str">
            <v>047001002.0053</v>
          </cell>
          <cell r="B165" t="str">
            <v>047001002</v>
          </cell>
          <cell r="C165" t="str">
            <v>Current Year Collections -Liquidations</v>
          </cell>
          <cell r="D165" t="str">
            <v>0053</v>
          </cell>
          <cell r="E165" t="str">
            <v>LEASED ADJ. AC'S -INGRES</v>
          </cell>
          <cell r="F165">
            <v>-0.02</v>
          </cell>
          <cell r="G165">
            <v>0</v>
          </cell>
          <cell r="H165">
            <v>-0.02</v>
          </cell>
          <cell r="I165" t="str">
            <v>Mishraji</v>
          </cell>
        </row>
        <row r="166">
          <cell r="A166" t="str">
            <v>047001002.0054</v>
          </cell>
          <cell r="B166" t="str">
            <v>047001002</v>
          </cell>
          <cell r="C166" t="str">
            <v>Current Year Collections -Liquidations</v>
          </cell>
          <cell r="D166" t="str">
            <v>0054</v>
          </cell>
          <cell r="E166" t="str">
            <v>LEASED ADJ. P &amp; M 100Perct. I</v>
          </cell>
          <cell r="F166">
            <v>-0.02</v>
          </cell>
          <cell r="G166">
            <v>0</v>
          </cell>
          <cell r="H166">
            <v>-0.02</v>
          </cell>
          <cell r="I166" t="str">
            <v>Mishraji</v>
          </cell>
        </row>
        <row r="167">
          <cell r="A167" t="str">
            <v>047001002.0055</v>
          </cell>
          <cell r="B167" t="str">
            <v>047001002</v>
          </cell>
          <cell r="C167" t="str">
            <v>Current Year Collections -Liquidations</v>
          </cell>
          <cell r="D167" t="str">
            <v>0055</v>
          </cell>
          <cell r="E167" t="str">
            <v>LEASED ADJ. P &amp; M -INGRE</v>
          </cell>
          <cell r="F167">
            <v>28563717.850000001</v>
          </cell>
          <cell r="G167">
            <v>10140860.66</v>
          </cell>
          <cell r="H167">
            <v>38704578.509999998</v>
          </cell>
          <cell r="I167" t="str">
            <v>Mishraji</v>
          </cell>
        </row>
        <row r="168">
          <cell r="A168" t="str">
            <v>047001002.0056</v>
          </cell>
          <cell r="B168" t="str">
            <v>047001002</v>
          </cell>
          <cell r="C168" t="str">
            <v>Current Year Collections -Liquidations</v>
          </cell>
          <cell r="D168" t="str">
            <v>0056</v>
          </cell>
          <cell r="E168" t="str">
            <v>LEASED ADJ. AC'S -INGRES</v>
          </cell>
          <cell r="F168">
            <v>-851610.09</v>
          </cell>
          <cell r="G168">
            <v>0</v>
          </cell>
          <cell r="H168">
            <v>-851610.09</v>
          </cell>
          <cell r="I168" t="str">
            <v>Mishraji</v>
          </cell>
        </row>
        <row r="169">
          <cell r="A169" t="str">
            <v>047001002.0057</v>
          </cell>
          <cell r="B169" t="str">
            <v>047001002</v>
          </cell>
          <cell r="C169" t="str">
            <v>Current Year Collections -Liquidations</v>
          </cell>
          <cell r="D169" t="str">
            <v>0057</v>
          </cell>
          <cell r="E169" t="str">
            <v>LEASED ADJ. HEAVY EQUIP.</v>
          </cell>
          <cell r="F169">
            <v>67133.460000000006</v>
          </cell>
          <cell r="G169">
            <v>0</v>
          </cell>
          <cell r="H169">
            <v>67133.460000000006</v>
          </cell>
          <cell r="I169" t="str">
            <v>Mishraji</v>
          </cell>
        </row>
        <row r="170">
          <cell r="A170" t="str">
            <v>047001002.0058</v>
          </cell>
          <cell r="B170" t="str">
            <v>047001002</v>
          </cell>
          <cell r="C170" t="str">
            <v>Current Year Collections -Liquidations</v>
          </cell>
          <cell r="D170" t="str">
            <v>0058</v>
          </cell>
          <cell r="E170" t="str">
            <v>LEASED ADJ. P&amp; M 40Perct. -IN</v>
          </cell>
          <cell r="F170">
            <v>-9.3699999999999992</v>
          </cell>
          <cell r="G170">
            <v>0</v>
          </cell>
          <cell r="H170">
            <v>-9.3699999999999992</v>
          </cell>
          <cell r="I170" t="str">
            <v>Mishraji</v>
          </cell>
        </row>
        <row r="171">
          <cell r="A171" t="str">
            <v>047001002.0059</v>
          </cell>
          <cell r="B171" t="str">
            <v>047001002</v>
          </cell>
          <cell r="C171" t="str">
            <v>Current Year Collections -Liquidations</v>
          </cell>
          <cell r="D171" t="str">
            <v>0059</v>
          </cell>
          <cell r="E171" t="str">
            <v>LEASED ADJ . P&amp; M&lt;5000 -</v>
          </cell>
          <cell r="F171">
            <v>-309177.76</v>
          </cell>
          <cell r="G171">
            <v>0</v>
          </cell>
          <cell r="H171">
            <v>-309177.76</v>
          </cell>
          <cell r="I171" t="str">
            <v>Mishraji</v>
          </cell>
        </row>
        <row r="172">
          <cell r="A172" t="str">
            <v>047001002.0060</v>
          </cell>
          <cell r="B172" t="str">
            <v>047001002</v>
          </cell>
          <cell r="C172" t="str">
            <v>Current Year Collections -Liquidations</v>
          </cell>
          <cell r="D172" t="str">
            <v>0060</v>
          </cell>
          <cell r="E172" t="str">
            <v>LEASED ADJ. P &amp; M 100Perct. I</v>
          </cell>
          <cell r="F172">
            <v>122570660.98</v>
          </cell>
          <cell r="G172">
            <v>12604338.9</v>
          </cell>
          <cell r="H172">
            <v>135174999.88</v>
          </cell>
          <cell r="I172" t="str">
            <v>Mishraji</v>
          </cell>
        </row>
        <row r="173">
          <cell r="A173" t="str">
            <v>047001002.0061</v>
          </cell>
          <cell r="B173" t="str">
            <v>047001002</v>
          </cell>
          <cell r="C173" t="str">
            <v>Current Year Collections -Liquidations</v>
          </cell>
          <cell r="D173" t="str">
            <v>0061</v>
          </cell>
          <cell r="E173" t="str">
            <v>LEASED ADJ. COMPUTERS -I</v>
          </cell>
          <cell r="F173">
            <v>-0.01</v>
          </cell>
          <cell r="G173">
            <v>0</v>
          </cell>
          <cell r="H173">
            <v>-0.01</v>
          </cell>
          <cell r="I173" t="str">
            <v>Mishraji</v>
          </cell>
        </row>
        <row r="174">
          <cell r="A174" t="str">
            <v>047001002.0062</v>
          </cell>
          <cell r="B174" t="str">
            <v>047001002</v>
          </cell>
          <cell r="C174" t="str">
            <v>Current Year Collections -Liquidations</v>
          </cell>
          <cell r="D174" t="str">
            <v>0062</v>
          </cell>
          <cell r="E174" t="str">
            <v>LEASED ADJ. COMPUTERS -I</v>
          </cell>
          <cell r="F174">
            <v>-6170503.3499999996</v>
          </cell>
          <cell r="G174">
            <v>0</v>
          </cell>
          <cell r="H174">
            <v>-6170503.3499999996</v>
          </cell>
          <cell r="I174" t="str">
            <v>Mishraji</v>
          </cell>
        </row>
        <row r="175">
          <cell r="A175" t="str">
            <v>047001002.0063</v>
          </cell>
          <cell r="B175" t="str">
            <v>047001002</v>
          </cell>
          <cell r="C175" t="str">
            <v>Current Year Collections -Liquidations</v>
          </cell>
          <cell r="D175" t="str">
            <v>0063</v>
          </cell>
          <cell r="E175" t="str">
            <v>LEASED ADJ. O.E. -INGRES</v>
          </cell>
          <cell r="F175">
            <v>-664112.05000000005</v>
          </cell>
          <cell r="G175">
            <v>0</v>
          </cell>
          <cell r="H175">
            <v>-664112.05000000005</v>
          </cell>
          <cell r="I175" t="str">
            <v>Mishraji</v>
          </cell>
        </row>
        <row r="176">
          <cell r="A176" t="str">
            <v>047001002.0065</v>
          </cell>
          <cell r="B176" t="str">
            <v>047001002</v>
          </cell>
          <cell r="C176" t="str">
            <v>Current Year Collections -Liquidations</v>
          </cell>
          <cell r="D176" t="str">
            <v>0065</v>
          </cell>
          <cell r="E176" t="str">
            <v>LEASED ADJ. CARS -INGRES</v>
          </cell>
          <cell r="F176">
            <v>0.03</v>
          </cell>
          <cell r="G176">
            <v>0</v>
          </cell>
          <cell r="H176">
            <v>0.03</v>
          </cell>
          <cell r="I176" t="str">
            <v>Mishraji</v>
          </cell>
        </row>
        <row r="177">
          <cell r="A177" t="str">
            <v>047001002.0066</v>
          </cell>
          <cell r="B177" t="str">
            <v>047001002</v>
          </cell>
          <cell r="C177" t="str">
            <v>Current Year Collections -Liquidations</v>
          </cell>
          <cell r="D177" t="str">
            <v>0066</v>
          </cell>
          <cell r="E177" t="str">
            <v>LEASED ADJ.TANKERS -INGR</v>
          </cell>
          <cell r="F177">
            <v>463496.93</v>
          </cell>
          <cell r="G177">
            <v>0</v>
          </cell>
          <cell r="H177">
            <v>463496.93</v>
          </cell>
          <cell r="I177" t="str">
            <v>Mishraji</v>
          </cell>
        </row>
        <row r="178">
          <cell r="A178" t="str">
            <v>047001002.0067</v>
          </cell>
          <cell r="B178" t="str">
            <v>047001002</v>
          </cell>
          <cell r="C178" t="str">
            <v>Current Year Collections -Liquidations</v>
          </cell>
          <cell r="D178" t="str">
            <v>0067</v>
          </cell>
          <cell r="E178" t="str">
            <v>LEASED ADJ. HCV'S -INGRE</v>
          </cell>
          <cell r="F178">
            <v>-316055.19</v>
          </cell>
          <cell r="G178">
            <v>12008.83</v>
          </cell>
          <cell r="H178">
            <v>-304046.36</v>
          </cell>
          <cell r="I178" t="str">
            <v>Mishraji</v>
          </cell>
        </row>
        <row r="179">
          <cell r="A179" t="str">
            <v>047001002.0068</v>
          </cell>
          <cell r="B179" t="str">
            <v>047001002</v>
          </cell>
          <cell r="C179" t="str">
            <v>Current Year Collections -Liquidations</v>
          </cell>
          <cell r="D179" t="str">
            <v>0068</v>
          </cell>
          <cell r="E179" t="str">
            <v>LEASED ADJ. CARS -INGRES</v>
          </cell>
          <cell r="F179">
            <v>15785529.33</v>
          </cell>
          <cell r="G179">
            <v>0</v>
          </cell>
          <cell r="H179">
            <v>15785529.33</v>
          </cell>
          <cell r="I179" t="str">
            <v>Mishraji</v>
          </cell>
        </row>
        <row r="180">
          <cell r="A180" t="str">
            <v>047001002.0069</v>
          </cell>
          <cell r="B180" t="str">
            <v>047001002</v>
          </cell>
          <cell r="C180" t="str">
            <v>Current Year Collections -Liquidations</v>
          </cell>
          <cell r="D180" t="str">
            <v>0069</v>
          </cell>
          <cell r="E180" t="str">
            <v>LEASED ADJ. S &amp; M -INGRE</v>
          </cell>
          <cell r="F180">
            <v>32120.19</v>
          </cell>
          <cell r="G180">
            <v>0</v>
          </cell>
          <cell r="H180">
            <v>32120.19</v>
          </cell>
          <cell r="I180" t="str">
            <v>Mishraji</v>
          </cell>
        </row>
        <row r="181">
          <cell r="A181" t="str">
            <v>047001002.0070</v>
          </cell>
          <cell r="B181" t="str">
            <v>047001002</v>
          </cell>
          <cell r="C181" t="str">
            <v>Current Year Collections -Liquidations</v>
          </cell>
          <cell r="D181" t="str">
            <v>0070</v>
          </cell>
          <cell r="E181" t="str">
            <v>LEASED ADJ. F &amp; F -INGRE</v>
          </cell>
          <cell r="F181">
            <v>-21672931.460000001</v>
          </cell>
          <cell r="G181">
            <v>0</v>
          </cell>
          <cell r="H181">
            <v>-21672931.460000001</v>
          </cell>
          <cell r="I181" t="str">
            <v>Mishraji</v>
          </cell>
        </row>
        <row r="182">
          <cell r="A182" t="str">
            <v>047001002.0071</v>
          </cell>
          <cell r="B182" t="str">
            <v>047001002</v>
          </cell>
          <cell r="C182" t="str">
            <v>Current Year Collections -Liquidations</v>
          </cell>
          <cell r="D182" t="str">
            <v>0071</v>
          </cell>
          <cell r="E182" t="str">
            <v>LEASED ADJ. CAR -LUX -I</v>
          </cell>
          <cell r="F182">
            <v>-5897517.1299999999</v>
          </cell>
          <cell r="G182">
            <v>54176.56</v>
          </cell>
          <cell r="H182">
            <v>-5843340.5700000003</v>
          </cell>
          <cell r="I182" t="str">
            <v>Mishraji</v>
          </cell>
        </row>
        <row r="183">
          <cell r="A183" t="str">
            <v>047001002.0072</v>
          </cell>
          <cell r="B183" t="str">
            <v>047001002</v>
          </cell>
          <cell r="C183" t="str">
            <v>Current Year Collections -Liquidations</v>
          </cell>
          <cell r="D183" t="str">
            <v>0072</v>
          </cell>
          <cell r="E183" t="str">
            <v>LEASED ADJ. AEROPLANES -</v>
          </cell>
          <cell r="F183">
            <v>12226411.93</v>
          </cell>
          <cell r="G183">
            <v>0</v>
          </cell>
          <cell r="H183">
            <v>12226411.93</v>
          </cell>
          <cell r="I183" t="str">
            <v>Mishraji</v>
          </cell>
        </row>
        <row r="184">
          <cell r="A184" t="str">
            <v>047001002.0073</v>
          </cell>
          <cell r="B184" t="str">
            <v>047001002</v>
          </cell>
          <cell r="C184" t="str">
            <v>Current Year Collections -Liquidations</v>
          </cell>
          <cell r="D184" t="str">
            <v>0073</v>
          </cell>
          <cell r="E184" t="str">
            <v>STOCK ON HIRE -INGRES</v>
          </cell>
          <cell r="F184">
            <v>-356212037.13999999</v>
          </cell>
          <cell r="G184">
            <v>-8305334</v>
          </cell>
          <cell r="H184">
            <v>-364517371.13999999</v>
          </cell>
          <cell r="I184" t="str">
            <v>Mishraji</v>
          </cell>
        </row>
        <row r="185">
          <cell r="A185" t="str">
            <v>047001002.0074</v>
          </cell>
          <cell r="B185" t="str">
            <v>047001002</v>
          </cell>
          <cell r="C185" t="str">
            <v>Current Year Collections -Liquidations</v>
          </cell>
          <cell r="D185" t="str">
            <v>0074</v>
          </cell>
          <cell r="E185" t="str">
            <v>H.P. INSTALMENTS RECEIVA</v>
          </cell>
          <cell r="F185">
            <v>-46943176.189999998</v>
          </cell>
          <cell r="G185">
            <v>1419373.59</v>
          </cell>
          <cell r="H185">
            <v>-45523802.600000001</v>
          </cell>
          <cell r="I185" t="str">
            <v>Mishraji</v>
          </cell>
        </row>
        <row r="186">
          <cell r="A186" t="str">
            <v>047001002.0075</v>
          </cell>
          <cell r="B186" t="str">
            <v>047001002</v>
          </cell>
          <cell r="C186" t="str">
            <v>Current Year Collections -Liquidations</v>
          </cell>
          <cell r="D186" t="str">
            <v>0075</v>
          </cell>
          <cell r="E186" t="str">
            <v>UNALLOCATED RECEIPTS -IN</v>
          </cell>
          <cell r="F186">
            <v>1610622.74</v>
          </cell>
          <cell r="G186">
            <v>730012</v>
          </cell>
          <cell r="H186">
            <v>2340634.7400000002</v>
          </cell>
          <cell r="I186" t="str">
            <v>Mishraji</v>
          </cell>
        </row>
        <row r="187">
          <cell r="A187" t="str">
            <v>047001002.0076</v>
          </cell>
          <cell r="B187" t="str">
            <v>047001002</v>
          </cell>
          <cell r="C187" t="str">
            <v>Current Year Collections -Liquidations</v>
          </cell>
          <cell r="D187" t="str">
            <v>0076</v>
          </cell>
          <cell r="E187" t="str">
            <v>PARTY EXPENSES A/C -INGR</v>
          </cell>
          <cell r="F187">
            <v>4722097.75</v>
          </cell>
          <cell r="G187">
            <v>-30292</v>
          </cell>
          <cell r="H187">
            <v>4691805.75</v>
          </cell>
          <cell r="I187" t="str">
            <v>Mishraji</v>
          </cell>
        </row>
        <row r="188">
          <cell r="A188" t="str">
            <v>047001002.0077</v>
          </cell>
          <cell r="B188" t="str">
            <v>047001002</v>
          </cell>
          <cell r="C188" t="str">
            <v>Current Year Collections -Liquidations</v>
          </cell>
          <cell r="D188" t="str">
            <v>0077</v>
          </cell>
          <cell r="E188" t="str">
            <v>INSURANCE CONTROL A/C -I</v>
          </cell>
          <cell r="F188">
            <v>-216680.26</v>
          </cell>
          <cell r="G188">
            <v>-48995</v>
          </cell>
          <cell r="H188">
            <v>-265675.26</v>
          </cell>
          <cell r="I188" t="str">
            <v>Mishraji</v>
          </cell>
        </row>
        <row r="189">
          <cell r="A189" t="str">
            <v>047001002.0078</v>
          </cell>
          <cell r="B189" t="str">
            <v>047001002</v>
          </cell>
          <cell r="C189" t="str">
            <v>Current Year Collections -Liquidations</v>
          </cell>
          <cell r="D189" t="str">
            <v>0078</v>
          </cell>
          <cell r="E189" t="str">
            <v>REPOSSESSED STOCK -INGRE</v>
          </cell>
          <cell r="F189">
            <v>-1355918.73</v>
          </cell>
          <cell r="G189">
            <v>-243367.98</v>
          </cell>
          <cell r="H189">
            <v>-1599286.71</v>
          </cell>
          <cell r="I189" t="str">
            <v>Vivek</v>
          </cell>
        </row>
        <row r="190">
          <cell r="A190" t="str">
            <v>047001002.0079</v>
          </cell>
          <cell r="B190" t="str">
            <v>047001002</v>
          </cell>
          <cell r="C190" t="str">
            <v>Current Year Collections -Liquidations</v>
          </cell>
          <cell r="D190" t="str">
            <v>0079</v>
          </cell>
          <cell r="E190" t="str">
            <v>BILLS RECEIVABLE -INGRES</v>
          </cell>
          <cell r="F190">
            <v>2978854</v>
          </cell>
          <cell r="G190">
            <v>0</v>
          </cell>
          <cell r="H190">
            <v>2978854</v>
          </cell>
          <cell r="I190" t="str">
            <v>Mishraji</v>
          </cell>
        </row>
        <row r="191">
          <cell r="A191" t="str">
            <v>047001002.0080</v>
          </cell>
          <cell r="B191" t="str">
            <v>047001002</v>
          </cell>
          <cell r="C191" t="str">
            <v>Current Year Collections -Liquidations</v>
          </cell>
          <cell r="D191" t="str">
            <v>0080</v>
          </cell>
          <cell r="E191" t="str">
            <v>BR PURCHASED DELHI -INGR</v>
          </cell>
          <cell r="F191">
            <v>-2978854</v>
          </cell>
          <cell r="G191">
            <v>0</v>
          </cell>
          <cell r="H191">
            <v>-2978854</v>
          </cell>
          <cell r="I191" t="str">
            <v>Mishraji</v>
          </cell>
        </row>
        <row r="192">
          <cell r="A192" t="str">
            <v>047001002.0081</v>
          </cell>
          <cell r="B192" t="str">
            <v>047001002</v>
          </cell>
          <cell r="C192" t="str">
            <v>Current Year Collections -Liquidations</v>
          </cell>
          <cell r="D192" t="str">
            <v>0081</v>
          </cell>
          <cell r="E192" t="str">
            <v>LEASE RENTALS RECEIVABLE</v>
          </cell>
          <cell r="F192">
            <v>-14330316.52</v>
          </cell>
          <cell r="G192">
            <v>41864</v>
          </cell>
          <cell r="H192">
            <v>-14288452.52</v>
          </cell>
          <cell r="I192" t="str">
            <v>Mishraji</v>
          </cell>
        </row>
        <row r="193">
          <cell r="A193" t="str">
            <v>047001002.0082</v>
          </cell>
          <cell r="B193" t="str">
            <v>047001002</v>
          </cell>
          <cell r="C193" t="str">
            <v>Current Year Collections -Liquidations</v>
          </cell>
          <cell r="D193" t="str">
            <v>0082</v>
          </cell>
          <cell r="E193" t="str">
            <v>SUB-LEASE RENTALS RECEIV</v>
          </cell>
          <cell r="F193">
            <v>1057248.02</v>
          </cell>
          <cell r="G193">
            <v>4993</v>
          </cell>
          <cell r="H193">
            <v>1062241.02</v>
          </cell>
          <cell r="I193" t="str">
            <v>Mishraji</v>
          </cell>
        </row>
        <row r="194">
          <cell r="A194" t="str">
            <v>047001002.0083</v>
          </cell>
          <cell r="B194" t="str">
            <v>047001002</v>
          </cell>
          <cell r="C194" t="str">
            <v>Current Year Collections -Liquidations</v>
          </cell>
          <cell r="D194" t="str">
            <v>0083</v>
          </cell>
          <cell r="E194" t="str">
            <v>LEASE SECURITY DEPOSITS</v>
          </cell>
          <cell r="F194">
            <v>15899674</v>
          </cell>
          <cell r="G194">
            <v>9224586</v>
          </cell>
          <cell r="H194">
            <v>25124260</v>
          </cell>
          <cell r="I194" t="str">
            <v>Mishraji</v>
          </cell>
        </row>
        <row r="195">
          <cell r="A195" t="str">
            <v>047001002.0085</v>
          </cell>
          <cell r="B195" t="str">
            <v>047001002</v>
          </cell>
          <cell r="C195" t="str">
            <v>Current Year Collections -Liquidations</v>
          </cell>
          <cell r="D195" t="str">
            <v>0085</v>
          </cell>
          <cell r="E195" t="str">
            <v>SOH - L A/C</v>
          </cell>
          <cell r="F195">
            <v>358993275</v>
          </cell>
          <cell r="G195">
            <v>-10799283</v>
          </cell>
          <cell r="H195">
            <v>348193992</v>
          </cell>
          <cell r="I195" t="str">
            <v>Mishraji</v>
          </cell>
        </row>
        <row r="196">
          <cell r="A196" t="str">
            <v>047001002.0086</v>
          </cell>
          <cell r="B196" t="str">
            <v>047001002</v>
          </cell>
          <cell r="C196" t="str">
            <v>Current Year Collections -Liquidations</v>
          </cell>
          <cell r="D196" t="str">
            <v>0086</v>
          </cell>
          <cell r="E196" t="str">
            <v>PARTY RECEIVABLE -L A/C</v>
          </cell>
          <cell r="F196">
            <v>-3102448.63</v>
          </cell>
          <cell r="G196">
            <v>6484916.04</v>
          </cell>
          <cell r="H196">
            <v>3382467.41</v>
          </cell>
          <cell r="I196" t="str">
            <v>Mishraji</v>
          </cell>
        </row>
        <row r="197">
          <cell r="A197" t="str">
            <v>050001001.0001</v>
          </cell>
          <cell r="B197" t="str">
            <v>050001001</v>
          </cell>
          <cell r="C197" t="str">
            <v>January 1 Balance</v>
          </cell>
          <cell r="D197" t="str">
            <v>0001</v>
          </cell>
          <cell r="E197" t="str">
            <v>Financing Loans</v>
          </cell>
          <cell r="F197">
            <v>-310034406.87</v>
          </cell>
          <cell r="G197">
            <v>0</v>
          </cell>
          <cell r="H197">
            <v>-310034406.87</v>
          </cell>
          <cell r="I197" t="str">
            <v>Mishraji</v>
          </cell>
        </row>
        <row r="198">
          <cell r="A198" t="str">
            <v>050001002.0001</v>
          </cell>
          <cell r="B198" t="str">
            <v>050001002</v>
          </cell>
          <cell r="C198" t="str">
            <v>Current Year Volume -Additions</v>
          </cell>
          <cell r="D198" t="str">
            <v>0001</v>
          </cell>
          <cell r="E198" t="str">
            <v>Financing Loans</v>
          </cell>
          <cell r="F198">
            <v>-189078641.22999999</v>
          </cell>
          <cell r="G198">
            <v>-1208812.98</v>
          </cell>
          <cell r="H198">
            <v>-190287454.21000001</v>
          </cell>
          <cell r="I198" t="str">
            <v>Mishraji</v>
          </cell>
        </row>
        <row r="199">
          <cell r="A199" t="str">
            <v>067046001.0001</v>
          </cell>
          <cell r="B199" t="str">
            <v>067046001</v>
          </cell>
          <cell r="C199" t="str">
            <v>January 1 Balance Deferred Income- Quasi Lease Fixed Rate</v>
          </cell>
          <cell r="D199" t="str">
            <v>0001</v>
          </cell>
          <cell r="E199" t="str">
            <v>HP-Unmatured Finance Cha</v>
          </cell>
          <cell r="F199">
            <v>-66349464.32</v>
          </cell>
          <cell r="G199">
            <v>0</v>
          </cell>
          <cell r="H199">
            <v>-66349464.32</v>
          </cell>
          <cell r="I199" t="str">
            <v>Mishraji</v>
          </cell>
        </row>
        <row r="200">
          <cell r="A200" t="str">
            <v>067046001.0003</v>
          </cell>
          <cell r="B200" t="str">
            <v>067046001</v>
          </cell>
          <cell r="C200" t="str">
            <v>January 1 Balance Deferred Income- Quasi Lease Fixed Rate</v>
          </cell>
          <cell r="D200" t="str">
            <v>0003</v>
          </cell>
          <cell r="E200" t="str">
            <v>Lease-Unmatured Finance</v>
          </cell>
          <cell r="F200">
            <v>-1700527.58</v>
          </cell>
          <cell r="G200">
            <v>0</v>
          </cell>
          <cell r="H200">
            <v>-1700527.58</v>
          </cell>
          <cell r="I200" t="str">
            <v>Mishraji</v>
          </cell>
        </row>
        <row r="201">
          <cell r="A201" t="str">
            <v>067046002.0001</v>
          </cell>
          <cell r="B201" t="str">
            <v>067046002</v>
          </cell>
          <cell r="C201" t="str">
            <v>Current Year Additions Def Inc Quasi Lease Fixed Rate</v>
          </cell>
          <cell r="D201" t="str">
            <v>0001</v>
          </cell>
          <cell r="E201" t="str">
            <v>HP-Unmatured Finance Cha</v>
          </cell>
          <cell r="F201">
            <v>52926891.770000003</v>
          </cell>
          <cell r="G201">
            <v>1499722.51</v>
          </cell>
          <cell r="H201">
            <v>54426614.280000001</v>
          </cell>
          <cell r="I201" t="str">
            <v>Mishraji</v>
          </cell>
        </row>
        <row r="202">
          <cell r="A202" t="str">
            <v>067046002.0003</v>
          </cell>
          <cell r="B202" t="str">
            <v>067046002</v>
          </cell>
          <cell r="C202" t="str">
            <v>Current Year Additions Def Inc Quasi Lease Fixed Rate</v>
          </cell>
          <cell r="D202" t="str">
            <v>0003</v>
          </cell>
          <cell r="E202" t="str">
            <v>Lease-Unmatured Finance</v>
          </cell>
          <cell r="F202">
            <v>-57854214.119999997</v>
          </cell>
          <cell r="G202">
            <v>2714428.99</v>
          </cell>
          <cell r="H202">
            <v>-55139785.130000003</v>
          </cell>
          <cell r="I202" t="str">
            <v>Mishraji</v>
          </cell>
        </row>
        <row r="203">
          <cell r="A203" t="str">
            <v>080001002.0001</v>
          </cell>
          <cell r="B203" t="str">
            <v>080001002</v>
          </cell>
          <cell r="C203" t="str">
            <v>Current year Provisions -Additions</v>
          </cell>
          <cell r="D203" t="str">
            <v>0001</v>
          </cell>
          <cell r="E203" t="str">
            <v>Time Sales and Loans</v>
          </cell>
          <cell r="F203">
            <v>-3900023.19</v>
          </cell>
          <cell r="G203">
            <v>0</v>
          </cell>
          <cell r="H203">
            <v>-3900023.19</v>
          </cell>
          <cell r="I203" t="str">
            <v>Mishraji</v>
          </cell>
        </row>
        <row r="204">
          <cell r="A204" t="str">
            <v>122003001.0003</v>
          </cell>
          <cell r="B204" t="str">
            <v>122003001</v>
          </cell>
          <cell r="C204" t="str">
            <v>Loans &amp; Advances to Employees</v>
          </cell>
          <cell r="D204" t="str">
            <v>0003</v>
          </cell>
          <cell r="E204" t="str">
            <v>Loans to Employees-Personal</v>
          </cell>
          <cell r="F204">
            <v>-1348</v>
          </cell>
          <cell r="G204">
            <v>1348</v>
          </cell>
          <cell r="H204">
            <v>0</v>
          </cell>
          <cell r="I204" t="str">
            <v>Pankaj</v>
          </cell>
        </row>
        <row r="205">
          <cell r="A205" t="str">
            <v>122003001.0060</v>
          </cell>
          <cell r="B205" t="str">
            <v>122003001</v>
          </cell>
          <cell r="C205" t="str">
            <v>Loans &amp; Advances to Employees</v>
          </cell>
          <cell r="D205" t="str">
            <v>0060</v>
          </cell>
          <cell r="E205" t="str">
            <v>Advances to Employees-Others</v>
          </cell>
          <cell r="F205">
            <v>0</v>
          </cell>
          <cell r="G205">
            <v>-49500</v>
          </cell>
          <cell r="H205">
            <v>-49500</v>
          </cell>
          <cell r="I205" t="str">
            <v>Pankaj</v>
          </cell>
        </row>
        <row r="206">
          <cell r="A206" t="str">
            <v>122005001.0001</v>
          </cell>
          <cell r="B206" t="str">
            <v>122005001</v>
          </cell>
          <cell r="C206" t="str">
            <v>Miscellaneous</v>
          </cell>
          <cell r="D206" t="str">
            <v>0001</v>
          </cell>
          <cell r="E206" t="str">
            <v>Suppliers-Indian</v>
          </cell>
          <cell r="F206">
            <v>0.1</v>
          </cell>
          <cell r="G206">
            <v>0</v>
          </cell>
          <cell r="H206">
            <v>0.1</v>
          </cell>
          <cell r="I206" t="str">
            <v>Pankaj</v>
          </cell>
        </row>
        <row r="207">
          <cell r="A207" t="str">
            <v>122005001.0099</v>
          </cell>
          <cell r="B207" t="str">
            <v>122005001</v>
          </cell>
          <cell r="C207" t="str">
            <v>Miscellaneous</v>
          </cell>
          <cell r="D207" t="str">
            <v>0099</v>
          </cell>
          <cell r="E207" t="str">
            <v>Advances - Default AP</v>
          </cell>
          <cell r="F207">
            <v>270838</v>
          </cell>
          <cell r="G207">
            <v>167578</v>
          </cell>
          <cell r="H207">
            <v>438416</v>
          </cell>
          <cell r="I207" t="str">
            <v>Pankaj</v>
          </cell>
        </row>
        <row r="208">
          <cell r="A208" t="str">
            <v>122008003.0201</v>
          </cell>
          <cell r="B208" t="str">
            <v>122008003</v>
          </cell>
          <cell r="C208" t="str">
            <v>Advance To Suppliers Others</v>
          </cell>
          <cell r="D208" t="str">
            <v>0201</v>
          </cell>
          <cell r="E208" t="str">
            <v>TRAVEL ADV -EMP</v>
          </cell>
          <cell r="F208">
            <v>75000.13</v>
          </cell>
          <cell r="G208">
            <v>0</v>
          </cell>
          <cell r="H208">
            <v>75000.13</v>
          </cell>
          <cell r="I208" t="str">
            <v>Pankaj</v>
          </cell>
        </row>
        <row r="209">
          <cell r="A209" t="str">
            <v>122008003.0202</v>
          </cell>
          <cell r="B209" t="str">
            <v>122008003</v>
          </cell>
          <cell r="C209" t="str">
            <v>Advance To Suppliers Others</v>
          </cell>
          <cell r="D209" t="str">
            <v>0202</v>
          </cell>
          <cell r="E209" t="str">
            <v>OFFICERS LOAN ACCOUNT</v>
          </cell>
          <cell r="F209">
            <v>10785</v>
          </cell>
          <cell r="G209">
            <v>-2696</v>
          </cell>
          <cell r="H209">
            <v>8089</v>
          </cell>
          <cell r="I209" t="str">
            <v>Pankaj</v>
          </cell>
        </row>
        <row r="210">
          <cell r="A210" t="str">
            <v>122008003.0204</v>
          </cell>
          <cell r="B210" t="str">
            <v>122008003</v>
          </cell>
          <cell r="C210" t="str">
            <v>Advance To Suppliers Others</v>
          </cell>
          <cell r="D210" t="str">
            <v>0204</v>
          </cell>
          <cell r="E210" t="str">
            <v>PREPAID EXPENSES</v>
          </cell>
          <cell r="F210">
            <v>306106.55</v>
          </cell>
          <cell r="G210">
            <v>-54063</v>
          </cell>
          <cell r="H210">
            <v>252043.55</v>
          </cell>
          <cell r="I210" t="str">
            <v>Pankaj</v>
          </cell>
        </row>
        <row r="211">
          <cell r="A211" t="str">
            <v>122008003.0205</v>
          </cell>
          <cell r="B211" t="str">
            <v>122008003</v>
          </cell>
          <cell r="C211" t="str">
            <v>Advance To Suppliers Others</v>
          </cell>
          <cell r="D211" t="str">
            <v>0205</v>
          </cell>
          <cell r="E211" t="str">
            <v>DEPOSITS</v>
          </cell>
          <cell r="F211">
            <v>5157481</v>
          </cell>
          <cell r="G211">
            <v>0</v>
          </cell>
          <cell r="H211">
            <v>5157481</v>
          </cell>
          <cell r="I211" t="str">
            <v>Pankaj</v>
          </cell>
        </row>
        <row r="212">
          <cell r="A212" t="str">
            <v>122008003.0207</v>
          </cell>
          <cell r="B212" t="str">
            <v>122008003</v>
          </cell>
          <cell r="C212" t="str">
            <v>Advance To Suppliers Others</v>
          </cell>
          <cell r="D212" t="str">
            <v>0207</v>
          </cell>
          <cell r="E212" t="str">
            <v>ADVANCES TO SUPPLIERS -I</v>
          </cell>
          <cell r="F212">
            <v>36314.129999999997</v>
          </cell>
          <cell r="G212">
            <v>0</v>
          </cell>
          <cell r="H212">
            <v>36314.129999999997</v>
          </cell>
          <cell r="I212" t="str">
            <v>Mishraji</v>
          </cell>
        </row>
        <row r="213">
          <cell r="A213" t="str">
            <v>122008003.0208</v>
          </cell>
          <cell r="B213" t="str">
            <v>122008003</v>
          </cell>
          <cell r="C213" t="str">
            <v>Advance To Suppliers Others</v>
          </cell>
          <cell r="D213" t="str">
            <v>0208</v>
          </cell>
          <cell r="E213" t="str">
            <v>LOAN AGAINST FIXED DEPOS</v>
          </cell>
          <cell r="F213">
            <v>-123750</v>
          </cell>
          <cell r="G213">
            <v>0</v>
          </cell>
          <cell r="H213">
            <v>-123750</v>
          </cell>
          <cell r="I213" t="str">
            <v>Vivek</v>
          </cell>
        </row>
        <row r="214">
          <cell r="A214" t="str">
            <v>122008003.0209</v>
          </cell>
          <cell r="B214" t="str">
            <v>122008003</v>
          </cell>
          <cell r="C214" t="str">
            <v>Advance To Suppliers Others</v>
          </cell>
          <cell r="D214" t="str">
            <v>0209</v>
          </cell>
          <cell r="E214" t="str">
            <v>LOAN AGNST FIXED DEPOSIT</v>
          </cell>
          <cell r="F214">
            <v>123750</v>
          </cell>
          <cell r="G214">
            <v>0</v>
          </cell>
          <cell r="H214">
            <v>123750</v>
          </cell>
          <cell r="I214" t="str">
            <v>Vivek</v>
          </cell>
        </row>
        <row r="215">
          <cell r="A215" t="str">
            <v>122008003.0210</v>
          </cell>
          <cell r="B215" t="str">
            <v>122008003</v>
          </cell>
          <cell r="C215" t="str">
            <v>Advance To Suppliers Others</v>
          </cell>
          <cell r="D215" t="str">
            <v>0210</v>
          </cell>
          <cell r="E215" t="str">
            <v>NATIONAL INS. CO., N.D.</v>
          </cell>
          <cell r="F215">
            <v>68016</v>
          </cell>
          <cell r="G215">
            <v>0</v>
          </cell>
          <cell r="H215">
            <v>68016</v>
          </cell>
          <cell r="I215" t="str">
            <v>Mishraji</v>
          </cell>
        </row>
        <row r="216">
          <cell r="A216" t="str">
            <v>122008003.0212</v>
          </cell>
          <cell r="B216" t="str">
            <v>122008003</v>
          </cell>
          <cell r="C216" t="str">
            <v>Advance To Suppliers Others</v>
          </cell>
          <cell r="D216" t="str">
            <v>0212</v>
          </cell>
          <cell r="E216" t="str">
            <v>CORPUS CONTRIBUTION A/C</v>
          </cell>
          <cell r="F216">
            <v>2500000</v>
          </cell>
          <cell r="G216">
            <v>0</v>
          </cell>
          <cell r="H216">
            <v>2500000</v>
          </cell>
          <cell r="I216" t="str">
            <v>Pankaj</v>
          </cell>
        </row>
        <row r="217">
          <cell r="A217" t="str">
            <v>122008003.0213</v>
          </cell>
          <cell r="B217" t="str">
            <v>122008003</v>
          </cell>
          <cell r="C217" t="str">
            <v>Advance To Suppliers Others</v>
          </cell>
          <cell r="D217" t="str">
            <v>0213</v>
          </cell>
          <cell r="E217" t="str">
            <v>ADVANCE FOR EXPENSES - O</v>
          </cell>
          <cell r="F217">
            <v>92766</v>
          </cell>
          <cell r="G217">
            <v>0</v>
          </cell>
          <cell r="H217">
            <v>92766</v>
          </cell>
          <cell r="I217" t="str">
            <v>Mishraji</v>
          </cell>
        </row>
        <row r="218">
          <cell r="A218" t="str">
            <v>122008003.0215</v>
          </cell>
          <cell r="B218" t="str">
            <v>122008003</v>
          </cell>
          <cell r="C218" t="str">
            <v>Advance To Suppliers Others</v>
          </cell>
          <cell r="D218" t="str">
            <v>0215</v>
          </cell>
          <cell r="E218" t="str">
            <v>INGRES CONTROL</v>
          </cell>
          <cell r="F218">
            <v>0.05</v>
          </cell>
          <cell r="G218">
            <v>0</v>
          </cell>
          <cell r="H218">
            <v>0.05</v>
          </cell>
          <cell r="I218" t="str">
            <v>Vivek</v>
          </cell>
        </row>
        <row r="219">
          <cell r="A219" t="str">
            <v>130004008.0062</v>
          </cell>
          <cell r="B219" t="str">
            <v>130004008</v>
          </cell>
          <cell r="C219" t="str">
            <v>Taxes Receivable</v>
          </cell>
          <cell r="D219" t="str">
            <v>0062</v>
          </cell>
          <cell r="E219" t="str">
            <v>TDS Receivable F.Y. 2002-03</v>
          </cell>
          <cell r="F219">
            <v>262236</v>
          </cell>
          <cell r="G219">
            <v>-262236</v>
          </cell>
          <cell r="H219">
            <v>0</v>
          </cell>
          <cell r="I219" t="str">
            <v>Mishraji</v>
          </cell>
        </row>
        <row r="220">
          <cell r="A220" t="str">
            <v>130008001.0202</v>
          </cell>
          <cell r="B220" t="str">
            <v>130008001</v>
          </cell>
          <cell r="C220" t="str">
            <v>Receivables from broker dealers</v>
          </cell>
          <cell r="D220" t="str">
            <v>0202</v>
          </cell>
          <cell r="E220" t="str">
            <v>UWB LEASE SECURITY DEP.</v>
          </cell>
          <cell r="F220">
            <v>9048336.4499999993</v>
          </cell>
          <cell r="G220">
            <v>-145691.20000000001</v>
          </cell>
          <cell r="H220">
            <v>8902645.25</v>
          </cell>
          <cell r="I220" t="str">
            <v>Mishraji</v>
          </cell>
        </row>
        <row r="221">
          <cell r="A221" t="str">
            <v>130008001.0203</v>
          </cell>
          <cell r="B221" t="str">
            <v>130008001</v>
          </cell>
          <cell r="C221" t="str">
            <v>Receivables from broker dealers</v>
          </cell>
          <cell r="D221" t="str">
            <v>0203</v>
          </cell>
          <cell r="E221" t="str">
            <v>CONTINENTAL AUTO LTD -IN</v>
          </cell>
          <cell r="F221">
            <v>-0.09</v>
          </cell>
          <cell r="G221">
            <v>0</v>
          </cell>
          <cell r="H221">
            <v>-0.09</v>
          </cell>
          <cell r="I221" t="str">
            <v>Mishraji</v>
          </cell>
        </row>
        <row r="222">
          <cell r="A222" t="str">
            <v>130008001.0205</v>
          </cell>
          <cell r="B222" t="str">
            <v>130008001</v>
          </cell>
          <cell r="C222" t="str">
            <v>Receivables from broker dealers</v>
          </cell>
          <cell r="D222" t="str">
            <v>0205</v>
          </cell>
          <cell r="E222" t="str">
            <v>ALPIC COMMN A/C - LIABIL</v>
          </cell>
          <cell r="F222">
            <v>-50768.69</v>
          </cell>
          <cell r="G222">
            <v>0</v>
          </cell>
          <cell r="H222">
            <v>-50768.69</v>
          </cell>
          <cell r="I222" t="str">
            <v>Mishraji</v>
          </cell>
        </row>
        <row r="223">
          <cell r="A223" t="str">
            <v>130008001.0206</v>
          </cell>
          <cell r="B223" t="str">
            <v>130008001</v>
          </cell>
          <cell r="C223" t="str">
            <v>Receivables from broker dealers</v>
          </cell>
          <cell r="D223" t="str">
            <v>0206</v>
          </cell>
          <cell r="E223" t="str">
            <v>CONSORTIUM COMM. A/C -AS</v>
          </cell>
          <cell r="F223">
            <v>166813.38</v>
          </cell>
          <cell r="G223">
            <v>-14486</v>
          </cell>
          <cell r="H223">
            <v>152327.38</v>
          </cell>
          <cell r="I223" t="str">
            <v>Mishraji</v>
          </cell>
        </row>
        <row r="224">
          <cell r="A224" t="str">
            <v>130008001.0207</v>
          </cell>
          <cell r="B224" t="str">
            <v>130008001</v>
          </cell>
          <cell r="C224" t="str">
            <v>Receivables from broker dealers</v>
          </cell>
          <cell r="D224" t="str">
            <v>0207</v>
          </cell>
          <cell r="E224" t="str">
            <v>PREPAID COMM. A/C- CONSO</v>
          </cell>
          <cell r="F224">
            <v>-782922.78</v>
          </cell>
          <cell r="G224">
            <v>0</v>
          </cell>
          <cell r="H224">
            <v>-782922.78</v>
          </cell>
          <cell r="I224" t="str">
            <v>Mishraji</v>
          </cell>
        </row>
        <row r="225">
          <cell r="A225" t="str">
            <v>130008001.0208</v>
          </cell>
          <cell r="B225" t="str">
            <v>130008001</v>
          </cell>
          <cell r="C225" t="str">
            <v>Receivables from broker dealers</v>
          </cell>
          <cell r="D225" t="str">
            <v>0208</v>
          </cell>
          <cell r="E225" t="str">
            <v>ALPIC COMM. A/C - ASSET</v>
          </cell>
          <cell r="F225">
            <v>50768.69</v>
          </cell>
          <cell r="G225">
            <v>0</v>
          </cell>
          <cell r="H225">
            <v>50768.69</v>
          </cell>
          <cell r="I225" t="str">
            <v>Mishraji</v>
          </cell>
        </row>
        <row r="226">
          <cell r="A226" t="str">
            <v>130008001.0210</v>
          </cell>
          <cell r="B226" t="str">
            <v>130008001</v>
          </cell>
          <cell r="C226" t="str">
            <v>Receivables from broker dealers</v>
          </cell>
          <cell r="D226" t="str">
            <v>0210</v>
          </cell>
          <cell r="E226" t="str">
            <v>PREPAID COMM FOR DMA -IN</v>
          </cell>
          <cell r="F226">
            <v>4586246.3099999996</v>
          </cell>
          <cell r="G226">
            <v>-120193.29</v>
          </cell>
          <cell r="H226">
            <v>4466053.0199999996</v>
          </cell>
          <cell r="I226" t="str">
            <v>Mishraji</v>
          </cell>
        </row>
        <row r="227">
          <cell r="A227" t="str">
            <v>130010001.0005</v>
          </cell>
          <cell r="B227" t="str">
            <v>130010001</v>
          </cell>
          <cell r="C227" t="str">
            <v>Accrued Interest receivable/investment income</v>
          </cell>
          <cell r="D227" t="str">
            <v>0005</v>
          </cell>
          <cell r="E227" t="str">
            <v>Discount Charges</v>
          </cell>
          <cell r="F227">
            <v>1839783.12</v>
          </cell>
          <cell r="G227">
            <v>0</v>
          </cell>
          <cell r="H227">
            <v>1839783.12</v>
          </cell>
          <cell r="I227" t="str">
            <v>Mishraji</v>
          </cell>
        </row>
        <row r="228">
          <cell r="A228" t="str">
            <v>130010001.0202</v>
          </cell>
          <cell r="B228" t="str">
            <v>130010001</v>
          </cell>
          <cell r="C228" t="str">
            <v>Accrued Interest receivable/investment income</v>
          </cell>
          <cell r="D228" t="str">
            <v>0202</v>
          </cell>
          <cell r="E228" t="str">
            <v>INCOME   RECEIVABLE -ING</v>
          </cell>
          <cell r="F228">
            <v>21900441.370000001</v>
          </cell>
          <cell r="G228">
            <v>-453897.23</v>
          </cell>
          <cell r="H228">
            <v>21446544.140000001</v>
          </cell>
          <cell r="I228" t="str">
            <v>Mishraji</v>
          </cell>
        </row>
        <row r="229">
          <cell r="A229" t="str">
            <v>130010001.0203</v>
          </cell>
          <cell r="B229" t="str">
            <v>130010001</v>
          </cell>
          <cell r="C229" t="str">
            <v>Accrued Interest receivable/investment income</v>
          </cell>
          <cell r="D229" t="str">
            <v>0203</v>
          </cell>
          <cell r="E229" t="str">
            <v>INCOME ACCRUED BUT NOT DUE</v>
          </cell>
          <cell r="F229">
            <v>534311.11</v>
          </cell>
          <cell r="G229">
            <v>-206283.17</v>
          </cell>
          <cell r="H229">
            <v>328027.94</v>
          </cell>
          <cell r="I229" t="str">
            <v>Vivek</v>
          </cell>
        </row>
        <row r="230">
          <cell r="A230" t="str">
            <v>200001001.0001</v>
          </cell>
          <cell r="B230" t="str">
            <v>200001001</v>
          </cell>
          <cell r="C230" t="str">
            <v>Jan 1 balance</v>
          </cell>
          <cell r="D230" t="str">
            <v>0001</v>
          </cell>
          <cell r="E230" t="str">
            <v>Buildings</v>
          </cell>
          <cell r="F230">
            <v>84739800.200000003</v>
          </cell>
          <cell r="G230">
            <v>0</v>
          </cell>
          <cell r="H230">
            <v>84739800.200000003</v>
          </cell>
          <cell r="I230" t="str">
            <v>Pankaj</v>
          </cell>
        </row>
        <row r="231">
          <cell r="A231" t="str">
            <v>200001001.0002</v>
          </cell>
          <cell r="B231" t="str">
            <v>200001001</v>
          </cell>
          <cell r="C231" t="str">
            <v>Jan 1 balance</v>
          </cell>
          <cell r="D231" t="str">
            <v>0002</v>
          </cell>
          <cell r="E231" t="str">
            <v>Plant &amp; Machinery - Production</v>
          </cell>
          <cell r="F231">
            <v>847260</v>
          </cell>
          <cell r="G231">
            <v>0</v>
          </cell>
          <cell r="H231">
            <v>847260</v>
          </cell>
          <cell r="I231" t="str">
            <v>Pankaj</v>
          </cell>
        </row>
        <row r="232">
          <cell r="A232" t="str">
            <v>200001001.0004</v>
          </cell>
          <cell r="B232" t="str">
            <v>200001001</v>
          </cell>
          <cell r="C232" t="str">
            <v>Jan 1 balance</v>
          </cell>
          <cell r="D232" t="str">
            <v>0004</v>
          </cell>
          <cell r="E232" t="str">
            <v>Furniture &amp; Fittings</v>
          </cell>
          <cell r="F232">
            <v>4678850.41</v>
          </cell>
          <cell r="G232">
            <v>0</v>
          </cell>
          <cell r="H232">
            <v>4678850.41</v>
          </cell>
          <cell r="I232" t="str">
            <v>Pankaj</v>
          </cell>
        </row>
        <row r="233">
          <cell r="A233" t="str">
            <v>200001001.0006</v>
          </cell>
          <cell r="B233" t="str">
            <v>200001001</v>
          </cell>
          <cell r="C233" t="str">
            <v>Jan 1 balance</v>
          </cell>
          <cell r="D233" t="str">
            <v>0006</v>
          </cell>
          <cell r="E233" t="str">
            <v>Office Equipments</v>
          </cell>
          <cell r="F233">
            <v>9629196.8300000001</v>
          </cell>
          <cell r="G233">
            <v>0</v>
          </cell>
          <cell r="H233">
            <v>9629196.8300000001</v>
          </cell>
          <cell r="I233" t="str">
            <v>Pankaj</v>
          </cell>
        </row>
        <row r="234">
          <cell r="A234" t="str">
            <v>200001001.0101</v>
          </cell>
          <cell r="B234" t="str">
            <v>200001001</v>
          </cell>
          <cell r="C234" t="str">
            <v>Jan 1 balance</v>
          </cell>
          <cell r="D234" t="str">
            <v>0101</v>
          </cell>
          <cell r="E234" t="str">
            <v>Owned Cars</v>
          </cell>
          <cell r="F234">
            <v>0.38</v>
          </cell>
          <cell r="G234">
            <v>0</v>
          </cell>
          <cell r="H234">
            <v>0.38</v>
          </cell>
          <cell r="I234" t="str">
            <v>Pankaj</v>
          </cell>
        </row>
        <row r="235">
          <cell r="A235" t="str">
            <v>200001001.0209</v>
          </cell>
          <cell r="B235" t="str">
            <v>200001001</v>
          </cell>
          <cell r="C235" t="str">
            <v>Jan 1 balance</v>
          </cell>
          <cell r="D235" t="str">
            <v>0209</v>
          </cell>
          <cell r="E235" t="str">
            <v>REVALUATION RES.- BUILDI</v>
          </cell>
          <cell r="F235">
            <v>-2454631.38</v>
          </cell>
          <cell r="G235">
            <v>0</v>
          </cell>
          <cell r="H235">
            <v>-2454631.38</v>
          </cell>
          <cell r="I235" t="str">
            <v>Pankaj</v>
          </cell>
        </row>
        <row r="236">
          <cell r="A236" t="str">
            <v>200001002.0004</v>
          </cell>
          <cell r="B236" t="str">
            <v>200001002</v>
          </cell>
          <cell r="C236" t="str">
            <v>Current Year Additiions</v>
          </cell>
          <cell r="D236" t="str">
            <v>0004</v>
          </cell>
          <cell r="E236" t="str">
            <v>Furniture &amp; Fittings</v>
          </cell>
          <cell r="F236">
            <v>287478</v>
          </cell>
          <cell r="G236">
            <v>0</v>
          </cell>
          <cell r="H236">
            <v>287478</v>
          </cell>
          <cell r="I236" t="str">
            <v>Pankaj</v>
          </cell>
        </row>
        <row r="237">
          <cell r="A237" t="str">
            <v>200001002.0006</v>
          </cell>
          <cell r="B237" t="str">
            <v>200001002</v>
          </cell>
          <cell r="C237" t="str">
            <v>Current Year Additiions</v>
          </cell>
          <cell r="D237" t="str">
            <v>0006</v>
          </cell>
          <cell r="E237" t="str">
            <v>Office Equipments</v>
          </cell>
          <cell r="F237">
            <v>230309</v>
          </cell>
          <cell r="G237">
            <v>31800</v>
          </cell>
          <cell r="H237">
            <v>262109</v>
          </cell>
          <cell r="I237" t="str">
            <v>Pankaj</v>
          </cell>
        </row>
        <row r="238">
          <cell r="A238" t="str">
            <v>200001003.0001</v>
          </cell>
          <cell r="B238" t="str">
            <v>200001003</v>
          </cell>
          <cell r="C238" t="str">
            <v>Current year Dispositions</v>
          </cell>
          <cell r="D238" t="str">
            <v>0001</v>
          </cell>
          <cell r="E238" t="str">
            <v>Buildings</v>
          </cell>
          <cell r="F238">
            <v>-632950</v>
          </cell>
          <cell r="G238">
            <v>0</v>
          </cell>
          <cell r="H238">
            <v>-632950</v>
          </cell>
          <cell r="I238" t="str">
            <v>Pankaj</v>
          </cell>
        </row>
        <row r="239">
          <cell r="A239" t="str">
            <v>200001003.0004</v>
          </cell>
          <cell r="B239" t="str">
            <v>200001003</v>
          </cell>
          <cell r="C239" t="str">
            <v>Current year Dispositions</v>
          </cell>
          <cell r="D239" t="str">
            <v>0004</v>
          </cell>
          <cell r="E239" t="str">
            <v>Furniture &amp; Fittings</v>
          </cell>
          <cell r="F239">
            <v>-686943.2</v>
          </cell>
          <cell r="G239">
            <v>0</v>
          </cell>
          <cell r="H239">
            <v>-686943.2</v>
          </cell>
          <cell r="I239" t="str">
            <v>Pankaj</v>
          </cell>
        </row>
        <row r="240">
          <cell r="A240" t="str">
            <v>200001003.0006</v>
          </cell>
          <cell r="B240" t="str">
            <v>200001003</v>
          </cell>
          <cell r="C240" t="str">
            <v>Current year Dispositions</v>
          </cell>
          <cell r="D240" t="str">
            <v>0006</v>
          </cell>
          <cell r="E240" t="str">
            <v>Office Equipments</v>
          </cell>
          <cell r="F240">
            <v>-770555.94</v>
          </cell>
          <cell r="G240">
            <v>0</v>
          </cell>
          <cell r="H240">
            <v>-770555.94</v>
          </cell>
          <cell r="I240" t="str">
            <v>Pankaj</v>
          </cell>
        </row>
        <row r="241">
          <cell r="A241" t="str">
            <v>200001004.0002</v>
          </cell>
          <cell r="B241" t="str">
            <v>200001004</v>
          </cell>
          <cell r="C241" t="str">
            <v>Current year Transfers</v>
          </cell>
          <cell r="D241" t="str">
            <v>0002</v>
          </cell>
          <cell r="E241" t="str">
            <v>Plant &amp; Machinery - Production</v>
          </cell>
          <cell r="F241">
            <v>-847260</v>
          </cell>
          <cell r="G241">
            <v>0</v>
          </cell>
          <cell r="H241">
            <v>-847260</v>
          </cell>
          <cell r="I241" t="str">
            <v>Pankaj</v>
          </cell>
        </row>
        <row r="242">
          <cell r="A242" t="str">
            <v>200001004.0101</v>
          </cell>
          <cell r="B242" t="str">
            <v>200001004</v>
          </cell>
          <cell r="C242" t="str">
            <v>Current year Transfers</v>
          </cell>
          <cell r="D242" t="str">
            <v>0101</v>
          </cell>
          <cell r="E242" t="str">
            <v>Owned Cars</v>
          </cell>
          <cell r="F242">
            <v>-0.38</v>
          </cell>
          <cell r="G242">
            <v>0</v>
          </cell>
          <cell r="H242">
            <v>-0.38</v>
          </cell>
          <cell r="I242" t="str">
            <v>Pankaj</v>
          </cell>
        </row>
        <row r="243">
          <cell r="A243" t="str">
            <v>200002001.0001</v>
          </cell>
          <cell r="B243" t="str">
            <v>200002001</v>
          </cell>
          <cell r="C243" t="str">
            <v>Jan 1 Balance-Leasehold improv</v>
          </cell>
          <cell r="D243" t="str">
            <v>0001</v>
          </cell>
          <cell r="E243" t="str">
            <v>Leasehold improvements</v>
          </cell>
          <cell r="F243">
            <v>6820381.8200000003</v>
          </cell>
          <cell r="G243">
            <v>0</v>
          </cell>
          <cell r="H243">
            <v>6820381.8200000003</v>
          </cell>
          <cell r="I243" t="str">
            <v>Pankaj</v>
          </cell>
        </row>
        <row r="244">
          <cell r="A244" t="str">
            <v>200002002.0002</v>
          </cell>
          <cell r="B244" t="str">
            <v>200002002</v>
          </cell>
          <cell r="C244" t="str">
            <v>Current Year Additions</v>
          </cell>
          <cell r="D244" t="str">
            <v>0002</v>
          </cell>
          <cell r="E244" t="str">
            <v>Leasehold Vehicles</v>
          </cell>
          <cell r="F244">
            <v>2078834</v>
          </cell>
          <cell r="G244">
            <v>0</v>
          </cell>
          <cell r="H244">
            <v>2078834</v>
          </cell>
          <cell r="I244" t="str">
            <v>Pankaj</v>
          </cell>
        </row>
        <row r="245">
          <cell r="A245" t="str">
            <v>200002003.0001</v>
          </cell>
          <cell r="B245" t="str">
            <v>200002003</v>
          </cell>
          <cell r="C245" t="str">
            <v>Current year Dispositions</v>
          </cell>
          <cell r="D245" t="str">
            <v>0001</v>
          </cell>
          <cell r="E245" t="str">
            <v>Leasehold improvements</v>
          </cell>
          <cell r="F245">
            <v>-6820381.2000000002</v>
          </cell>
          <cell r="G245">
            <v>0</v>
          </cell>
          <cell r="H245">
            <v>-6820381.2000000002</v>
          </cell>
          <cell r="I245" t="str">
            <v>Pankaj</v>
          </cell>
        </row>
        <row r="246">
          <cell r="A246" t="str">
            <v>200002003.0002</v>
          </cell>
          <cell r="B246" t="str">
            <v>200002003</v>
          </cell>
          <cell r="C246" t="str">
            <v>Current year Dispositions</v>
          </cell>
          <cell r="D246" t="str">
            <v>0002</v>
          </cell>
          <cell r="E246" t="str">
            <v>Leasehold Vehicles</v>
          </cell>
          <cell r="F246">
            <v>-1812683.73</v>
          </cell>
          <cell r="G246">
            <v>0</v>
          </cell>
          <cell r="H246">
            <v>-1812683.73</v>
          </cell>
          <cell r="I246" t="str">
            <v>Pankaj</v>
          </cell>
        </row>
        <row r="247">
          <cell r="A247" t="str">
            <v>200002004.0002</v>
          </cell>
          <cell r="B247" t="str">
            <v>200002004</v>
          </cell>
          <cell r="C247" t="str">
            <v>Current year Transfers</v>
          </cell>
          <cell r="D247" t="str">
            <v>0002</v>
          </cell>
          <cell r="E247" t="str">
            <v>Leasehold Vehicles</v>
          </cell>
          <cell r="F247">
            <v>847260</v>
          </cell>
          <cell r="G247">
            <v>0</v>
          </cell>
          <cell r="H247">
            <v>847260</v>
          </cell>
          <cell r="I247" t="str">
            <v>Pankaj</v>
          </cell>
        </row>
        <row r="248">
          <cell r="A248" t="str">
            <v>200003001.0001</v>
          </cell>
          <cell r="B248" t="str">
            <v>200003001</v>
          </cell>
          <cell r="C248" t="str">
            <v>Jan 1 balance</v>
          </cell>
          <cell r="D248" t="str">
            <v>0001</v>
          </cell>
          <cell r="E248" t="str">
            <v>Land Cost</v>
          </cell>
          <cell r="F248">
            <v>744806.75</v>
          </cell>
          <cell r="G248">
            <v>0</v>
          </cell>
          <cell r="H248">
            <v>744806.75</v>
          </cell>
          <cell r="I248" t="str">
            <v>Pankaj</v>
          </cell>
        </row>
        <row r="249">
          <cell r="A249" t="str">
            <v>200005001.0003</v>
          </cell>
          <cell r="B249" t="str">
            <v>200005001</v>
          </cell>
          <cell r="C249" t="str">
            <v>Jan 1 Balance - Data Processin</v>
          </cell>
          <cell r="D249" t="str">
            <v>0003</v>
          </cell>
          <cell r="E249" t="str">
            <v>Others</v>
          </cell>
          <cell r="F249">
            <v>28578481.559999999</v>
          </cell>
          <cell r="G249">
            <v>0</v>
          </cell>
          <cell r="H249">
            <v>28578481.559999999</v>
          </cell>
          <cell r="I249" t="str">
            <v>Pankaj</v>
          </cell>
        </row>
        <row r="250">
          <cell r="A250" t="str">
            <v>200005002.0003</v>
          </cell>
          <cell r="B250" t="str">
            <v>200005002</v>
          </cell>
          <cell r="C250" t="str">
            <v>Current year Additions</v>
          </cell>
          <cell r="D250" t="str">
            <v>0003</v>
          </cell>
          <cell r="E250" t="str">
            <v>Others</v>
          </cell>
          <cell r="F250">
            <v>481433</v>
          </cell>
          <cell r="G250">
            <v>85222</v>
          </cell>
          <cell r="H250">
            <v>566655</v>
          </cell>
          <cell r="I250" t="str">
            <v>Pankaj</v>
          </cell>
        </row>
        <row r="251">
          <cell r="A251" t="str">
            <v>200005003.0003</v>
          </cell>
          <cell r="B251" t="str">
            <v>200005003</v>
          </cell>
          <cell r="C251" t="str">
            <v>ComputerEquip-CY Dispo</v>
          </cell>
          <cell r="D251" t="str">
            <v>0003</v>
          </cell>
          <cell r="E251" t="str">
            <v>Others</v>
          </cell>
          <cell r="F251">
            <v>-2886981</v>
          </cell>
          <cell r="G251">
            <v>0</v>
          </cell>
          <cell r="H251">
            <v>-2886981</v>
          </cell>
          <cell r="I251" t="str">
            <v>Pankaj</v>
          </cell>
        </row>
        <row r="252">
          <cell r="A252" t="str">
            <v>200006001.0001</v>
          </cell>
          <cell r="B252" t="str">
            <v>200006001</v>
          </cell>
          <cell r="C252" t="str">
            <v>Jan 1 Balance - Software</v>
          </cell>
          <cell r="D252" t="str">
            <v>0001</v>
          </cell>
          <cell r="E252" t="str">
            <v>Computer Software</v>
          </cell>
          <cell r="F252">
            <v>39300000</v>
          </cell>
          <cell r="G252">
            <v>0</v>
          </cell>
          <cell r="H252">
            <v>39300000</v>
          </cell>
          <cell r="I252" t="str">
            <v>Pankaj</v>
          </cell>
        </row>
        <row r="253">
          <cell r="A253" t="str">
            <v>293001001.0000</v>
          </cell>
          <cell r="B253" t="str">
            <v>293001001</v>
          </cell>
          <cell r="C253" t="str">
            <v>Jan 1 balance</v>
          </cell>
          <cell r="D253" t="str">
            <v>0000</v>
          </cell>
          <cell r="E253" t="str">
            <v>None</v>
          </cell>
          <cell r="F253">
            <v>0.01</v>
          </cell>
          <cell r="G253">
            <v>0</v>
          </cell>
          <cell r="H253">
            <v>0.01</v>
          </cell>
          <cell r="I253" t="str">
            <v>Pankaj</v>
          </cell>
        </row>
        <row r="254">
          <cell r="A254" t="str">
            <v>293001001.0001</v>
          </cell>
          <cell r="B254" t="str">
            <v>293001001</v>
          </cell>
          <cell r="C254" t="str">
            <v>Jan 1 balance</v>
          </cell>
          <cell r="D254" t="str">
            <v>0001</v>
          </cell>
          <cell r="E254" t="str">
            <v>Buildings</v>
          </cell>
          <cell r="F254">
            <v>-10117662.560000001</v>
          </cell>
          <cell r="G254">
            <v>0</v>
          </cell>
          <cell r="H254">
            <v>-10117662.560000001</v>
          </cell>
          <cell r="I254" t="str">
            <v>Pankaj</v>
          </cell>
        </row>
        <row r="255">
          <cell r="A255" t="str">
            <v>293001001.0002</v>
          </cell>
          <cell r="B255" t="str">
            <v>293001001</v>
          </cell>
          <cell r="C255" t="str">
            <v>Jan 1 balance</v>
          </cell>
          <cell r="D255" t="str">
            <v>0002</v>
          </cell>
          <cell r="E255" t="str">
            <v>Plant &amp; Machinery - Production</v>
          </cell>
          <cell r="F255">
            <v>-28921</v>
          </cell>
          <cell r="G255">
            <v>0</v>
          </cell>
          <cell r="H255">
            <v>-28921</v>
          </cell>
          <cell r="I255" t="str">
            <v>Pankaj</v>
          </cell>
        </row>
        <row r="256">
          <cell r="A256" t="str">
            <v>293001001.0004</v>
          </cell>
          <cell r="B256" t="str">
            <v>293001001</v>
          </cell>
          <cell r="C256" t="str">
            <v>Jan 1 balance</v>
          </cell>
          <cell r="D256" t="str">
            <v>0004</v>
          </cell>
          <cell r="E256" t="str">
            <v>Furniture &amp; Fittings</v>
          </cell>
          <cell r="F256">
            <v>-1827109.82</v>
          </cell>
          <cell r="G256">
            <v>0</v>
          </cell>
          <cell r="H256">
            <v>-1827109.82</v>
          </cell>
          <cell r="I256" t="str">
            <v>Pankaj</v>
          </cell>
        </row>
        <row r="257">
          <cell r="A257" t="str">
            <v>293001001.0006</v>
          </cell>
          <cell r="B257" t="str">
            <v>293001001</v>
          </cell>
          <cell r="C257" t="str">
            <v>Jan 1 balance</v>
          </cell>
          <cell r="D257" t="str">
            <v>0006</v>
          </cell>
          <cell r="E257" t="str">
            <v>Office Equipments</v>
          </cell>
          <cell r="F257">
            <v>-3194797.53</v>
          </cell>
          <cell r="G257">
            <v>0</v>
          </cell>
          <cell r="H257">
            <v>-3194797.53</v>
          </cell>
          <cell r="I257" t="str">
            <v>Pankaj</v>
          </cell>
        </row>
        <row r="258">
          <cell r="A258" t="str">
            <v>293001001.0101</v>
          </cell>
          <cell r="B258" t="str">
            <v>293001001</v>
          </cell>
          <cell r="C258" t="str">
            <v>Jan 1 balance</v>
          </cell>
          <cell r="D258" t="str">
            <v>0101</v>
          </cell>
          <cell r="E258" t="str">
            <v>Owned Cars</v>
          </cell>
          <cell r="F258">
            <v>1.21</v>
          </cell>
          <cell r="G258">
            <v>0</v>
          </cell>
          <cell r="H258">
            <v>1.21</v>
          </cell>
          <cell r="I258" t="str">
            <v>Pankaj</v>
          </cell>
        </row>
        <row r="259">
          <cell r="A259" t="str">
            <v>293001001.0209</v>
          </cell>
          <cell r="B259" t="str">
            <v>293001001</v>
          </cell>
          <cell r="C259" t="str">
            <v>Jan 1 balance</v>
          </cell>
          <cell r="D259" t="str">
            <v>0209</v>
          </cell>
          <cell r="E259" t="str">
            <v>REVALUATION RES.- BUILDI</v>
          </cell>
          <cell r="F259">
            <v>10887</v>
          </cell>
          <cell r="G259">
            <v>0</v>
          </cell>
          <cell r="H259">
            <v>10887</v>
          </cell>
          <cell r="I259" t="str">
            <v>Pankaj</v>
          </cell>
        </row>
        <row r="260">
          <cell r="A260" t="str">
            <v>293001002.0000</v>
          </cell>
          <cell r="B260" t="str">
            <v>293001002</v>
          </cell>
          <cell r="C260" t="str">
            <v>Current Year Depreciation</v>
          </cell>
          <cell r="D260" t="str">
            <v>0000</v>
          </cell>
          <cell r="E260" t="str">
            <v>None</v>
          </cell>
          <cell r="F260">
            <v>-0.02</v>
          </cell>
          <cell r="G260">
            <v>0</v>
          </cell>
          <cell r="H260">
            <v>-0.02</v>
          </cell>
          <cell r="I260" t="str">
            <v>Pankaj</v>
          </cell>
        </row>
        <row r="261">
          <cell r="A261" t="str">
            <v>293001002.0001</v>
          </cell>
          <cell r="B261" t="str">
            <v>293001002</v>
          </cell>
          <cell r="C261" t="str">
            <v>Current Year Depreciation</v>
          </cell>
          <cell r="D261" t="str">
            <v>0001</v>
          </cell>
          <cell r="E261" t="str">
            <v>Buildings</v>
          </cell>
          <cell r="F261">
            <v>-1944318.4</v>
          </cell>
          <cell r="G261">
            <v>-112372.25</v>
          </cell>
          <cell r="H261">
            <v>-2056690.65</v>
          </cell>
          <cell r="I261" t="str">
            <v>Pankaj</v>
          </cell>
        </row>
        <row r="262">
          <cell r="A262" t="str">
            <v>293001002.0002</v>
          </cell>
          <cell r="B262" t="str">
            <v>293001002</v>
          </cell>
          <cell r="C262" t="str">
            <v>Current Year Depreciation</v>
          </cell>
          <cell r="D262" t="str">
            <v>0002</v>
          </cell>
          <cell r="E262" t="str">
            <v>Plant &amp; Machinery - Production</v>
          </cell>
          <cell r="F262">
            <v>-10418</v>
          </cell>
          <cell r="G262">
            <v>0</v>
          </cell>
          <cell r="H262">
            <v>-10418</v>
          </cell>
          <cell r="I262" t="str">
            <v>Pankaj</v>
          </cell>
        </row>
        <row r="263">
          <cell r="A263" t="str">
            <v>293001002.0004</v>
          </cell>
          <cell r="B263" t="str">
            <v>293001002</v>
          </cell>
          <cell r="C263" t="str">
            <v>Current Year Depreciation</v>
          </cell>
          <cell r="D263" t="str">
            <v>0004</v>
          </cell>
          <cell r="E263" t="str">
            <v>Furniture &amp; Fittings</v>
          </cell>
          <cell r="F263">
            <v>-351326.65</v>
          </cell>
          <cell r="G263">
            <v>-18957.7</v>
          </cell>
          <cell r="H263">
            <v>-370284.35</v>
          </cell>
          <cell r="I263" t="str">
            <v>Pankaj</v>
          </cell>
        </row>
        <row r="264">
          <cell r="A264" t="str">
            <v>293001002.0006</v>
          </cell>
          <cell r="B264" t="str">
            <v>293001002</v>
          </cell>
          <cell r="C264" t="str">
            <v>Current Year Depreciation</v>
          </cell>
          <cell r="D264" t="str">
            <v>0006</v>
          </cell>
          <cell r="E264" t="str">
            <v>Office Equipments</v>
          </cell>
          <cell r="F264">
            <v>-611897.48</v>
          </cell>
          <cell r="G264">
            <v>-34396</v>
          </cell>
          <cell r="H264">
            <v>-646293.48</v>
          </cell>
          <cell r="I264" t="str">
            <v>Pankaj</v>
          </cell>
        </row>
        <row r="265">
          <cell r="A265" t="str">
            <v>293001002.0101</v>
          </cell>
          <cell r="B265" t="str">
            <v>293001002</v>
          </cell>
          <cell r="C265" t="str">
            <v>Current Year Depreciation</v>
          </cell>
          <cell r="D265" t="str">
            <v>0101</v>
          </cell>
          <cell r="E265" t="str">
            <v>Owned Cars</v>
          </cell>
          <cell r="F265">
            <v>-1.21</v>
          </cell>
          <cell r="G265">
            <v>0</v>
          </cell>
          <cell r="H265">
            <v>-1.21</v>
          </cell>
          <cell r="I265" t="str">
            <v>Pankaj</v>
          </cell>
        </row>
        <row r="266">
          <cell r="A266" t="str">
            <v>293001002.0209</v>
          </cell>
          <cell r="B266" t="str">
            <v>293001002</v>
          </cell>
          <cell r="C266" t="str">
            <v>Current Year Depreciation</v>
          </cell>
          <cell r="D266" t="str">
            <v>0209</v>
          </cell>
          <cell r="E266" t="str">
            <v>REVALUATION RES.- BUILDI</v>
          </cell>
          <cell r="F266">
            <v>58874</v>
          </cell>
          <cell r="G266">
            <v>7359</v>
          </cell>
          <cell r="H266">
            <v>66233</v>
          </cell>
          <cell r="I266" t="str">
            <v>Pankaj</v>
          </cell>
        </row>
        <row r="267">
          <cell r="A267" t="str">
            <v>293001003.0001</v>
          </cell>
          <cell r="B267" t="str">
            <v>293001003</v>
          </cell>
          <cell r="C267" t="str">
            <v>Current year Dispositions</v>
          </cell>
          <cell r="D267" t="str">
            <v>0001</v>
          </cell>
          <cell r="E267" t="str">
            <v>Buildings</v>
          </cell>
          <cell r="F267">
            <v>584603</v>
          </cell>
          <cell r="G267">
            <v>0</v>
          </cell>
          <cell r="H267">
            <v>584603</v>
          </cell>
          <cell r="I267" t="str">
            <v>Pankaj</v>
          </cell>
        </row>
        <row r="268">
          <cell r="A268" t="str">
            <v>293001003.0004</v>
          </cell>
          <cell r="B268" t="str">
            <v>293001003</v>
          </cell>
          <cell r="C268" t="str">
            <v>Current year Dispositions</v>
          </cell>
          <cell r="D268" t="str">
            <v>0004</v>
          </cell>
          <cell r="E268" t="str">
            <v>Furniture &amp; Fittings</v>
          </cell>
          <cell r="F268">
            <v>137696.09</v>
          </cell>
          <cell r="G268">
            <v>0</v>
          </cell>
          <cell r="H268">
            <v>137696.09</v>
          </cell>
          <cell r="I268" t="str">
            <v>Pankaj</v>
          </cell>
        </row>
        <row r="269">
          <cell r="A269" t="str">
            <v>293001003.0006</v>
          </cell>
          <cell r="B269" t="str">
            <v>293001003</v>
          </cell>
          <cell r="C269" t="str">
            <v>Current year Dispositions</v>
          </cell>
          <cell r="D269" t="str">
            <v>0006</v>
          </cell>
          <cell r="E269" t="str">
            <v>Office Equipments</v>
          </cell>
          <cell r="F269">
            <v>281528.06</v>
          </cell>
          <cell r="G269">
            <v>0</v>
          </cell>
          <cell r="H269">
            <v>281528.06</v>
          </cell>
          <cell r="I269" t="str">
            <v>Pankaj</v>
          </cell>
        </row>
        <row r="270">
          <cell r="A270" t="str">
            <v>293001004.0000</v>
          </cell>
          <cell r="B270" t="str">
            <v>293001004</v>
          </cell>
          <cell r="C270" t="str">
            <v>Current year Transfers</v>
          </cell>
          <cell r="D270" t="str">
            <v>0000</v>
          </cell>
          <cell r="E270" t="str">
            <v>None</v>
          </cell>
          <cell r="F270">
            <v>-0.01</v>
          </cell>
          <cell r="G270">
            <v>0</v>
          </cell>
          <cell r="H270">
            <v>-0.01</v>
          </cell>
          <cell r="I270" t="str">
            <v>Pankaj</v>
          </cell>
        </row>
        <row r="271">
          <cell r="A271" t="str">
            <v>293001004.0002</v>
          </cell>
          <cell r="B271" t="str">
            <v>293001004</v>
          </cell>
          <cell r="C271" t="str">
            <v>Current year Transfers</v>
          </cell>
          <cell r="D271" t="str">
            <v>0002</v>
          </cell>
          <cell r="E271" t="str">
            <v>Plant &amp; Machinery - Production</v>
          </cell>
          <cell r="F271">
            <v>28921.4</v>
          </cell>
          <cell r="G271">
            <v>0</v>
          </cell>
          <cell r="H271">
            <v>28921.4</v>
          </cell>
          <cell r="I271" t="str">
            <v>Pankaj</v>
          </cell>
        </row>
        <row r="272">
          <cell r="A272" t="str">
            <v>293001004.0101</v>
          </cell>
          <cell r="B272" t="str">
            <v>293001004</v>
          </cell>
          <cell r="C272" t="str">
            <v>Current year Transfers</v>
          </cell>
          <cell r="D272" t="str">
            <v>0101</v>
          </cell>
          <cell r="E272" t="str">
            <v>Owned Cars</v>
          </cell>
          <cell r="F272">
            <v>-1.21</v>
          </cell>
          <cell r="G272">
            <v>0</v>
          </cell>
          <cell r="H272">
            <v>-1.21</v>
          </cell>
          <cell r="I272" t="str">
            <v>Pankaj</v>
          </cell>
        </row>
        <row r="273">
          <cell r="A273" t="str">
            <v>293002001.0001</v>
          </cell>
          <cell r="B273" t="str">
            <v>293002001</v>
          </cell>
          <cell r="C273" t="str">
            <v>Jan 1 balance</v>
          </cell>
          <cell r="D273" t="str">
            <v>0001</v>
          </cell>
          <cell r="E273" t="str">
            <v>Leasehold improvements</v>
          </cell>
          <cell r="F273">
            <v>-6820380.7800000003</v>
          </cell>
          <cell r="G273">
            <v>0</v>
          </cell>
          <cell r="H273">
            <v>-6820380.7800000003</v>
          </cell>
          <cell r="I273" t="str">
            <v>Pankaj</v>
          </cell>
        </row>
        <row r="274">
          <cell r="A274" t="str">
            <v>293002002.0002</v>
          </cell>
          <cell r="B274" t="str">
            <v>293002002</v>
          </cell>
          <cell r="C274" t="str">
            <v>Current Year Depreciation</v>
          </cell>
          <cell r="D274" t="str">
            <v>0002</v>
          </cell>
          <cell r="E274" t="str">
            <v>Leasehold Vehicles</v>
          </cell>
          <cell r="F274">
            <v>-794143.13</v>
          </cell>
          <cell r="G274">
            <v>180197.89</v>
          </cell>
          <cell r="H274">
            <v>-613945.24</v>
          </cell>
          <cell r="I274" t="str">
            <v>Pankaj</v>
          </cell>
        </row>
        <row r="275">
          <cell r="A275" t="str">
            <v>293002003.0001</v>
          </cell>
          <cell r="B275" t="str">
            <v>293002003</v>
          </cell>
          <cell r="C275" t="str">
            <v>Current year Dispositions</v>
          </cell>
          <cell r="D275" t="str">
            <v>0001</v>
          </cell>
          <cell r="E275" t="str">
            <v>Leasehold improvements</v>
          </cell>
          <cell r="F275">
            <v>6820381.2000000002</v>
          </cell>
          <cell r="G275">
            <v>0</v>
          </cell>
          <cell r="H275">
            <v>6820381.2000000002</v>
          </cell>
          <cell r="I275" t="str">
            <v>Pankaj</v>
          </cell>
        </row>
        <row r="276">
          <cell r="A276" t="str">
            <v>293002003.0002</v>
          </cell>
          <cell r="B276" t="str">
            <v>293002003</v>
          </cell>
          <cell r="C276" t="str">
            <v>Current year Dispositions</v>
          </cell>
          <cell r="D276" t="str">
            <v>0002</v>
          </cell>
          <cell r="E276" t="str">
            <v>Leasehold Vehicles</v>
          </cell>
          <cell r="F276">
            <v>369180.73</v>
          </cell>
          <cell r="G276">
            <v>0</v>
          </cell>
          <cell r="H276">
            <v>369180.73</v>
          </cell>
          <cell r="I276" t="str">
            <v>Pankaj</v>
          </cell>
        </row>
        <row r="277">
          <cell r="A277" t="str">
            <v>293002004.0002</v>
          </cell>
          <cell r="B277" t="str">
            <v>293002004</v>
          </cell>
          <cell r="C277" t="str">
            <v>Current year Transfers</v>
          </cell>
          <cell r="D277" t="str">
            <v>0002</v>
          </cell>
          <cell r="E277" t="str">
            <v>Leasehold Vehicles</v>
          </cell>
          <cell r="F277">
            <v>-28921.4</v>
          </cell>
          <cell r="G277">
            <v>0</v>
          </cell>
          <cell r="H277">
            <v>-28921.4</v>
          </cell>
          <cell r="I277" t="str">
            <v>Pankaj</v>
          </cell>
        </row>
        <row r="278">
          <cell r="A278" t="str">
            <v>293005001.0003</v>
          </cell>
          <cell r="B278" t="str">
            <v>293005001</v>
          </cell>
          <cell r="C278" t="str">
            <v>Jan 1 Balance - Data Processin</v>
          </cell>
          <cell r="D278" t="str">
            <v>0003</v>
          </cell>
          <cell r="E278" t="str">
            <v>Others</v>
          </cell>
          <cell r="F278">
            <v>-16642074.91</v>
          </cell>
          <cell r="G278">
            <v>0</v>
          </cell>
          <cell r="H278">
            <v>-16642074.91</v>
          </cell>
          <cell r="I278" t="str">
            <v>Pankaj</v>
          </cell>
        </row>
        <row r="279">
          <cell r="A279" t="str">
            <v>293005002.0003</v>
          </cell>
          <cell r="B279" t="str">
            <v>293005002</v>
          </cell>
          <cell r="C279" t="str">
            <v>EquipDeprec-Computer-Can-CYAdd</v>
          </cell>
          <cell r="D279" t="str">
            <v>0003</v>
          </cell>
          <cell r="E279" t="str">
            <v>Others</v>
          </cell>
          <cell r="F279">
            <v>-5609011.4699999997</v>
          </cell>
          <cell r="G279">
            <v>-326727.03999999998</v>
          </cell>
          <cell r="H279">
            <v>-5935738.5099999998</v>
          </cell>
          <cell r="I279" t="str">
            <v>Pankaj</v>
          </cell>
        </row>
        <row r="280">
          <cell r="A280" t="str">
            <v>293005003.0003</v>
          </cell>
          <cell r="B280" t="str">
            <v>293005003</v>
          </cell>
          <cell r="C280" t="str">
            <v>EquipDeprec-Computr-Can-CYDisp</v>
          </cell>
          <cell r="D280" t="str">
            <v>0003</v>
          </cell>
          <cell r="E280" t="str">
            <v>Others</v>
          </cell>
          <cell r="F280">
            <v>2075207.4</v>
          </cell>
          <cell r="G280">
            <v>0</v>
          </cell>
          <cell r="H280">
            <v>2075207.4</v>
          </cell>
          <cell r="I280" t="str">
            <v>Pankaj</v>
          </cell>
        </row>
        <row r="281">
          <cell r="A281" t="str">
            <v>293006001.0001</v>
          </cell>
          <cell r="B281" t="str">
            <v>293006001</v>
          </cell>
          <cell r="C281" t="str">
            <v>Jan 1 Balance - Software</v>
          </cell>
          <cell r="D281" t="str">
            <v>0001</v>
          </cell>
          <cell r="E281" t="str">
            <v>Computer Software</v>
          </cell>
          <cell r="F281">
            <v>-39300000</v>
          </cell>
          <cell r="G281">
            <v>0</v>
          </cell>
          <cell r="H281">
            <v>-39300000</v>
          </cell>
          <cell r="I281" t="str">
            <v>Pankaj</v>
          </cell>
        </row>
        <row r="282">
          <cell r="A282" t="str">
            <v>302001002.0000</v>
          </cell>
          <cell r="B282" t="str">
            <v>302001002</v>
          </cell>
          <cell r="C282" t="str">
            <v>Taxes accrued - Current Year</v>
          </cell>
          <cell r="D282" t="str">
            <v>0000</v>
          </cell>
          <cell r="E282" t="str">
            <v>None</v>
          </cell>
          <cell r="F282">
            <v>10449653.199999999</v>
          </cell>
          <cell r="G282">
            <v>323120</v>
          </cell>
          <cell r="H282">
            <v>10772773.199999999</v>
          </cell>
          <cell r="I282" t="str">
            <v>?</v>
          </cell>
        </row>
        <row r="283">
          <cell r="A283" t="str">
            <v>302001003.0000</v>
          </cell>
          <cell r="B283" t="str">
            <v>302001003</v>
          </cell>
          <cell r="C283" t="str">
            <v>Estimated Payments -Current Year</v>
          </cell>
          <cell r="D283" t="str">
            <v>0000</v>
          </cell>
          <cell r="E283" t="str">
            <v>None</v>
          </cell>
          <cell r="F283">
            <v>1869694</v>
          </cell>
          <cell r="G283">
            <v>0</v>
          </cell>
          <cell r="H283">
            <v>1869694</v>
          </cell>
          <cell r="I283" t="str">
            <v>?</v>
          </cell>
        </row>
        <row r="284">
          <cell r="A284" t="str">
            <v>302001003.0022</v>
          </cell>
          <cell r="B284" t="str">
            <v>302001003</v>
          </cell>
          <cell r="C284" t="str">
            <v>Estimated Payments -Current Year</v>
          </cell>
          <cell r="D284" t="str">
            <v>0022</v>
          </cell>
          <cell r="E284" t="str">
            <v>TDS Receivable FY 2003-04</v>
          </cell>
          <cell r="F284">
            <v>0</v>
          </cell>
          <cell r="G284">
            <v>150101.41</v>
          </cell>
          <cell r="H284">
            <v>150101.41</v>
          </cell>
          <cell r="I284" t="str">
            <v>Mishraji</v>
          </cell>
        </row>
        <row r="285">
          <cell r="A285" t="str">
            <v>302001003.0200</v>
          </cell>
          <cell r="B285" t="str">
            <v>302001003</v>
          </cell>
          <cell r="C285" t="str">
            <v>Estimated Payments -Current Year</v>
          </cell>
          <cell r="D285" t="str">
            <v>0200</v>
          </cell>
          <cell r="E285" t="str">
            <v>TDS Receivable on Cust.A/c- FY 2002-03</v>
          </cell>
          <cell r="F285">
            <v>876068.16</v>
          </cell>
          <cell r="G285">
            <v>-4427.42</v>
          </cell>
          <cell r="H285">
            <v>871640.74</v>
          </cell>
          <cell r="I285" t="str">
            <v>Mishraji</v>
          </cell>
        </row>
        <row r="286">
          <cell r="A286" t="str">
            <v>302002003.0000</v>
          </cell>
          <cell r="B286" t="str">
            <v>302002003</v>
          </cell>
          <cell r="C286" t="str">
            <v>Payments - Preceding Year</v>
          </cell>
          <cell r="D286" t="str">
            <v>0000</v>
          </cell>
          <cell r="E286" t="str">
            <v>None</v>
          </cell>
          <cell r="F286">
            <v>4710275.25</v>
          </cell>
          <cell r="G286">
            <v>0</v>
          </cell>
          <cell r="H286">
            <v>4710275.25</v>
          </cell>
          <cell r="I286" t="str">
            <v>?</v>
          </cell>
        </row>
        <row r="287">
          <cell r="A287" t="str">
            <v>302003001.0000</v>
          </cell>
          <cell r="B287" t="str">
            <v>302003001</v>
          </cell>
          <cell r="C287" t="str">
            <v>1/1 Balance - Second Preceeding Year and older</v>
          </cell>
          <cell r="D287" t="str">
            <v>0000</v>
          </cell>
          <cell r="E287" t="str">
            <v>None</v>
          </cell>
          <cell r="F287">
            <v>-9604242</v>
          </cell>
          <cell r="G287">
            <v>0</v>
          </cell>
          <cell r="H287">
            <v>-9604242</v>
          </cell>
          <cell r="I287" t="str">
            <v>?</v>
          </cell>
        </row>
        <row r="288">
          <cell r="A288" t="str">
            <v>302003003.0000</v>
          </cell>
          <cell r="B288" t="str">
            <v>302003003</v>
          </cell>
          <cell r="C288" t="str">
            <v>Payments  - Second Preceeding year and older</v>
          </cell>
          <cell r="D288" t="str">
            <v>0000</v>
          </cell>
          <cell r="E288" t="str">
            <v>None</v>
          </cell>
          <cell r="F288">
            <v>79549270.549999997</v>
          </cell>
          <cell r="G288">
            <v>0</v>
          </cell>
          <cell r="H288">
            <v>79549270.549999997</v>
          </cell>
          <cell r="I288" t="str">
            <v>?</v>
          </cell>
        </row>
        <row r="289">
          <cell r="A289" t="str">
            <v>306003005.0000</v>
          </cell>
          <cell r="B289" t="str">
            <v>306003005</v>
          </cell>
          <cell r="C289" t="str">
            <v>Miscellaneous Tax</v>
          </cell>
          <cell r="D289" t="str">
            <v>0000</v>
          </cell>
          <cell r="E289" t="str">
            <v>None</v>
          </cell>
          <cell r="F289">
            <v>11118215.48</v>
          </cell>
          <cell r="G289">
            <v>0</v>
          </cell>
          <cell r="H289">
            <v>11118215.48</v>
          </cell>
          <cell r="I289" t="str">
            <v>?</v>
          </cell>
        </row>
        <row r="290">
          <cell r="A290" t="str">
            <v>306003005.0012</v>
          </cell>
          <cell r="B290" t="str">
            <v>306003005</v>
          </cell>
          <cell r="C290" t="str">
            <v>Miscellaneous Tax</v>
          </cell>
          <cell r="D290" t="str">
            <v>0012</v>
          </cell>
          <cell r="E290" t="str">
            <v>Leased Asset Liability - AS-19</v>
          </cell>
          <cell r="F290">
            <v>-899440.11</v>
          </cell>
          <cell r="G290">
            <v>25090.73</v>
          </cell>
          <cell r="H290">
            <v>-874349.38</v>
          </cell>
          <cell r="I290" t="str">
            <v>Pankaj</v>
          </cell>
        </row>
        <row r="291">
          <cell r="A291" t="str">
            <v>306003005.0016</v>
          </cell>
          <cell r="B291" t="str">
            <v>306003005</v>
          </cell>
          <cell r="C291" t="str">
            <v>Miscellaneous Tax</v>
          </cell>
          <cell r="D291" t="str">
            <v>0016</v>
          </cell>
          <cell r="E291" t="str">
            <v>Service Tax Payable</v>
          </cell>
          <cell r="F291">
            <v>-5707234.1399999997</v>
          </cell>
          <cell r="G291">
            <v>302471</v>
          </cell>
          <cell r="H291">
            <v>-5404763.1399999997</v>
          </cell>
          <cell r="I291" t="str">
            <v>Mishraji</v>
          </cell>
        </row>
        <row r="292">
          <cell r="A292" t="str">
            <v>307099001.0010</v>
          </cell>
          <cell r="B292" t="str">
            <v>307099001</v>
          </cell>
          <cell r="C292" t="str">
            <v>Miscellaneous</v>
          </cell>
          <cell r="D292" t="str">
            <v>0010</v>
          </cell>
          <cell r="E292" t="str">
            <v>Accounts Payable Year End</v>
          </cell>
          <cell r="F292">
            <v>-6381566.5099999998</v>
          </cell>
          <cell r="G292">
            <v>-258750</v>
          </cell>
          <cell r="H292">
            <v>-6640316.5099999998</v>
          </cell>
          <cell r="I292" t="str">
            <v>Mishraji</v>
          </cell>
        </row>
        <row r="293">
          <cell r="A293" t="str">
            <v>307099001.0011</v>
          </cell>
          <cell r="B293" t="str">
            <v>307099001</v>
          </cell>
          <cell r="C293" t="str">
            <v>Miscellaneous</v>
          </cell>
          <cell r="D293" t="str">
            <v>0011</v>
          </cell>
          <cell r="E293" t="str">
            <v>GRATUITY PAYABLE</v>
          </cell>
          <cell r="F293">
            <v>-678083.75</v>
          </cell>
          <cell r="G293">
            <v>0</v>
          </cell>
          <cell r="H293">
            <v>-678083.75</v>
          </cell>
          <cell r="I293" t="str">
            <v>Pankaj</v>
          </cell>
        </row>
        <row r="294">
          <cell r="A294" t="str">
            <v>307099001.0015</v>
          </cell>
          <cell r="B294" t="str">
            <v>307099001</v>
          </cell>
          <cell r="C294" t="str">
            <v>Miscellaneous</v>
          </cell>
          <cell r="D294" t="str">
            <v>0015</v>
          </cell>
          <cell r="E294" t="str">
            <v>Reversible Provisions</v>
          </cell>
          <cell r="F294">
            <v>-45344340.079999998</v>
          </cell>
          <cell r="G294">
            <v>-1039211.32</v>
          </cell>
          <cell r="H294">
            <v>-46383551.399999999</v>
          </cell>
          <cell r="I294" t="str">
            <v>Pankaj</v>
          </cell>
        </row>
        <row r="295">
          <cell r="A295" t="str">
            <v>307099001.0201</v>
          </cell>
          <cell r="B295" t="str">
            <v>307099001</v>
          </cell>
          <cell r="C295" t="str">
            <v>Miscellaneous</v>
          </cell>
          <cell r="D295" t="str">
            <v>0201</v>
          </cell>
          <cell r="E295" t="str">
            <v>DRI-DEALER DISC RECEIVAB</v>
          </cell>
          <cell r="F295">
            <v>-1803198.12</v>
          </cell>
          <cell r="G295">
            <v>0</v>
          </cell>
          <cell r="H295">
            <v>-1803198.12</v>
          </cell>
          <cell r="I295" t="str">
            <v>Mishraji</v>
          </cell>
        </row>
        <row r="296">
          <cell r="A296" t="str">
            <v>307099001.0202</v>
          </cell>
          <cell r="B296" t="str">
            <v>307099001</v>
          </cell>
          <cell r="C296" t="str">
            <v>Miscellaneous</v>
          </cell>
          <cell r="D296" t="str">
            <v>0202</v>
          </cell>
          <cell r="E296" t="str">
            <v>DRI-MFR. DISC RECEIVABLE</v>
          </cell>
          <cell r="F296">
            <v>-36585</v>
          </cell>
          <cell r="G296">
            <v>0</v>
          </cell>
          <cell r="H296">
            <v>-36585</v>
          </cell>
          <cell r="I296" t="str">
            <v>Mishraji</v>
          </cell>
        </row>
        <row r="297">
          <cell r="A297" t="str">
            <v>307099001.0203</v>
          </cell>
          <cell r="B297" t="str">
            <v>307099001</v>
          </cell>
          <cell r="C297" t="str">
            <v>Miscellaneous</v>
          </cell>
          <cell r="D297" t="str">
            <v>0203</v>
          </cell>
          <cell r="E297" t="str">
            <v>CONSORTIUM COMM. A/C-LIA</v>
          </cell>
          <cell r="F297">
            <v>-166813.38</v>
          </cell>
          <cell r="G297">
            <v>14486</v>
          </cell>
          <cell r="H297">
            <v>-152327.38</v>
          </cell>
          <cell r="I297" t="str">
            <v>Mishraji</v>
          </cell>
        </row>
        <row r="298">
          <cell r="A298" t="str">
            <v>307099001.0205</v>
          </cell>
          <cell r="B298" t="str">
            <v>307099001</v>
          </cell>
          <cell r="C298" t="str">
            <v>Miscellaneous</v>
          </cell>
          <cell r="D298" t="str">
            <v>0205</v>
          </cell>
          <cell r="E298" t="str">
            <v>BORROWER CONTROL  A/C -I</v>
          </cell>
          <cell r="F298">
            <v>-3865392</v>
          </cell>
          <cell r="G298">
            <v>-5387632</v>
          </cell>
          <cell r="H298">
            <v>-9253024</v>
          </cell>
          <cell r="I298" t="str">
            <v>Mishraji</v>
          </cell>
        </row>
        <row r="299">
          <cell r="A299" t="str">
            <v>307099001.0206</v>
          </cell>
          <cell r="B299" t="str">
            <v>307099001</v>
          </cell>
          <cell r="C299" t="str">
            <v>Miscellaneous</v>
          </cell>
          <cell r="D299" t="str">
            <v>0206</v>
          </cell>
          <cell r="E299" t="str">
            <v>CNG BOOKING-MARGIN MONEY</v>
          </cell>
          <cell r="F299">
            <v>-975460</v>
          </cell>
          <cell r="G299">
            <v>0</v>
          </cell>
          <cell r="H299">
            <v>-975460</v>
          </cell>
          <cell r="I299" t="str">
            <v>Mishraji</v>
          </cell>
        </row>
        <row r="300">
          <cell r="A300" t="str">
            <v>307099001.0207</v>
          </cell>
          <cell r="B300" t="str">
            <v>307099001</v>
          </cell>
          <cell r="C300" t="str">
            <v>Miscellaneous</v>
          </cell>
          <cell r="D300" t="str">
            <v>0207</v>
          </cell>
          <cell r="E300" t="str">
            <v>HIRER CONTROL ACCOUNT -I</v>
          </cell>
          <cell r="F300">
            <v>-1027954</v>
          </cell>
          <cell r="G300">
            <v>0</v>
          </cell>
          <cell r="H300">
            <v>-1027954</v>
          </cell>
          <cell r="I300" t="str">
            <v>Mishraji</v>
          </cell>
        </row>
        <row r="301">
          <cell r="A301" t="str">
            <v>307099001.0209</v>
          </cell>
          <cell r="B301" t="str">
            <v>307099001</v>
          </cell>
          <cell r="C301" t="str">
            <v>Miscellaneous</v>
          </cell>
          <cell r="D301" t="str">
            <v>0209</v>
          </cell>
          <cell r="E301" t="str">
            <v>DEAD CHEQUES -INGRES</v>
          </cell>
          <cell r="F301">
            <v>-1526211.73</v>
          </cell>
          <cell r="G301">
            <v>1498</v>
          </cell>
          <cell r="H301">
            <v>-1524713.73</v>
          </cell>
          <cell r="I301" t="str">
            <v>Vivek</v>
          </cell>
        </row>
        <row r="302">
          <cell r="A302" t="str">
            <v>307099001.0210</v>
          </cell>
          <cell r="B302" t="str">
            <v>307099001</v>
          </cell>
          <cell r="C302" t="str">
            <v>Miscellaneous</v>
          </cell>
          <cell r="D302" t="str">
            <v>0210</v>
          </cell>
          <cell r="E302" t="str">
            <v>BHANDARI SALES CORPN. -I</v>
          </cell>
          <cell r="F302">
            <v>0.21</v>
          </cell>
          <cell r="G302">
            <v>0</v>
          </cell>
          <cell r="H302">
            <v>0.21</v>
          </cell>
          <cell r="I302" t="str">
            <v>Mishraji</v>
          </cell>
        </row>
        <row r="303">
          <cell r="A303" t="str">
            <v>307099001.0213</v>
          </cell>
          <cell r="B303" t="str">
            <v>307099001</v>
          </cell>
          <cell r="C303" t="str">
            <v>Miscellaneous</v>
          </cell>
          <cell r="D303" t="str">
            <v>0213</v>
          </cell>
          <cell r="E303" t="str">
            <v>SHREE DURGA - SDFL  -IN</v>
          </cell>
          <cell r="F303">
            <v>0.22</v>
          </cell>
          <cell r="G303">
            <v>0</v>
          </cell>
          <cell r="H303">
            <v>0.22</v>
          </cell>
          <cell r="I303" t="str">
            <v>Mishraji</v>
          </cell>
        </row>
        <row r="304">
          <cell r="A304" t="str">
            <v>307099001.0214</v>
          </cell>
          <cell r="B304" t="str">
            <v>307099001</v>
          </cell>
          <cell r="C304" t="str">
            <v>Miscellaneous</v>
          </cell>
          <cell r="D304" t="str">
            <v>0214</v>
          </cell>
          <cell r="E304" t="str">
            <v>ADVANCE RECD BUSINESS -</v>
          </cell>
          <cell r="F304">
            <v>-4002404.97</v>
          </cell>
          <cell r="G304">
            <v>240843</v>
          </cell>
          <cell r="H304">
            <v>-3761561.97</v>
          </cell>
          <cell r="I304" t="str">
            <v>Mishraji</v>
          </cell>
        </row>
        <row r="305">
          <cell r="A305" t="str">
            <v>307099001.0216</v>
          </cell>
          <cell r="B305" t="str">
            <v>307099001</v>
          </cell>
          <cell r="C305" t="str">
            <v>Miscellaneous</v>
          </cell>
          <cell r="D305" t="str">
            <v>0216</v>
          </cell>
          <cell r="E305" t="str">
            <v>PROVISION FOR SALES TAX</v>
          </cell>
          <cell r="F305">
            <v>-15547152</v>
          </cell>
          <cell r="G305">
            <v>0</v>
          </cell>
          <cell r="H305">
            <v>-15547152</v>
          </cell>
          <cell r="I305" t="str">
            <v>Vivek</v>
          </cell>
        </row>
        <row r="306">
          <cell r="A306" t="str">
            <v>307099001.0217</v>
          </cell>
          <cell r="B306" t="str">
            <v>307099001</v>
          </cell>
          <cell r="C306" t="str">
            <v>Miscellaneous</v>
          </cell>
          <cell r="D306" t="str">
            <v>0217</v>
          </cell>
          <cell r="E306" t="str">
            <v>INCOME SUSPENSE -INGRES</v>
          </cell>
          <cell r="F306">
            <v>-65534466.210000001</v>
          </cell>
          <cell r="G306">
            <v>-231762.16</v>
          </cell>
          <cell r="H306">
            <v>-65766228.369999997</v>
          </cell>
          <cell r="I306" t="str">
            <v>Mishraji</v>
          </cell>
        </row>
        <row r="307">
          <cell r="A307" t="str">
            <v>307099001.0218</v>
          </cell>
          <cell r="B307" t="str">
            <v>307099001</v>
          </cell>
          <cell r="C307" t="str">
            <v>Miscellaneous</v>
          </cell>
          <cell r="D307" t="str">
            <v>0218</v>
          </cell>
          <cell r="E307" t="str">
            <v>CREDITORS FOR PURCHASES</v>
          </cell>
          <cell r="F307">
            <v>-0.79</v>
          </cell>
          <cell r="G307">
            <v>0</v>
          </cell>
          <cell r="H307">
            <v>-0.79</v>
          </cell>
          <cell r="I307" t="str">
            <v>Mishraji</v>
          </cell>
        </row>
        <row r="308">
          <cell r="A308" t="str">
            <v>307099001.0220</v>
          </cell>
          <cell r="B308" t="str">
            <v>307099001</v>
          </cell>
          <cell r="C308" t="str">
            <v>Miscellaneous</v>
          </cell>
          <cell r="D308" t="str">
            <v>0220</v>
          </cell>
          <cell r="E308" t="str">
            <v>UNMATURED GURANTEE INCOM</v>
          </cell>
          <cell r="F308">
            <v>-0.01</v>
          </cell>
          <cell r="G308">
            <v>0</v>
          </cell>
          <cell r="H308">
            <v>-0.01</v>
          </cell>
          <cell r="I308" t="str">
            <v>Mishraji</v>
          </cell>
        </row>
        <row r="309">
          <cell r="A309" t="str">
            <v>307099001.0221</v>
          </cell>
          <cell r="B309" t="str">
            <v>307099001</v>
          </cell>
          <cell r="C309" t="str">
            <v>Miscellaneous</v>
          </cell>
          <cell r="D309" t="str">
            <v>0221</v>
          </cell>
          <cell r="E309" t="str">
            <v>STATE SALES TAX PAYABLE</v>
          </cell>
          <cell r="F309">
            <v>-402868</v>
          </cell>
          <cell r="G309">
            <v>-17406</v>
          </cell>
          <cell r="H309">
            <v>-420274</v>
          </cell>
          <cell r="I309" t="str">
            <v>Mishraji</v>
          </cell>
        </row>
        <row r="310">
          <cell r="A310" t="str">
            <v>307099001.0223</v>
          </cell>
          <cell r="B310" t="str">
            <v>307099001</v>
          </cell>
          <cell r="C310" t="str">
            <v>Miscellaneous</v>
          </cell>
          <cell r="D310" t="str">
            <v>0223</v>
          </cell>
          <cell r="E310" t="str">
            <v>DEALER MORATORIUM AGR A/</v>
          </cell>
          <cell r="F310">
            <v>-45893117</v>
          </cell>
          <cell r="G310">
            <v>13162949</v>
          </cell>
          <cell r="H310">
            <v>-32730168</v>
          </cell>
          <cell r="I310" t="str">
            <v>Mishraji</v>
          </cell>
        </row>
        <row r="311">
          <cell r="A311" t="str">
            <v>307099001.0225</v>
          </cell>
          <cell r="B311" t="str">
            <v>307099001</v>
          </cell>
          <cell r="C311" t="str">
            <v>Miscellaneous</v>
          </cell>
          <cell r="D311" t="str">
            <v>0225</v>
          </cell>
          <cell r="E311" t="str">
            <v>DRI-DEALER DISC. RECEIVE</v>
          </cell>
          <cell r="F311">
            <v>-15652213.460000001</v>
          </cell>
          <cell r="G311">
            <v>123503.09</v>
          </cell>
          <cell r="H311">
            <v>-15528710.369999999</v>
          </cell>
          <cell r="I311" t="str">
            <v>Mishraji</v>
          </cell>
        </row>
        <row r="312">
          <cell r="A312" t="str">
            <v>307099001.0227</v>
          </cell>
          <cell r="B312" t="str">
            <v>307099001</v>
          </cell>
          <cell r="C312" t="str">
            <v>Miscellaneous</v>
          </cell>
          <cell r="D312" t="str">
            <v>0227</v>
          </cell>
          <cell r="E312" t="str">
            <v>DRI-IRR MAINTAINENCE A/C</v>
          </cell>
          <cell r="F312">
            <v>-15512.33</v>
          </cell>
          <cell r="G312">
            <v>770.4</v>
          </cell>
          <cell r="H312">
            <v>-14741.93</v>
          </cell>
          <cell r="I312" t="str">
            <v>Mishraji</v>
          </cell>
        </row>
        <row r="313">
          <cell r="A313" t="str">
            <v>307099001.0228</v>
          </cell>
          <cell r="B313" t="str">
            <v>307099001</v>
          </cell>
          <cell r="C313" t="str">
            <v>Miscellaneous</v>
          </cell>
          <cell r="D313" t="str">
            <v>0228</v>
          </cell>
          <cell r="E313" t="str">
            <v>CONSORTIUM FINANCE LIMIT</v>
          </cell>
          <cell r="F313">
            <v>-10976.01</v>
          </cell>
          <cell r="G313">
            <v>0</v>
          </cell>
          <cell r="H313">
            <v>-10976.01</v>
          </cell>
          <cell r="I313" t="str">
            <v>Mishraji</v>
          </cell>
        </row>
        <row r="314">
          <cell r="A314" t="str">
            <v>307099001.0229</v>
          </cell>
          <cell r="B314" t="str">
            <v>307099001</v>
          </cell>
          <cell r="C314" t="str">
            <v>Miscellaneous</v>
          </cell>
          <cell r="D314" t="str">
            <v>0229</v>
          </cell>
          <cell r="E314" t="str">
            <v>PPD PAYABLE PREV 31/07/9</v>
          </cell>
          <cell r="F314">
            <v>-14655</v>
          </cell>
          <cell r="G314">
            <v>0</v>
          </cell>
          <cell r="H314">
            <v>-14655</v>
          </cell>
          <cell r="I314" t="str">
            <v>Mishraji</v>
          </cell>
        </row>
        <row r="315">
          <cell r="A315" t="str">
            <v>307099001.0230</v>
          </cell>
          <cell r="B315" t="str">
            <v>307099001</v>
          </cell>
          <cell r="C315" t="str">
            <v>Miscellaneous</v>
          </cell>
          <cell r="D315" t="str">
            <v>0230</v>
          </cell>
          <cell r="E315" t="str">
            <v>PPD PAYABLE POST 31/07/9</v>
          </cell>
          <cell r="F315">
            <v>-199207</v>
          </cell>
          <cell r="G315">
            <v>0</v>
          </cell>
          <cell r="H315">
            <v>-199207</v>
          </cell>
          <cell r="I315" t="str">
            <v>Mishraji</v>
          </cell>
        </row>
        <row r="316">
          <cell r="A316" t="str">
            <v>307099001.0231</v>
          </cell>
          <cell r="B316" t="str">
            <v>307099001</v>
          </cell>
          <cell r="C316" t="str">
            <v>Miscellaneous</v>
          </cell>
          <cell r="D316" t="str">
            <v>0231</v>
          </cell>
          <cell r="E316" t="str">
            <v>PPD PAYABLE ABSP5 -INGRE</v>
          </cell>
          <cell r="F316">
            <v>-215231.77</v>
          </cell>
          <cell r="G316">
            <v>0</v>
          </cell>
          <cell r="H316">
            <v>-215231.77</v>
          </cell>
          <cell r="I316" t="str">
            <v>Mishraji</v>
          </cell>
        </row>
        <row r="317">
          <cell r="A317" t="str">
            <v>307099001.0233</v>
          </cell>
          <cell r="B317" t="str">
            <v>307099001</v>
          </cell>
          <cell r="C317" t="str">
            <v>Miscellaneous</v>
          </cell>
          <cell r="D317" t="str">
            <v>0233</v>
          </cell>
          <cell r="E317" t="str">
            <v>PPD PAYABLE ABSP4 -INGRE</v>
          </cell>
          <cell r="F317">
            <v>-524970</v>
          </cell>
          <cell r="G317">
            <v>0</v>
          </cell>
          <cell r="H317">
            <v>-524970</v>
          </cell>
          <cell r="I317" t="str">
            <v>Mishraji</v>
          </cell>
        </row>
        <row r="318">
          <cell r="A318" t="str">
            <v>307099001.0234</v>
          </cell>
          <cell r="B318" t="str">
            <v>307099001</v>
          </cell>
          <cell r="C318" t="str">
            <v>Miscellaneous</v>
          </cell>
          <cell r="D318" t="str">
            <v>0234</v>
          </cell>
          <cell r="E318" t="str">
            <v>ALPIC  FINANCE - PAYABLE</v>
          </cell>
          <cell r="F318">
            <v>-50768.69</v>
          </cell>
          <cell r="G318">
            <v>0</v>
          </cell>
          <cell r="H318">
            <v>-50768.69</v>
          </cell>
          <cell r="I318" t="str">
            <v>Mishraji</v>
          </cell>
        </row>
        <row r="319">
          <cell r="A319" t="str">
            <v>307099001.0235</v>
          </cell>
          <cell r="B319" t="str">
            <v>307099001</v>
          </cell>
          <cell r="C319" t="str">
            <v>Miscellaneous</v>
          </cell>
          <cell r="D319" t="str">
            <v>0235</v>
          </cell>
          <cell r="E319" t="str">
            <v>SUBLEASE R.V. IN ADVANCE</v>
          </cell>
          <cell r="F319">
            <v>-9048342.4499999993</v>
          </cell>
          <cell r="G319">
            <v>145691.20000000001</v>
          </cell>
          <cell r="H319">
            <v>-8902651.25</v>
          </cell>
          <cell r="I319" t="str">
            <v>Mishraji</v>
          </cell>
        </row>
        <row r="320">
          <cell r="A320" t="str">
            <v>307099001.0236</v>
          </cell>
          <cell r="B320" t="str">
            <v>307099001</v>
          </cell>
          <cell r="C320" t="str">
            <v>Miscellaneous</v>
          </cell>
          <cell r="D320" t="str">
            <v>0236</v>
          </cell>
          <cell r="E320" t="str">
            <v>RES.VALUE RECD.IN ADVANC</v>
          </cell>
          <cell r="F320">
            <v>-11961970</v>
          </cell>
          <cell r="G320">
            <v>0</v>
          </cell>
          <cell r="H320">
            <v>-11961970</v>
          </cell>
          <cell r="I320" t="str">
            <v>Mishraji</v>
          </cell>
        </row>
        <row r="321">
          <cell r="A321" t="str">
            <v>307099001.0239</v>
          </cell>
          <cell r="B321" t="str">
            <v>307099001</v>
          </cell>
          <cell r="C321" t="str">
            <v>Miscellaneous</v>
          </cell>
          <cell r="D321" t="str">
            <v>0239</v>
          </cell>
          <cell r="E321" t="str">
            <v>SECURITY DEPOSITS RECEIV</v>
          </cell>
          <cell r="F321">
            <v>-8382782.4299999997</v>
          </cell>
          <cell r="G321">
            <v>0</v>
          </cell>
          <cell r="H321">
            <v>-8382782.4299999997</v>
          </cell>
          <cell r="I321" t="str">
            <v>Mishraji</v>
          </cell>
        </row>
        <row r="322">
          <cell r="A322" t="str">
            <v>307099001.0240</v>
          </cell>
          <cell r="B322" t="str">
            <v>307099001</v>
          </cell>
          <cell r="C322" t="str">
            <v>Miscellaneous</v>
          </cell>
          <cell r="D322" t="str">
            <v>0240</v>
          </cell>
          <cell r="E322" t="str">
            <v>UNIT CONTROL- -INGRES IU</v>
          </cell>
          <cell r="F322">
            <v>-3.4</v>
          </cell>
          <cell r="G322">
            <v>2.35</v>
          </cell>
          <cell r="H322">
            <v>-1.05</v>
          </cell>
          <cell r="I322" t="str">
            <v>Vivek</v>
          </cell>
        </row>
        <row r="323">
          <cell r="A323" t="str">
            <v>307099001.0253</v>
          </cell>
          <cell r="B323" t="str">
            <v>307099001</v>
          </cell>
          <cell r="C323" t="str">
            <v>Miscellaneous</v>
          </cell>
          <cell r="D323" t="str">
            <v>0253</v>
          </cell>
          <cell r="E323" t="str">
            <v>MISC. CREDITORS</v>
          </cell>
          <cell r="F323">
            <v>-0.34</v>
          </cell>
          <cell r="G323">
            <v>0</v>
          </cell>
          <cell r="H323">
            <v>-0.34</v>
          </cell>
          <cell r="I323" t="str">
            <v>Pankaj</v>
          </cell>
        </row>
        <row r="324">
          <cell r="A324" t="str">
            <v>307099001.0257</v>
          </cell>
          <cell r="B324" t="str">
            <v>307099001</v>
          </cell>
          <cell r="C324" t="str">
            <v>Miscellaneous</v>
          </cell>
          <cell r="D324" t="str">
            <v>0257</v>
          </cell>
          <cell r="E324" t="str">
            <v>INGRES CONTROL</v>
          </cell>
          <cell r="F324">
            <v>1</v>
          </cell>
          <cell r="G324">
            <v>0</v>
          </cell>
          <cell r="H324">
            <v>1</v>
          </cell>
          <cell r="I324" t="str">
            <v>Pankaj</v>
          </cell>
        </row>
        <row r="325">
          <cell r="A325" t="str">
            <v>307099001.0258</v>
          </cell>
          <cell r="B325" t="str">
            <v>307099001</v>
          </cell>
          <cell r="C325" t="str">
            <v>Miscellaneous</v>
          </cell>
          <cell r="D325" t="str">
            <v>0258</v>
          </cell>
          <cell r="E325" t="str">
            <v>ADV. AGAINST BUSINESS- M</v>
          </cell>
          <cell r="F325">
            <v>-1</v>
          </cell>
          <cell r="G325">
            <v>0</v>
          </cell>
          <cell r="H325">
            <v>-1</v>
          </cell>
          <cell r="I325" t="str">
            <v>Pankaj</v>
          </cell>
        </row>
        <row r="326">
          <cell r="A326" t="str">
            <v>307099001.0262</v>
          </cell>
          <cell r="B326" t="str">
            <v>307099001</v>
          </cell>
          <cell r="C326" t="str">
            <v>Miscellaneous</v>
          </cell>
          <cell r="D326" t="str">
            <v>0262</v>
          </cell>
          <cell r="E326" t="str">
            <v>DMA COMMISSION CONTROL A</v>
          </cell>
          <cell r="F326">
            <v>-1037809.71</v>
          </cell>
          <cell r="G326">
            <v>-64119.47</v>
          </cell>
          <cell r="H326">
            <v>-1101929.18</v>
          </cell>
          <cell r="I326" t="str">
            <v>Mishraji</v>
          </cell>
        </row>
        <row r="327">
          <cell r="A327" t="str">
            <v>309007001.0002</v>
          </cell>
          <cell r="B327" t="str">
            <v>309007001</v>
          </cell>
          <cell r="C327" t="str">
            <v>Other Deductions</v>
          </cell>
          <cell r="D327" t="str">
            <v>0002</v>
          </cell>
          <cell r="E327" t="str">
            <v>TDS - Interest Other than Interest on Securities - Companies</v>
          </cell>
          <cell r="F327">
            <v>-0.1</v>
          </cell>
          <cell r="G327">
            <v>0</v>
          </cell>
          <cell r="H327">
            <v>-0.1</v>
          </cell>
          <cell r="I327" t="str">
            <v>Pankaj</v>
          </cell>
        </row>
        <row r="328">
          <cell r="A328" t="str">
            <v>309007001.0006</v>
          </cell>
          <cell r="B328" t="str">
            <v>309007001</v>
          </cell>
          <cell r="C328" t="str">
            <v>Other Deductions</v>
          </cell>
          <cell r="D328" t="str">
            <v>0006</v>
          </cell>
          <cell r="E328" t="str">
            <v>TDS - Contractors - Companies</v>
          </cell>
          <cell r="F328">
            <v>-16694.8</v>
          </cell>
          <cell r="G328">
            <v>10461.74</v>
          </cell>
          <cell r="H328">
            <v>-6233.06</v>
          </cell>
          <cell r="I328" t="str">
            <v>Pankaj</v>
          </cell>
        </row>
        <row r="329">
          <cell r="A329" t="str">
            <v>309007001.0007</v>
          </cell>
          <cell r="B329" t="str">
            <v>309007001</v>
          </cell>
          <cell r="C329" t="str">
            <v>Other Deductions</v>
          </cell>
          <cell r="D329" t="str">
            <v>0007</v>
          </cell>
          <cell r="E329" t="str">
            <v>TDS - Contractors - Non Companies</v>
          </cell>
          <cell r="F329">
            <v>-8970.2099999999991</v>
          </cell>
          <cell r="G329">
            <v>-7250.08</v>
          </cell>
          <cell r="H329">
            <v>-16220.29</v>
          </cell>
          <cell r="I329" t="str">
            <v>Pankaj</v>
          </cell>
        </row>
        <row r="330">
          <cell r="A330" t="str">
            <v>309007001.0008</v>
          </cell>
          <cell r="B330" t="str">
            <v>309007001</v>
          </cell>
          <cell r="C330" t="str">
            <v>Other Deductions</v>
          </cell>
          <cell r="D330" t="str">
            <v>0008</v>
          </cell>
          <cell r="E330" t="str">
            <v>TDS - Rent - Companies</v>
          </cell>
          <cell r="F330">
            <v>-2460</v>
          </cell>
          <cell r="G330">
            <v>-6560</v>
          </cell>
          <cell r="H330">
            <v>-9020</v>
          </cell>
          <cell r="I330" t="str">
            <v>Pankaj</v>
          </cell>
        </row>
        <row r="331">
          <cell r="A331" t="str">
            <v>309007001.0009</v>
          </cell>
          <cell r="B331" t="str">
            <v>309007001</v>
          </cell>
          <cell r="C331" t="str">
            <v>Other Deductions</v>
          </cell>
          <cell r="D331" t="str">
            <v>0009</v>
          </cell>
          <cell r="E331" t="str">
            <v>TDS - Rent - Non Companies</v>
          </cell>
          <cell r="F331">
            <v>-34676.400000000001</v>
          </cell>
          <cell r="G331">
            <v>34676.400000000001</v>
          </cell>
          <cell r="H331">
            <v>0</v>
          </cell>
          <cell r="I331" t="str">
            <v>Pankaj</v>
          </cell>
        </row>
        <row r="332">
          <cell r="A332" t="str">
            <v>309007001.0010</v>
          </cell>
          <cell r="B332" t="str">
            <v>309007001</v>
          </cell>
          <cell r="C332" t="str">
            <v>Other Deductions</v>
          </cell>
          <cell r="D332" t="str">
            <v>0010</v>
          </cell>
          <cell r="E332" t="str">
            <v>TDS - Professional Services - Companies</v>
          </cell>
          <cell r="F332">
            <v>-90858.92</v>
          </cell>
          <cell r="G332">
            <v>85944.56</v>
          </cell>
          <cell r="H332">
            <v>-4914.3599999999997</v>
          </cell>
          <cell r="I332" t="str">
            <v>Pankaj</v>
          </cell>
        </row>
        <row r="333">
          <cell r="A333" t="str">
            <v>309007001.0011</v>
          </cell>
          <cell r="B333" t="str">
            <v>309007001</v>
          </cell>
          <cell r="C333" t="str">
            <v>Other Deductions</v>
          </cell>
          <cell r="D333" t="str">
            <v>0011</v>
          </cell>
          <cell r="E333" t="str">
            <v>TDS - Professional Services - Non Companies</v>
          </cell>
          <cell r="F333">
            <v>-63326.04</v>
          </cell>
          <cell r="G333">
            <v>22656.17</v>
          </cell>
          <cell r="H333">
            <v>-40669.870000000003</v>
          </cell>
          <cell r="I333" t="str">
            <v>Pankaj</v>
          </cell>
        </row>
        <row r="334">
          <cell r="A334" t="str">
            <v>309007001.0013</v>
          </cell>
          <cell r="B334" t="str">
            <v>309007001</v>
          </cell>
          <cell r="C334" t="str">
            <v>Other Deductions</v>
          </cell>
          <cell r="D334" t="str">
            <v>0013</v>
          </cell>
          <cell r="E334" t="str">
            <v>TDS - Commission/Brokerage - Non Companies</v>
          </cell>
          <cell r="F334">
            <v>-23113.56</v>
          </cell>
          <cell r="G334">
            <v>14237.76</v>
          </cell>
          <cell r="H334">
            <v>-8875.7999999999993</v>
          </cell>
          <cell r="I334" t="str">
            <v>Pankaj</v>
          </cell>
        </row>
        <row r="335">
          <cell r="A335" t="str">
            <v>309007001.0024</v>
          </cell>
          <cell r="B335" t="str">
            <v>309007001</v>
          </cell>
          <cell r="C335" t="str">
            <v>Other Deductions</v>
          </cell>
          <cell r="D335" t="str">
            <v>0024</v>
          </cell>
          <cell r="E335" t="str">
            <v>TDS - Interest - ICD</v>
          </cell>
          <cell r="F335">
            <v>-4334771</v>
          </cell>
          <cell r="G335">
            <v>-370671</v>
          </cell>
          <cell r="H335">
            <v>-4705442</v>
          </cell>
          <cell r="I335" t="str">
            <v>Vivek</v>
          </cell>
        </row>
        <row r="336">
          <cell r="A336" t="str">
            <v>309007001.0026</v>
          </cell>
          <cell r="B336" t="str">
            <v>309007001</v>
          </cell>
          <cell r="C336" t="str">
            <v>Other Deductions</v>
          </cell>
          <cell r="D336" t="str">
            <v>0026</v>
          </cell>
          <cell r="E336" t="str">
            <v>TDS -Rent - Non Companies- Firms/ AOP/BOI</v>
          </cell>
          <cell r="F336">
            <v>-8405</v>
          </cell>
          <cell r="G336">
            <v>2333.4699999999998</v>
          </cell>
          <cell r="H336">
            <v>-6071.53</v>
          </cell>
          <cell r="I336" t="str">
            <v>Pankaj</v>
          </cell>
        </row>
        <row r="337">
          <cell r="A337" t="str">
            <v>309007001.0027</v>
          </cell>
          <cell r="B337" t="str">
            <v>309007001</v>
          </cell>
          <cell r="C337" t="str">
            <v>Other Deductions</v>
          </cell>
          <cell r="D337" t="str">
            <v>0027</v>
          </cell>
          <cell r="E337" t="str">
            <v>TDS- Rent -Non Companies - Individuals/HUF</v>
          </cell>
          <cell r="F337">
            <v>-3135</v>
          </cell>
          <cell r="G337">
            <v>-32993.4</v>
          </cell>
          <cell r="H337">
            <v>-36128.400000000001</v>
          </cell>
          <cell r="I337" t="str">
            <v>Pankaj</v>
          </cell>
        </row>
        <row r="338">
          <cell r="A338" t="str">
            <v>309007001.0054</v>
          </cell>
          <cell r="B338" t="str">
            <v>309007001</v>
          </cell>
          <cell r="C338" t="str">
            <v>Other Deductions</v>
          </cell>
          <cell r="D338" t="str">
            <v>0054</v>
          </cell>
          <cell r="E338" t="str">
            <v>Professional Taxe - Branches</v>
          </cell>
          <cell r="F338">
            <v>-4840</v>
          </cell>
          <cell r="G338">
            <v>-2150</v>
          </cell>
          <cell r="H338">
            <v>-6990</v>
          </cell>
          <cell r="I338" t="str">
            <v>Pankaj</v>
          </cell>
        </row>
        <row r="339">
          <cell r="A339" t="str">
            <v>310002001.0201</v>
          </cell>
          <cell r="B339" t="str">
            <v>310002001</v>
          </cell>
          <cell r="C339" t="str">
            <v>Dividends Paid</v>
          </cell>
          <cell r="D339" t="str">
            <v>0201</v>
          </cell>
          <cell r="E339" t="str">
            <v>Dividends Payable-Equity Dividend</v>
          </cell>
          <cell r="F339">
            <v>-117342.99</v>
          </cell>
          <cell r="G339">
            <v>117342.99</v>
          </cell>
          <cell r="H339">
            <v>0</v>
          </cell>
          <cell r="I339" t="str">
            <v>Vivek</v>
          </cell>
        </row>
        <row r="340">
          <cell r="A340" t="str">
            <v>310002001.0205</v>
          </cell>
          <cell r="B340" t="str">
            <v>310002001</v>
          </cell>
          <cell r="C340" t="str">
            <v>Dividends Paid</v>
          </cell>
          <cell r="D340" t="str">
            <v>0205</v>
          </cell>
          <cell r="E340" t="str">
            <v>UNCLAIMED DIV. FINAL 199</v>
          </cell>
          <cell r="F340">
            <v>-380583.33</v>
          </cell>
          <cell r="G340">
            <v>0</v>
          </cell>
          <cell r="H340">
            <v>-380583.33</v>
          </cell>
          <cell r="I340" t="str">
            <v>Vivek</v>
          </cell>
        </row>
        <row r="341">
          <cell r="A341" t="str">
            <v>313001002.0001</v>
          </cell>
          <cell r="B341" t="str">
            <v>313001002</v>
          </cell>
          <cell r="C341" t="str">
            <v>Bank Loan Non Guaranteed</v>
          </cell>
          <cell r="D341" t="str">
            <v>0001</v>
          </cell>
          <cell r="E341" t="str">
            <v>Bank Loan Non Guaranteed</v>
          </cell>
          <cell r="F341">
            <v>-1070000000</v>
          </cell>
          <cell r="G341">
            <v>110000000</v>
          </cell>
          <cell r="H341">
            <v>-960000000</v>
          </cell>
          <cell r="I341" t="str">
            <v>Vivek</v>
          </cell>
        </row>
        <row r="342">
          <cell r="A342" t="str">
            <v>313200004.0202</v>
          </cell>
          <cell r="B342" t="str">
            <v>313200004</v>
          </cell>
          <cell r="C342" t="str">
            <v>Notes PayableICD ST Non Guaranteed</v>
          </cell>
          <cell r="D342" t="str">
            <v>0202</v>
          </cell>
          <cell r="E342" t="str">
            <v>ICDS RECD FROM GECIS</v>
          </cell>
          <cell r="F342">
            <v>-3466050613</v>
          </cell>
          <cell r="G342">
            <v>3466050613</v>
          </cell>
          <cell r="H342">
            <v>0</v>
          </cell>
          <cell r="I342" t="str">
            <v>Vivek</v>
          </cell>
        </row>
        <row r="343">
          <cell r="A343" t="str">
            <v>317200004.0203</v>
          </cell>
          <cell r="B343" t="str">
            <v>317200004</v>
          </cell>
          <cell r="C343" t="str">
            <v>Current Portion of Long-Term Debt-Non-Current-External - Other Short-term Debt-Other - Non-Guaranteed</v>
          </cell>
          <cell r="D343" t="str">
            <v>0203</v>
          </cell>
          <cell r="E343" t="str">
            <v>CITIBANK - DEMAND LOAN A</v>
          </cell>
          <cell r="F343">
            <v>0.19</v>
          </cell>
          <cell r="G343">
            <v>0</v>
          </cell>
          <cell r="H343">
            <v>0.19</v>
          </cell>
          <cell r="I343" t="str">
            <v>Vivek</v>
          </cell>
        </row>
        <row r="344">
          <cell r="A344" t="str">
            <v>317200004.0206</v>
          </cell>
          <cell r="B344" t="str">
            <v>317200004</v>
          </cell>
          <cell r="C344" t="str">
            <v>Current Portion of Long-Term Debt-Non-Current-External - Other Short-term Debt-Other - Non-Guaranteed</v>
          </cell>
          <cell r="D344" t="str">
            <v>0206</v>
          </cell>
          <cell r="E344" t="str">
            <v>RECURRING DEPOSITS DELHI</v>
          </cell>
          <cell r="F344">
            <v>39700</v>
          </cell>
          <cell r="G344">
            <v>0</v>
          </cell>
          <cell r="H344">
            <v>39700</v>
          </cell>
          <cell r="I344" t="str">
            <v>Vivek</v>
          </cell>
        </row>
        <row r="345">
          <cell r="A345" t="str">
            <v>317200004.0207</v>
          </cell>
          <cell r="B345" t="str">
            <v>317200004</v>
          </cell>
          <cell r="C345" t="str">
            <v>Current Portion of Long-Term Debt-Non-Current-External - Other Short-term Debt-Other - Non-Guaranteed</v>
          </cell>
          <cell r="D345" t="str">
            <v>0207</v>
          </cell>
          <cell r="E345" t="str">
            <v>RECURRING DEPOSITS MADRA</v>
          </cell>
          <cell r="F345">
            <v>-38600</v>
          </cell>
          <cell r="G345">
            <v>0</v>
          </cell>
          <cell r="H345">
            <v>-38600</v>
          </cell>
          <cell r="I345" t="str">
            <v>Vivek</v>
          </cell>
        </row>
        <row r="346">
          <cell r="A346" t="str">
            <v>317200004.0208</v>
          </cell>
          <cell r="B346" t="str">
            <v>317200004</v>
          </cell>
          <cell r="C346" t="str">
            <v>Current Portion of Long-Term Debt-Non-Current-External - Other Short-term Debt-Other - Non-Guaranteed</v>
          </cell>
          <cell r="D346" t="str">
            <v>0208</v>
          </cell>
          <cell r="E346" t="str">
            <v>PUBLIC DEPOSITS DELHI -I</v>
          </cell>
          <cell r="F346">
            <v>-3459371</v>
          </cell>
          <cell r="G346">
            <v>0</v>
          </cell>
          <cell r="H346">
            <v>-3459371</v>
          </cell>
          <cell r="I346" t="str">
            <v>Vivek</v>
          </cell>
        </row>
        <row r="347">
          <cell r="A347" t="str">
            <v>317200004.0209</v>
          </cell>
          <cell r="B347" t="str">
            <v>317200004</v>
          </cell>
          <cell r="C347" t="str">
            <v>Current Portion of Long-Term Debt-Non-Current-External - Other Short-term Debt-Other - Non-Guaranteed</v>
          </cell>
          <cell r="D347" t="str">
            <v>0209</v>
          </cell>
          <cell r="E347" t="str">
            <v>RECURRING DEPOSIT DELHI</v>
          </cell>
          <cell r="F347">
            <v>-79900</v>
          </cell>
          <cell r="G347">
            <v>0</v>
          </cell>
          <cell r="H347">
            <v>-79900</v>
          </cell>
          <cell r="I347" t="str">
            <v>Vivek</v>
          </cell>
        </row>
        <row r="348">
          <cell r="A348" t="str">
            <v>317200004.0210</v>
          </cell>
          <cell r="B348" t="str">
            <v>317200004</v>
          </cell>
          <cell r="C348" t="str">
            <v>Current Portion of Long-Term Debt-Non-Current-External - Other Short-term Debt-Other - Non-Guaranteed</v>
          </cell>
          <cell r="D348" t="str">
            <v>0210</v>
          </cell>
          <cell r="E348" t="str">
            <v>PUBLIC DEPOSITS - MATURE</v>
          </cell>
          <cell r="F348">
            <v>3448371</v>
          </cell>
          <cell r="G348">
            <v>0</v>
          </cell>
          <cell r="H348">
            <v>3448371</v>
          </cell>
          <cell r="I348" t="str">
            <v>Vivek</v>
          </cell>
        </row>
        <row r="349">
          <cell r="A349" t="str">
            <v>317200004.0211</v>
          </cell>
          <cell r="B349" t="str">
            <v>317200004</v>
          </cell>
          <cell r="C349" t="str">
            <v>Current Portion of Long-Term Debt-Non-Current-External - Other Short-term Debt-Other - Non-Guaranteed</v>
          </cell>
          <cell r="D349" t="str">
            <v>0211</v>
          </cell>
          <cell r="E349" t="str">
            <v>PUBLIC DEPOSITS DELHI-NE</v>
          </cell>
          <cell r="F349">
            <v>-2604835</v>
          </cell>
          <cell r="G349">
            <v>15000</v>
          </cell>
          <cell r="H349">
            <v>-2589835</v>
          </cell>
          <cell r="I349" t="str">
            <v>Vivek</v>
          </cell>
        </row>
        <row r="350">
          <cell r="A350" t="str">
            <v>320001001.0001</v>
          </cell>
          <cell r="B350" t="str">
            <v>320001001</v>
          </cell>
          <cell r="C350" t="str">
            <v>Interest Payable Accrued</v>
          </cell>
          <cell r="D350" t="str">
            <v>0001</v>
          </cell>
          <cell r="E350" t="str">
            <v>Interest Payable-Bank</v>
          </cell>
          <cell r="F350">
            <v>-5283792</v>
          </cell>
          <cell r="G350">
            <v>5150252</v>
          </cell>
          <cell r="H350">
            <v>-133540</v>
          </cell>
          <cell r="I350" t="str">
            <v>Vivek</v>
          </cell>
        </row>
        <row r="351">
          <cell r="A351" t="str">
            <v>320001001.0002</v>
          </cell>
          <cell r="B351" t="str">
            <v>320001001</v>
          </cell>
          <cell r="C351" t="str">
            <v>Interest Payable Accrued</v>
          </cell>
          <cell r="D351" t="str">
            <v>0002</v>
          </cell>
          <cell r="E351" t="str">
            <v>Interest Payable - Inter Corporate Deposits</v>
          </cell>
          <cell r="F351">
            <v>-22950134</v>
          </cell>
          <cell r="G351">
            <v>1042620</v>
          </cell>
          <cell r="H351">
            <v>-21907514</v>
          </cell>
          <cell r="I351" t="str">
            <v>Vivek</v>
          </cell>
        </row>
        <row r="352">
          <cell r="A352" t="str">
            <v>320004001.0000</v>
          </cell>
          <cell r="B352" t="str">
            <v>320004001</v>
          </cell>
          <cell r="C352" t="str">
            <v>Accrued Payroll</v>
          </cell>
          <cell r="D352" t="str">
            <v>0000</v>
          </cell>
          <cell r="E352" t="str">
            <v>None</v>
          </cell>
          <cell r="F352">
            <v>-1729699</v>
          </cell>
          <cell r="G352">
            <v>1729699</v>
          </cell>
          <cell r="H352">
            <v>0</v>
          </cell>
          <cell r="I352" t="str">
            <v>Pankaj</v>
          </cell>
        </row>
        <row r="353">
          <cell r="A353" t="str">
            <v>320004001.0001</v>
          </cell>
          <cell r="B353" t="str">
            <v>320004001</v>
          </cell>
          <cell r="C353" t="str">
            <v>Accrued Payroll</v>
          </cell>
          <cell r="D353" t="str">
            <v>0001</v>
          </cell>
          <cell r="E353" t="str">
            <v>Full &amp; Final</v>
          </cell>
          <cell r="F353">
            <v>502631.01</v>
          </cell>
          <cell r="G353">
            <v>97477</v>
          </cell>
          <cell r="H353">
            <v>600108.01</v>
          </cell>
          <cell r="I353" t="str">
            <v>Pankaj</v>
          </cell>
        </row>
        <row r="354">
          <cell r="A354" t="str">
            <v>320005001.0001</v>
          </cell>
          <cell r="B354" t="str">
            <v>320005001</v>
          </cell>
          <cell r="C354" t="str">
            <v>Accrued Social security</v>
          </cell>
          <cell r="D354" t="str">
            <v>0001</v>
          </cell>
          <cell r="E354" t="str">
            <v>Provident Fund Payable</v>
          </cell>
          <cell r="F354">
            <v>-232335</v>
          </cell>
          <cell r="G354">
            <v>-8486</v>
          </cell>
          <cell r="H354">
            <v>-240821</v>
          </cell>
          <cell r="I354" t="str">
            <v>Pankaj</v>
          </cell>
        </row>
        <row r="355">
          <cell r="A355" t="str">
            <v>320005001.0002</v>
          </cell>
          <cell r="B355" t="str">
            <v>320005001</v>
          </cell>
          <cell r="C355" t="str">
            <v>Accrued Social security</v>
          </cell>
          <cell r="D355" t="str">
            <v>0002</v>
          </cell>
          <cell r="E355" t="str">
            <v>Super Annuation Fund Payable</v>
          </cell>
          <cell r="F355">
            <v>-71416</v>
          </cell>
          <cell r="G355">
            <v>7299</v>
          </cell>
          <cell r="H355">
            <v>-64117</v>
          </cell>
          <cell r="I355" t="str">
            <v>Pankaj</v>
          </cell>
        </row>
        <row r="356">
          <cell r="A356" t="str">
            <v>320005001.0003</v>
          </cell>
          <cell r="B356" t="str">
            <v>320005001</v>
          </cell>
          <cell r="C356" t="str">
            <v>Accrued Social security</v>
          </cell>
          <cell r="D356" t="str">
            <v>0003</v>
          </cell>
          <cell r="E356" t="str">
            <v>Employee Welfare Fund</v>
          </cell>
          <cell r="F356">
            <v>-115</v>
          </cell>
          <cell r="G356">
            <v>-59</v>
          </cell>
          <cell r="H356">
            <v>-174</v>
          </cell>
          <cell r="I356" t="str">
            <v>Pankaj</v>
          </cell>
        </row>
        <row r="357">
          <cell r="A357" t="str">
            <v>320099001.0307</v>
          </cell>
          <cell r="B357" t="str">
            <v>320099001</v>
          </cell>
          <cell r="C357" t="str">
            <v>Other</v>
          </cell>
          <cell r="D357" t="str">
            <v>0307</v>
          </cell>
          <cell r="E357" t="str">
            <v>Other Liabilities-Interest Accrued but not due</v>
          </cell>
          <cell r="F357">
            <v>-938739.91</v>
          </cell>
          <cell r="G357">
            <v>0</v>
          </cell>
          <cell r="H357">
            <v>-938739.91</v>
          </cell>
          <cell r="I357" t="str">
            <v>Vivek</v>
          </cell>
        </row>
        <row r="358">
          <cell r="A358" t="str">
            <v>411101002.0000</v>
          </cell>
          <cell r="B358" t="str">
            <v>411101002</v>
          </cell>
          <cell r="C358" t="str">
            <v>Loan Loss Reserve Additions</v>
          </cell>
          <cell r="D358" t="str">
            <v>0000</v>
          </cell>
          <cell r="E358" t="str">
            <v>None</v>
          </cell>
          <cell r="F358">
            <v>3878390</v>
          </cell>
          <cell r="G358">
            <v>0</v>
          </cell>
          <cell r="H358">
            <v>3878390</v>
          </cell>
          <cell r="I358" t="str">
            <v>Mishraji</v>
          </cell>
        </row>
        <row r="359">
          <cell r="A359" t="str">
            <v>411130002.0000</v>
          </cell>
          <cell r="B359" t="str">
            <v>411130002</v>
          </cell>
          <cell r="C359" t="str">
            <v>Net Operating Loss Carryforward - Current Year Additions</v>
          </cell>
          <cell r="D359" t="str">
            <v>0000</v>
          </cell>
          <cell r="E359" t="str">
            <v>None</v>
          </cell>
          <cell r="F359">
            <v>88869240</v>
          </cell>
          <cell r="G359">
            <v>0</v>
          </cell>
          <cell r="H359">
            <v>88869240</v>
          </cell>
          <cell r="I359" t="str">
            <v>?</v>
          </cell>
        </row>
        <row r="360">
          <cell r="A360" t="str">
            <v>411132001.0000</v>
          </cell>
          <cell r="B360" t="str">
            <v>411132001</v>
          </cell>
          <cell r="C360" t="str">
            <v>Purchase Accounting Adjustments - 1/1 Balance</v>
          </cell>
          <cell r="D360" t="str">
            <v>0000</v>
          </cell>
          <cell r="E360" t="str">
            <v>None</v>
          </cell>
          <cell r="F360">
            <v>-37549262</v>
          </cell>
          <cell r="G360">
            <v>0</v>
          </cell>
          <cell r="H360">
            <v>-37549262</v>
          </cell>
          <cell r="I360" t="str">
            <v>Mishraji</v>
          </cell>
        </row>
        <row r="361">
          <cell r="A361" t="str">
            <v>411143002.0000</v>
          </cell>
          <cell r="B361" t="str">
            <v>411143002</v>
          </cell>
          <cell r="C361" t="str">
            <v>Provision for Depreciation-Addition</v>
          </cell>
          <cell r="D361" t="str">
            <v>0000</v>
          </cell>
          <cell r="E361" t="str">
            <v>None</v>
          </cell>
          <cell r="F361">
            <v>-84080048</v>
          </cell>
          <cell r="G361">
            <v>0</v>
          </cell>
          <cell r="H361">
            <v>-84080048</v>
          </cell>
          <cell r="I361" t="str">
            <v>Mishraji</v>
          </cell>
        </row>
        <row r="362">
          <cell r="A362" t="str">
            <v>411180002.0000</v>
          </cell>
          <cell r="B362" t="str">
            <v>411180002</v>
          </cell>
          <cell r="C362" t="str">
            <v>Other Defferred Tax Asset-Additions</v>
          </cell>
          <cell r="D362" t="str">
            <v>0000</v>
          </cell>
          <cell r="E362" t="str">
            <v>None</v>
          </cell>
          <cell r="F362">
            <v>28881680</v>
          </cell>
          <cell r="G362">
            <v>0</v>
          </cell>
          <cell r="H362">
            <v>28881680</v>
          </cell>
          <cell r="I362" t="str">
            <v>?</v>
          </cell>
        </row>
        <row r="363">
          <cell r="A363" t="str">
            <v>440002004.0000</v>
          </cell>
          <cell r="B363" t="str">
            <v>440002004</v>
          </cell>
          <cell r="C363" t="str">
            <v>Cur. A/c-Adv. to/from Corp/Bussiness - India</v>
          </cell>
          <cell r="D363" t="str">
            <v>0000</v>
          </cell>
          <cell r="E363" t="str">
            <v>None</v>
          </cell>
          <cell r="F363">
            <v>293412909.42000002</v>
          </cell>
          <cell r="G363">
            <v>-124584289</v>
          </cell>
          <cell r="H363">
            <v>168828620.41999999</v>
          </cell>
          <cell r="I363" t="str">
            <v>Vivek</v>
          </cell>
        </row>
        <row r="364">
          <cell r="A364" t="str">
            <v>440999999.0106</v>
          </cell>
          <cell r="B364" t="str">
            <v>440999999</v>
          </cell>
          <cell r="C364" t="str">
            <v>InterCompany Receivable /Payable- To be settled in cash</v>
          </cell>
          <cell r="D364" t="str">
            <v>0106</v>
          </cell>
          <cell r="E364" t="str">
            <v>GECIS</v>
          </cell>
          <cell r="F364">
            <v>0</v>
          </cell>
          <cell r="G364">
            <v>-3631050613</v>
          </cell>
          <cell r="H364">
            <v>-3631050613</v>
          </cell>
          <cell r="I364" t="str">
            <v>Vivek</v>
          </cell>
        </row>
        <row r="365">
          <cell r="A365" t="str">
            <v>442101001.0000</v>
          </cell>
          <cell r="B365" t="str">
            <v>442101001</v>
          </cell>
          <cell r="C365" t="str">
            <v>InterCompany Receivables/Payables Between GE Capital &amp; it's first tier subsidiaries</v>
          </cell>
          <cell r="D365" t="str">
            <v>0000</v>
          </cell>
          <cell r="E365" t="str">
            <v>None</v>
          </cell>
          <cell r="F365">
            <v>-447554719</v>
          </cell>
          <cell r="G365">
            <v>47500000</v>
          </cell>
          <cell r="H365">
            <v>-400054719</v>
          </cell>
          <cell r="I365" t="str">
            <v>Vivek</v>
          </cell>
        </row>
        <row r="366">
          <cell r="A366" t="str">
            <v>452530001.0001</v>
          </cell>
          <cell r="B366" t="str">
            <v>452530001</v>
          </cell>
          <cell r="C366" t="str">
            <v>Held by Parent</v>
          </cell>
          <cell r="D366" t="str">
            <v>0001</v>
          </cell>
          <cell r="E366" t="str">
            <v>Equity Capital-Paid Up</v>
          </cell>
          <cell r="F366">
            <v>-202637400</v>
          </cell>
          <cell r="G366">
            <v>0</v>
          </cell>
          <cell r="H366">
            <v>-202637400</v>
          </cell>
          <cell r="I366" t="str">
            <v>na</v>
          </cell>
        </row>
        <row r="367">
          <cell r="A367" t="str">
            <v>452530001.0201</v>
          </cell>
          <cell r="B367" t="str">
            <v>452530001</v>
          </cell>
          <cell r="C367" t="str">
            <v>Held by Parent</v>
          </cell>
          <cell r="D367" t="str">
            <v>0201</v>
          </cell>
          <cell r="E367" t="str">
            <v>ALLOT.MONEY-RECEIVABLE 1</v>
          </cell>
          <cell r="F367">
            <v>16000</v>
          </cell>
          <cell r="G367">
            <v>0</v>
          </cell>
          <cell r="H367">
            <v>16000</v>
          </cell>
          <cell r="I367" t="str">
            <v>na</v>
          </cell>
        </row>
        <row r="368">
          <cell r="A368" t="str">
            <v>452530001.0202</v>
          </cell>
          <cell r="B368" t="str">
            <v>452530001</v>
          </cell>
          <cell r="C368" t="str">
            <v>Held by Parent</v>
          </cell>
          <cell r="D368" t="str">
            <v>0202</v>
          </cell>
          <cell r="E368" t="str">
            <v>CALLS IN ARREARS -1989</v>
          </cell>
          <cell r="F368">
            <v>12000</v>
          </cell>
          <cell r="G368">
            <v>0</v>
          </cell>
          <cell r="H368">
            <v>12000</v>
          </cell>
          <cell r="I368" t="str">
            <v>na</v>
          </cell>
        </row>
        <row r="369">
          <cell r="A369" t="str">
            <v>452530001.0203</v>
          </cell>
          <cell r="B369" t="str">
            <v>452530001</v>
          </cell>
          <cell r="C369" t="str">
            <v>Held by Parent</v>
          </cell>
          <cell r="D369" t="str">
            <v>0203</v>
          </cell>
          <cell r="E369" t="str">
            <v>ALLOTMONEY RECEIVABLE 19</v>
          </cell>
          <cell r="F369">
            <v>78645</v>
          </cell>
          <cell r="G369">
            <v>0</v>
          </cell>
          <cell r="H369">
            <v>78645</v>
          </cell>
          <cell r="I369" t="str">
            <v>na</v>
          </cell>
        </row>
        <row r="370">
          <cell r="A370" t="str">
            <v>482010001.0000</v>
          </cell>
          <cell r="B370" t="str">
            <v>482010001</v>
          </cell>
          <cell r="C370" t="str">
            <v>January 1 Balance</v>
          </cell>
          <cell r="D370" t="str">
            <v>0000</v>
          </cell>
          <cell r="E370" t="str">
            <v>None</v>
          </cell>
          <cell r="F370">
            <v>-39036451.539999999</v>
          </cell>
          <cell r="G370">
            <v>0</v>
          </cell>
          <cell r="H370">
            <v>-39036451.539999999</v>
          </cell>
          <cell r="I370" t="str">
            <v>na</v>
          </cell>
        </row>
        <row r="371">
          <cell r="A371" t="str">
            <v>482010001.0001</v>
          </cell>
          <cell r="B371" t="str">
            <v>482010001</v>
          </cell>
          <cell r="C371" t="str">
            <v>January 1 Balance</v>
          </cell>
          <cell r="D371" t="str">
            <v>0001</v>
          </cell>
          <cell r="E371" t="str">
            <v>Retained Earnings Accoun</v>
          </cell>
          <cell r="F371">
            <v>-39288734.409999996</v>
          </cell>
          <cell r="G371">
            <v>0</v>
          </cell>
          <cell r="H371">
            <v>-39288734.409999996</v>
          </cell>
          <cell r="I371" t="str">
            <v>na</v>
          </cell>
        </row>
        <row r="372">
          <cell r="A372" t="str">
            <v>482010001.0002</v>
          </cell>
          <cell r="B372" t="str">
            <v>482010001</v>
          </cell>
          <cell r="C372" t="str">
            <v>January 1 Balance</v>
          </cell>
          <cell r="D372" t="str">
            <v>0002</v>
          </cell>
          <cell r="E372" t="str">
            <v>Share Premium Account</v>
          </cell>
          <cell r="F372">
            <v>-599465875</v>
          </cell>
          <cell r="G372">
            <v>0</v>
          </cell>
          <cell r="H372">
            <v>-599465875</v>
          </cell>
          <cell r="I372" t="str">
            <v>na</v>
          </cell>
        </row>
        <row r="373">
          <cell r="A373" t="str">
            <v>482010001.0004</v>
          </cell>
          <cell r="B373" t="str">
            <v>482010001</v>
          </cell>
          <cell r="C373" t="str">
            <v>January 1 Balance</v>
          </cell>
          <cell r="D373" t="str">
            <v>0004</v>
          </cell>
          <cell r="E373" t="str">
            <v>Capital Reserve</v>
          </cell>
          <cell r="F373">
            <v>-10000000</v>
          </cell>
          <cell r="G373">
            <v>0</v>
          </cell>
          <cell r="H373">
            <v>-10000000</v>
          </cell>
          <cell r="I373" t="str">
            <v>na</v>
          </cell>
        </row>
        <row r="374">
          <cell r="A374" t="str">
            <v>482010001.0005</v>
          </cell>
          <cell r="B374" t="str">
            <v>482010001</v>
          </cell>
          <cell r="C374" t="str">
            <v>January 1 Balance</v>
          </cell>
          <cell r="D374" t="str">
            <v>0005</v>
          </cell>
          <cell r="E374" t="str">
            <v>Profit &amp; Loss Account</v>
          </cell>
          <cell r="F374">
            <v>771591927.58000004</v>
          </cell>
          <cell r="G374">
            <v>0</v>
          </cell>
          <cell r="H374">
            <v>771591927.58000004</v>
          </cell>
          <cell r="I374" t="str">
            <v>na</v>
          </cell>
        </row>
        <row r="375">
          <cell r="A375" t="str">
            <v>530001001.0201</v>
          </cell>
          <cell r="B375" t="str">
            <v>530001001</v>
          </cell>
          <cell r="C375" t="str">
            <v>Regular Tax Rate</v>
          </cell>
          <cell r="D375" t="str">
            <v>0201</v>
          </cell>
          <cell r="E375" t="str">
            <v>GUARANTEE INCOME A/C -IN</v>
          </cell>
          <cell r="F375">
            <v>0.01</v>
          </cell>
          <cell r="G375">
            <v>0</v>
          </cell>
          <cell r="H375">
            <v>0.01</v>
          </cell>
          <cell r="I375" t="str">
            <v>Mishraji</v>
          </cell>
        </row>
        <row r="376">
          <cell r="A376" t="str">
            <v>530001001.0202</v>
          </cell>
          <cell r="B376" t="str">
            <v>530001001</v>
          </cell>
          <cell r="C376" t="str">
            <v>Regular Tax Rate</v>
          </cell>
          <cell r="D376" t="str">
            <v>0202</v>
          </cell>
          <cell r="E376" t="str">
            <v>FINANCING INTEREST RECD</v>
          </cell>
          <cell r="F376">
            <v>-171237228.02000001</v>
          </cell>
          <cell r="G376">
            <v>-36103595.93</v>
          </cell>
          <cell r="H376">
            <v>-207340823.94999999</v>
          </cell>
          <cell r="I376" t="str">
            <v>Mishraji</v>
          </cell>
        </row>
        <row r="377">
          <cell r="A377" t="str">
            <v>530001001.0203</v>
          </cell>
          <cell r="B377" t="str">
            <v>530001001</v>
          </cell>
          <cell r="C377" t="str">
            <v>Regular Tax Rate</v>
          </cell>
          <cell r="D377" t="str">
            <v>0203</v>
          </cell>
          <cell r="E377" t="str">
            <v>DOCUMENTATION CHGS-HYPO.</v>
          </cell>
          <cell r="F377">
            <v>-629421</v>
          </cell>
          <cell r="G377">
            <v>18962</v>
          </cell>
          <cell r="H377">
            <v>-610459</v>
          </cell>
          <cell r="I377" t="str">
            <v>Mishraji</v>
          </cell>
        </row>
        <row r="378">
          <cell r="A378" t="str">
            <v>547046003.0201</v>
          </cell>
          <cell r="B378" t="str">
            <v>547046003</v>
          </cell>
          <cell r="C378" t="str">
            <v>Billing Basis Income</v>
          </cell>
          <cell r="D378" t="str">
            <v>0201</v>
          </cell>
          <cell r="E378" t="str">
            <v>COMM ON CONSORTIUM FIN B</v>
          </cell>
          <cell r="F378">
            <v>154</v>
          </cell>
          <cell r="G378">
            <v>0</v>
          </cell>
          <cell r="H378">
            <v>154</v>
          </cell>
          <cell r="I378" t="str">
            <v>Mishraji</v>
          </cell>
        </row>
        <row r="379">
          <cell r="A379" t="str">
            <v>547046003.0203</v>
          </cell>
          <cell r="B379" t="str">
            <v>547046003</v>
          </cell>
          <cell r="C379" t="str">
            <v>Billing Basis Income</v>
          </cell>
          <cell r="D379" t="str">
            <v>0203</v>
          </cell>
          <cell r="E379" t="str">
            <v>LOSS-SALE OF GOVT SECURI</v>
          </cell>
          <cell r="F379">
            <v>208263.89</v>
          </cell>
          <cell r="G379">
            <v>0</v>
          </cell>
          <cell r="H379">
            <v>208263.89</v>
          </cell>
          <cell r="I379" t="str">
            <v>na</v>
          </cell>
        </row>
        <row r="380">
          <cell r="A380" t="str">
            <v>547046003.0204</v>
          </cell>
          <cell r="B380" t="str">
            <v>547046003</v>
          </cell>
          <cell r="C380" t="str">
            <v>Billing Basis Income</v>
          </cell>
          <cell r="D380" t="str">
            <v>0204</v>
          </cell>
          <cell r="E380" t="str">
            <v>PPD PAID POST 31/07/97 -</v>
          </cell>
          <cell r="F380">
            <v>-300</v>
          </cell>
          <cell r="G380">
            <v>0</v>
          </cell>
          <cell r="H380">
            <v>-300</v>
          </cell>
          <cell r="I380" t="str">
            <v>Mishraji</v>
          </cell>
        </row>
        <row r="381">
          <cell r="A381" t="str">
            <v>547046003.0205</v>
          </cell>
          <cell r="B381" t="str">
            <v>547046003</v>
          </cell>
          <cell r="C381" t="str">
            <v>Billing Basis Income</v>
          </cell>
          <cell r="D381" t="str">
            <v>0205</v>
          </cell>
          <cell r="E381" t="str">
            <v>PPD ACCRUAL PREV 31/07/9</v>
          </cell>
          <cell r="F381">
            <v>517</v>
          </cell>
          <cell r="G381">
            <v>0</v>
          </cell>
          <cell r="H381">
            <v>517</v>
          </cell>
          <cell r="I381" t="str">
            <v>Mishraji</v>
          </cell>
        </row>
        <row r="382">
          <cell r="A382" t="str">
            <v>547046003.0206</v>
          </cell>
          <cell r="B382" t="str">
            <v>547046003</v>
          </cell>
          <cell r="C382" t="str">
            <v>Billing Basis Income</v>
          </cell>
          <cell r="D382" t="str">
            <v>0206</v>
          </cell>
          <cell r="E382" t="str">
            <v>PPD ACCRUAL POST 31/07/9</v>
          </cell>
          <cell r="F382">
            <v>35182</v>
          </cell>
          <cell r="G382">
            <v>0</v>
          </cell>
          <cell r="H382">
            <v>35182</v>
          </cell>
          <cell r="I382" t="str">
            <v>Mishraji</v>
          </cell>
        </row>
        <row r="383">
          <cell r="A383" t="str">
            <v>547046003.0207</v>
          </cell>
          <cell r="B383" t="str">
            <v>547046003</v>
          </cell>
          <cell r="C383" t="str">
            <v>Billing Basis Income</v>
          </cell>
          <cell r="D383" t="str">
            <v>0207</v>
          </cell>
          <cell r="E383" t="str">
            <v>DEPRECIATION - LEASED P</v>
          </cell>
          <cell r="F383">
            <v>5159158.25</v>
          </cell>
          <cell r="G383">
            <v>994877.64</v>
          </cell>
          <cell r="H383">
            <v>6154035.8899999997</v>
          </cell>
          <cell r="I383" t="str">
            <v>Mishraji</v>
          </cell>
        </row>
        <row r="384">
          <cell r="A384" t="str">
            <v>547046003.0209</v>
          </cell>
          <cell r="B384" t="str">
            <v>547046003</v>
          </cell>
          <cell r="C384" t="str">
            <v>Billing Basis Income</v>
          </cell>
          <cell r="D384" t="str">
            <v>0209</v>
          </cell>
          <cell r="E384" t="str">
            <v>DEPRECIATION - LEASED F&amp;</v>
          </cell>
          <cell r="F384">
            <v>307962.37</v>
          </cell>
          <cell r="G384">
            <v>0</v>
          </cell>
          <cell r="H384">
            <v>307962.37</v>
          </cell>
          <cell r="I384" t="str">
            <v>Mishraji</v>
          </cell>
        </row>
        <row r="385">
          <cell r="A385" t="str">
            <v>547046003.0214</v>
          </cell>
          <cell r="B385" t="str">
            <v>547046003</v>
          </cell>
          <cell r="C385" t="str">
            <v>Billing Basis Income</v>
          </cell>
          <cell r="D385" t="str">
            <v>0214</v>
          </cell>
          <cell r="E385" t="str">
            <v>DEPRECIATION-LEASE P&amp;M 1</v>
          </cell>
          <cell r="F385">
            <v>696883.56</v>
          </cell>
          <cell r="G385">
            <v>136643.84</v>
          </cell>
          <cell r="H385">
            <v>833527.4</v>
          </cell>
          <cell r="I385" t="str">
            <v>Mishraji</v>
          </cell>
        </row>
        <row r="386">
          <cell r="A386" t="str">
            <v>547046003.0215</v>
          </cell>
          <cell r="B386" t="str">
            <v>547046003</v>
          </cell>
          <cell r="C386" t="str">
            <v>Billing Basis Income</v>
          </cell>
          <cell r="D386" t="str">
            <v>0215</v>
          </cell>
          <cell r="E386" t="str">
            <v>LEASE EQUILISATION -P&amp;M</v>
          </cell>
          <cell r="F386">
            <v>-4078729.37</v>
          </cell>
          <cell r="G386">
            <v>-771557.14</v>
          </cell>
          <cell r="H386">
            <v>-4850286.51</v>
          </cell>
          <cell r="I386" t="str">
            <v>Mishraji</v>
          </cell>
        </row>
        <row r="387">
          <cell r="A387" t="str">
            <v>547046003.0217</v>
          </cell>
          <cell r="B387" t="str">
            <v>547046003</v>
          </cell>
          <cell r="C387" t="str">
            <v>Billing Basis Income</v>
          </cell>
          <cell r="D387" t="str">
            <v>0217</v>
          </cell>
          <cell r="E387" t="str">
            <v>LEASE EQUILISATION -F &amp;</v>
          </cell>
          <cell r="F387">
            <v>2638335.9900000002</v>
          </cell>
          <cell r="G387">
            <v>0</v>
          </cell>
          <cell r="H387">
            <v>2638335.9900000002</v>
          </cell>
          <cell r="I387" t="str">
            <v>Mishraji</v>
          </cell>
        </row>
        <row r="388">
          <cell r="A388" t="str">
            <v>547046003.0222</v>
          </cell>
          <cell r="B388" t="str">
            <v>547046003</v>
          </cell>
          <cell r="C388" t="str">
            <v>Billing Basis Income</v>
          </cell>
          <cell r="D388" t="str">
            <v>0222</v>
          </cell>
          <cell r="E388" t="str">
            <v>LEASE EQUILISATION-P&amp;M 1</v>
          </cell>
          <cell r="F388">
            <v>-677456.71</v>
          </cell>
          <cell r="G388">
            <v>-132763.54999999999</v>
          </cell>
          <cell r="H388">
            <v>-810220.26</v>
          </cell>
          <cell r="I388" t="str">
            <v>Mishraji</v>
          </cell>
        </row>
        <row r="389">
          <cell r="A389" t="str">
            <v>547046003.0224</v>
          </cell>
          <cell r="B389" t="str">
            <v>547046003</v>
          </cell>
          <cell r="C389" t="str">
            <v>Billing Basis Income</v>
          </cell>
          <cell r="D389" t="str">
            <v>0224</v>
          </cell>
          <cell r="E389" t="str">
            <v>FINANCE CHARGES -H P -I</v>
          </cell>
          <cell r="F389">
            <v>-9035890.6400000006</v>
          </cell>
          <cell r="G389">
            <v>-1659002.74</v>
          </cell>
          <cell r="H389">
            <v>-10694893.380000001</v>
          </cell>
          <cell r="I389" t="str">
            <v>Mishraji</v>
          </cell>
        </row>
        <row r="390">
          <cell r="A390" t="str">
            <v>547046003.0226</v>
          </cell>
          <cell r="B390" t="str">
            <v>547046003</v>
          </cell>
          <cell r="C390" t="str">
            <v>Billing Basis Income</v>
          </cell>
          <cell r="D390" t="str">
            <v>0226</v>
          </cell>
          <cell r="E390" t="str">
            <v>COMMITMENT CHARGES RECEI</v>
          </cell>
          <cell r="F390">
            <v>-55300</v>
          </cell>
          <cell r="G390">
            <v>-131437</v>
          </cell>
          <cell r="H390">
            <v>-186737</v>
          </cell>
          <cell r="I390" t="str">
            <v>Mishraji</v>
          </cell>
        </row>
        <row r="391">
          <cell r="A391" t="str">
            <v>547046003.0227</v>
          </cell>
          <cell r="B391" t="str">
            <v>547046003</v>
          </cell>
          <cell r="C391" t="str">
            <v>Billing Basis Income</v>
          </cell>
          <cell r="D391" t="str">
            <v>0227</v>
          </cell>
          <cell r="E391" t="str">
            <v>INCOME FROM ABS -INGRES</v>
          </cell>
          <cell r="F391">
            <v>-286245.31</v>
          </cell>
          <cell r="G391">
            <v>-3514.86</v>
          </cell>
          <cell r="H391">
            <v>-289760.17</v>
          </cell>
          <cell r="I391" t="str">
            <v>Mishraji</v>
          </cell>
        </row>
        <row r="392">
          <cell r="A392" t="str">
            <v>547046003.0228</v>
          </cell>
          <cell r="B392" t="str">
            <v>547046003</v>
          </cell>
          <cell r="C392" t="str">
            <v>Billing Basis Income</v>
          </cell>
          <cell r="D392" t="str">
            <v>0228</v>
          </cell>
          <cell r="E392" t="str">
            <v>DEALER DISC. RECEIVED -I</v>
          </cell>
          <cell r="F392">
            <v>-4385123.57</v>
          </cell>
          <cell r="G392">
            <v>-835843.09</v>
          </cell>
          <cell r="H392">
            <v>-5220966.66</v>
          </cell>
          <cell r="I392" t="str">
            <v>Mishraji</v>
          </cell>
        </row>
        <row r="393">
          <cell r="A393" t="str">
            <v>547046003.0230</v>
          </cell>
          <cell r="B393" t="str">
            <v>547046003</v>
          </cell>
          <cell r="C393" t="str">
            <v>Billing Basis Income</v>
          </cell>
          <cell r="D393" t="str">
            <v>0230</v>
          </cell>
          <cell r="E393" t="str">
            <v>INCOME FROM SUB-LEASES -</v>
          </cell>
          <cell r="F393">
            <v>-182682</v>
          </cell>
          <cell r="G393">
            <v>182682</v>
          </cell>
          <cell r="H393">
            <v>0</v>
          </cell>
          <cell r="I393" t="str">
            <v>na</v>
          </cell>
        </row>
        <row r="394">
          <cell r="A394" t="str">
            <v>547046003.0231</v>
          </cell>
          <cell r="B394" t="str">
            <v>547046003</v>
          </cell>
          <cell r="C394" t="str">
            <v>Billing Basis Income</v>
          </cell>
          <cell r="D394" t="str">
            <v>0231</v>
          </cell>
          <cell r="E394" t="str">
            <v>LEASE RENTALS RECEIVED -</v>
          </cell>
          <cell r="F394">
            <v>-4823375.3899999997</v>
          </cell>
          <cell r="G394">
            <v>-113292.14</v>
          </cell>
          <cell r="H394">
            <v>-4936667.53</v>
          </cell>
          <cell r="I394" t="str">
            <v>Mishraji</v>
          </cell>
        </row>
        <row r="395">
          <cell r="A395" t="str">
            <v>547046003.0240</v>
          </cell>
          <cell r="B395" t="str">
            <v>547046003</v>
          </cell>
          <cell r="C395" t="str">
            <v>Billing Basis Income</v>
          </cell>
          <cell r="D395" t="str">
            <v>0240</v>
          </cell>
          <cell r="E395" t="str">
            <v>INCOME FROM L A/C -INGRE</v>
          </cell>
          <cell r="F395">
            <v>-12433562.35</v>
          </cell>
          <cell r="G395">
            <v>-2580745.9900000002</v>
          </cell>
          <cell r="H395">
            <v>-15014308.34</v>
          </cell>
          <cell r="I395" t="str">
            <v>Mishraji</v>
          </cell>
        </row>
        <row r="396">
          <cell r="A396" t="str">
            <v>551999001.0201</v>
          </cell>
          <cell r="B396" t="str">
            <v>551999001</v>
          </cell>
          <cell r="C396" t="str">
            <v>Regular Tax Rate</v>
          </cell>
          <cell r="D396" t="str">
            <v>0201</v>
          </cell>
          <cell r="E396" t="str">
            <v>ADDL. FIN. CHARGES-H.P.</v>
          </cell>
          <cell r="F396">
            <v>-3851332.28</v>
          </cell>
          <cell r="G396">
            <v>-652463.67000000004</v>
          </cell>
          <cell r="H396">
            <v>-4503795.95</v>
          </cell>
          <cell r="I396" t="str">
            <v>Mishraji</v>
          </cell>
        </row>
        <row r="397">
          <cell r="A397" t="str">
            <v>551999001.0202</v>
          </cell>
          <cell r="B397" t="str">
            <v>551999001</v>
          </cell>
          <cell r="C397" t="str">
            <v>Regular Tax Rate</v>
          </cell>
          <cell r="D397" t="str">
            <v>0202</v>
          </cell>
          <cell r="E397" t="str">
            <v>ADDITIONAL FINANCE CHGS-</v>
          </cell>
          <cell r="F397">
            <v>-2462386.19</v>
          </cell>
          <cell r="G397">
            <v>-674199.47</v>
          </cell>
          <cell r="H397">
            <v>-3136585.66</v>
          </cell>
          <cell r="I397" t="str">
            <v>Mishraji</v>
          </cell>
        </row>
        <row r="398">
          <cell r="A398" t="str">
            <v>551999001.0203</v>
          </cell>
          <cell r="B398" t="str">
            <v>551999001</v>
          </cell>
          <cell r="C398" t="str">
            <v>Regular Tax Rate</v>
          </cell>
          <cell r="D398" t="str">
            <v>0203</v>
          </cell>
          <cell r="E398" t="str">
            <v>AFC-GURANTEE -INGRES</v>
          </cell>
          <cell r="F398">
            <v>-32000</v>
          </cell>
          <cell r="G398">
            <v>0</v>
          </cell>
          <cell r="H398">
            <v>-32000</v>
          </cell>
          <cell r="I398" t="str">
            <v>Mishraji</v>
          </cell>
        </row>
        <row r="399">
          <cell r="A399" t="str">
            <v>551999001.0204</v>
          </cell>
          <cell r="B399" t="str">
            <v>551999001</v>
          </cell>
          <cell r="C399" t="str">
            <v>Regular Tax Rate</v>
          </cell>
          <cell r="D399" t="str">
            <v>0204</v>
          </cell>
          <cell r="E399" t="str">
            <v>IRR MAINTENANCE -INGRES</v>
          </cell>
          <cell r="F399">
            <v>-3692.29</v>
          </cell>
          <cell r="G399">
            <v>-770.4</v>
          </cell>
          <cell r="H399">
            <v>-4462.6899999999996</v>
          </cell>
          <cell r="I399" t="str">
            <v>Mishraji</v>
          </cell>
        </row>
        <row r="400">
          <cell r="A400" t="str">
            <v>551999001.0205</v>
          </cell>
          <cell r="B400" t="str">
            <v>551999001</v>
          </cell>
          <cell r="C400" t="str">
            <v>Regular Tax Rate</v>
          </cell>
          <cell r="D400" t="str">
            <v>0205</v>
          </cell>
          <cell r="E400" t="str">
            <v>ADDITIONAL FINANCE CHGS-</v>
          </cell>
          <cell r="F400">
            <v>-78391.33</v>
          </cell>
          <cell r="G400">
            <v>-171205</v>
          </cell>
          <cell r="H400">
            <v>-249596.33</v>
          </cell>
          <cell r="I400" t="str">
            <v>Mishraji</v>
          </cell>
        </row>
        <row r="401">
          <cell r="A401" t="str">
            <v>551999001.0206</v>
          </cell>
          <cell r="B401" t="str">
            <v>551999001</v>
          </cell>
          <cell r="C401" t="str">
            <v>Regular Tax Rate</v>
          </cell>
          <cell r="D401" t="str">
            <v>0206</v>
          </cell>
          <cell r="E401" t="str">
            <v>MISCELLANEOUS INCOME -IN</v>
          </cell>
          <cell r="F401">
            <v>-1974913.39</v>
          </cell>
          <cell r="G401">
            <v>-912314.99</v>
          </cell>
          <cell r="H401">
            <v>-2887228.38</v>
          </cell>
          <cell r="I401" t="str">
            <v>Mishraji</v>
          </cell>
        </row>
        <row r="402">
          <cell r="A402" t="str">
            <v>582001001.0001</v>
          </cell>
          <cell r="B402" t="str">
            <v>582001001</v>
          </cell>
          <cell r="C402" t="str">
            <v>INCOME ON MARKETABLE SECURITIES</v>
          </cell>
          <cell r="D402" t="str">
            <v>0001</v>
          </cell>
          <cell r="E402" t="str">
            <v>Interest On GOI Securiti</v>
          </cell>
          <cell r="F402">
            <v>-398020.41</v>
          </cell>
          <cell r="G402">
            <v>-43812.07</v>
          </cell>
          <cell r="H402">
            <v>-441832.48</v>
          </cell>
          <cell r="I402" t="str">
            <v>Mishraji</v>
          </cell>
        </row>
        <row r="403">
          <cell r="A403" t="str">
            <v>601313001.0000</v>
          </cell>
          <cell r="B403" t="str">
            <v>601313001</v>
          </cell>
          <cell r="C403" t="str">
            <v>Banks - Interest Paid</v>
          </cell>
          <cell r="D403" t="str">
            <v>0000</v>
          </cell>
          <cell r="E403" t="str">
            <v>None</v>
          </cell>
          <cell r="F403">
            <v>33250873.98</v>
          </cell>
          <cell r="G403">
            <v>5298820.63</v>
          </cell>
          <cell r="H403">
            <v>38549694.609999999</v>
          </cell>
          <cell r="I403" t="str">
            <v>Vivek</v>
          </cell>
        </row>
        <row r="404">
          <cell r="A404" t="str">
            <v>601313001.0001</v>
          </cell>
          <cell r="B404" t="str">
            <v>601313001</v>
          </cell>
          <cell r="C404" t="str">
            <v>Banks - Interest Paid</v>
          </cell>
          <cell r="D404" t="str">
            <v>0001</v>
          </cell>
          <cell r="E404" t="str">
            <v>Cash Credit</v>
          </cell>
          <cell r="F404">
            <v>417897.69</v>
          </cell>
          <cell r="G404">
            <v>154646.43</v>
          </cell>
          <cell r="H404">
            <v>572544.12</v>
          </cell>
          <cell r="I404" t="str">
            <v>Vivek</v>
          </cell>
        </row>
        <row r="405">
          <cell r="A405" t="str">
            <v>601313003.0001</v>
          </cell>
          <cell r="B405" t="str">
            <v>601313003</v>
          </cell>
          <cell r="C405" t="str">
            <v>Others Borrowings</v>
          </cell>
          <cell r="D405" t="str">
            <v>0001</v>
          </cell>
          <cell r="E405" t="str">
            <v>Interest on ICD's</v>
          </cell>
          <cell r="F405">
            <v>83666116</v>
          </cell>
          <cell r="G405">
            <v>17708733</v>
          </cell>
          <cell r="H405">
            <v>101374849</v>
          </cell>
          <cell r="I405" t="str">
            <v>Vivek</v>
          </cell>
        </row>
        <row r="406">
          <cell r="A406" t="str">
            <v>601999001.0001</v>
          </cell>
          <cell r="B406" t="str">
            <v>601999001</v>
          </cell>
          <cell r="C406" t="str">
            <v>Regular Tax Rate</v>
          </cell>
          <cell r="D406" t="str">
            <v>0001</v>
          </cell>
          <cell r="E406" t="str">
            <v>Interest on Fixed Deposits</v>
          </cell>
          <cell r="F406">
            <v>344858</v>
          </cell>
          <cell r="G406">
            <v>0</v>
          </cell>
          <cell r="H406">
            <v>344858</v>
          </cell>
          <cell r="I406" t="str">
            <v>na</v>
          </cell>
        </row>
        <row r="407">
          <cell r="A407" t="str">
            <v>601999001.0012</v>
          </cell>
          <cell r="B407" t="str">
            <v>601999001</v>
          </cell>
          <cell r="C407" t="str">
            <v>Regular Tax Rate</v>
          </cell>
          <cell r="D407" t="str">
            <v>0012</v>
          </cell>
          <cell r="E407" t="str">
            <v>Interest - Leased Vehicles</v>
          </cell>
          <cell r="F407">
            <v>67662.02</v>
          </cell>
          <cell r="G407">
            <v>10620.27</v>
          </cell>
          <cell r="H407">
            <v>78282.289999999994</v>
          </cell>
          <cell r="I407" t="str">
            <v>Vivek</v>
          </cell>
        </row>
        <row r="408">
          <cell r="A408" t="str">
            <v>605001001.0024</v>
          </cell>
          <cell r="B408" t="str">
            <v>605001001</v>
          </cell>
          <cell r="C408" t="str">
            <v>Interest Expense-Inter Company Loans</v>
          </cell>
          <cell r="D408" t="str">
            <v>0024</v>
          </cell>
          <cell r="E408" t="str">
            <v>Interest -GE Capital Services India</v>
          </cell>
          <cell r="F408">
            <v>6278710</v>
          </cell>
          <cell r="G408">
            <v>2958088</v>
          </cell>
          <cell r="H408">
            <v>9236798</v>
          </cell>
          <cell r="I408" t="str">
            <v>Vivek</v>
          </cell>
        </row>
        <row r="409">
          <cell r="A409" t="str">
            <v>780001001.0000</v>
          </cell>
          <cell r="B409" t="str">
            <v>780001001</v>
          </cell>
          <cell r="C409" t="str">
            <v>Current Year Provision</v>
          </cell>
          <cell r="D409" t="str">
            <v>0000</v>
          </cell>
          <cell r="E409" t="str">
            <v>None</v>
          </cell>
          <cell r="F409">
            <v>1562292.69</v>
          </cell>
          <cell r="G409">
            <v>651648.52</v>
          </cell>
          <cell r="H409">
            <v>2213941.21</v>
          </cell>
          <cell r="I409" t="str">
            <v>na</v>
          </cell>
        </row>
        <row r="410">
          <cell r="A410" t="str">
            <v>799001001.0000</v>
          </cell>
          <cell r="B410" t="str">
            <v>799001001</v>
          </cell>
          <cell r="C410" t="str">
            <v>Current Year Provisions</v>
          </cell>
          <cell r="D410" t="str">
            <v>0000</v>
          </cell>
          <cell r="E410" t="str">
            <v>None</v>
          </cell>
          <cell r="F410">
            <v>787868.02</v>
          </cell>
          <cell r="G410">
            <v>-521089.05</v>
          </cell>
          <cell r="H410">
            <v>266778.96999999997</v>
          </cell>
          <cell r="I410" t="str">
            <v>na</v>
          </cell>
        </row>
        <row r="411">
          <cell r="A411" t="str">
            <v>801001001.0001</v>
          </cell>
          <cell r="B411" t="str">
            <v>801001001</v>
          </cell>
          <cell r="C411" t="str">
            <v>Salaries and Wages</v>
          </cell>
          <cell r="D411" t="str">
            <v>0001</v>
          </cell>
          <cell r="E411" t="str">
            <v>Basic - Domestic</v>
          </cell>
          <cell r="F411">
            <v>4626134</v>
          </cell>
          <cell r="G411">
            <v>993204</v>
          </cell>
          <cell r="H411">
            <v>5619338</v>
          </cell>
          <cell r="I411" t="str">
            <v>na</v>
          </cell>
        </row>
        <row r="412">
          <cell r="A412" t="str">
            <v>801001001.0002</v>
          </cell>
          <cell r="B412" t="str">
            <v>801001001</v>
          </cell>
          <cell r="C412" t="str">
            <v>Salaries and Wages</v>
          </cell>
          <cell r="D412" t="str">
            <v>0002</v>
          </cell>
          <cell r="E412" t="str">
            <v>Rent Allowance - Domestic</v>
          </cell>
          <cell r="F412">
            <v>2032174</v>
          </cell>
          <cell r="G412">
            <v>416991</v>
          </cell>
          <cell r="H412">
            <v>2449165</v>
          </cell>
          <cell r="I412" t="str">
            <v>na</v>
          </cell>
        </row>
        <row r="413">
          <cell r="A413" t="str">
            <v>801001001.0005</v>
          </cell>
          <cell r="B413" t="str">
            <v>801001001</v>
          </cell>
          <cell r="C413" t="str">
            <v>Salaries and Wages</v>
          </cell>
          <cell r="D413" t="str">
            <v>0005</v>
          </cell>
          <cell r="E413" t="str">
            <v>Leased Accomodation</v>
          </cell>
          <cell r="F413">
            <v>529767</v>
          </cell>
          <cell r="G413">
            <v>131925</v>
          </cell>
          <cell r="H413">
            <v>661692</v>
          </cell>
          <cell r="I413" t="str">
            <v>na</v>
          </cell>
        </row>
        <row r="414">
          <cell r="A414" t="str">
            <v>801001001.0008</v>
          </cell>
          <cell r="B414" t="str">
            <v>801001001</v>
          </cell>
          <cell r="C414" t="str">
            <v>Salaries and Wages</v>
          </cell>
          <cell r="D414" t="str">
            <v>0008</v>
          </cell>
          <cell r="E414" t="str">
            <v>Special Allowances - Domestic</v>
          </cell>
          <cell r="F414">
            <v>1815014</v>
          </cell>
          <cell r="G414">
            <v>359377</v>
          </cell>
          <cell r="H414">
            <v>2174391</v>
          </cell>
          <cell r="I414" t="str">
            <v>na</v>
          </cell>
        </row>
        <row r="415">
          <cell r="A415" t="str">
            <v>801001001.0009</v>
          </cell>
          <cell r="B415" t="str">
            <v>801001001</v>
          </cell>
          <cell r="C415" t="str">
            <v>Salaries and Wages</v>
          </cell>
          <cell r="D415" t="str">
            <v>0009</v>
          </cell>
          <cell r="E415" t="str">
            <v>Conveyance Allowance -Domestic</v>
          </cell>
          <cell r="F415">
            <v>996404</v>
          </cell>
          <cell r="G415">
            <v>203045</v>
          </cell>
          <cell r="H415">
            <v>1199449</v>
          </cell>
          <cell r="I415" t="str">
            <v>na</v>
          </cell>
        </row>
        <row r="416">
          <cell r="A416" t="str">
            <v>801001001.0011</v>
          </cell>
          <cell r="B416" t="str">
            <v>801001001</v>
          </cell>
          <cell r="C416" t="str">
            <v>Salaries and Wages</v>
          </cell>
          <cell r="D416" t="str">
            <v>0011</v>
          </cell>
          <cell r="E416" t="str">
            <v>ADDITIONAL SPECIAL ALLOWance</v>
          </cell>
          <cell r="F416">
            <v>302897</v>
          </cell>
          <cell r="G416">
            <v>79527</v>
          </cell>
          <cell r="H416">
            <v>382424</v>
          </cell>
          <cell r="I416" t="str">
            <v>na</v>
          </cell>
        </row>
        <row r="417">
          <cell r="A417" t="str">
            <v>801001001.0012</v>
          </cell>
          <cell r="B417" t="str">
            <v>801001001</v>
          </cell>
          <cell r="C417" t="str">
            <v>Salaries and Wages</v>
          </cell>
          <cell r="D417" t="str">
            <v>0012</v>
          </cell>
          <cell r="E417" t="str">
            <v>Supplemantary Allowance</v>
          </cell>
          <cell r="F417">
            <v>140882</v>
          </cell>
          <cell r="G417">
            <v>54327</v>
          </cell>
          <cell r="H417">
            <v>195209</v>
          </cell>
          <cell r="I417" t="str">
            <v>na</v>
          </cell>
        </row>
        <row r="418">
          <cell r="A418" t="str">
            <v>801001001.0013</v>
          </cell>
          <cell r="B418" t="str">
            <v>801001001</v>
          </cell>
          <cell r="C418" t="str">
            <v>Salaries and Wages</v>
          </cell>
          <cell r="D418" t="str">
            <v>0013</v>
          </cell>
          <cell r="E418" t="str">
            <v>Additional Allowance</v>
          </cell>
          <cell r="F418">
            <v>628796</v>
          </cell>
          <cell r="G418">
            <v>126742</v>
          </cell>
          <cell r="H418">
            <v>755538</v>
          </cell>
          <cell r="I418" t="str">
            <v>na</v>
          </cell>
        </row>
        <row r="419">
          <cell r="A419" t="str">
            <v>801001001.0014</v>
          </cell>
          <cell r="B419" t="str">
            <v>801001001</v>
          </cell>
          <cell r="C419" t="str">
            <v>Salaries and Wages</v>
          </cell>
          <cell r="D419" t="str">
            <v>0014</v>
          </cell>
          <cell r="E419" t="str">
            <v>Leave Encashment</v>
          </cell>
          <cell r="F419">
            <v>322701.83</v>
          </cell>
          <cell r="G419">
            <v>36899.17</v>
          </cell>
          <cell r="H419">
            <v>359601</v>
          </cell>
          <cell r="I419" t="str">
            <v>na</v>
          </cell>
        </row>
        <row r="420">
          <cell r="A420" t="str">
            <v>801001001.0015</v>
          </cell>
          <cell r="B420" t="str">
            <v>801001001</v>
          </cell>
          <cell r="C420" t="str">
            <v>Salaries and Wages</v>
          </cell>
          <cell r="D420" t="str">
            <v>0015</v>
          </cell>
          <cell r="E420" t="str">
            <v>Loan Equalisation allowaance</v>
          </cell>
          <cell r="F420">
            <v>206308</v>
          </cell>
          <cell r="G420">
            <v>272740</v>
          </cell>
          <cell r="H420">
            <v>479048</v>
          </cell>
          <cell r="I420" t="str">
            <v>na</v>
          </cell>
        </row>
        <row r="421">
          <cell r="A421" t="str">
            <v>801001001.0016</v>
          </cell>
          <cell r="B421" t="str">
            <v>801001001</v>
          </cell>
          <cell r="C421" t="str">
            <v>Salaries and Wages</v>
          </cell>
          <cell r="D421" t="str">
            <v>0016</v>
          </cell>
          <cell r="E421" t="str">
            <v>Trainee Stipend</v>
          </cell>
          <cell r="F421">
            <v>33979</v>
          </cell>
          <cell r="G421">
            <v>5000</v>
          </cell>
          <cell r="H421">
            <v>38979</v>
          </cell>
          <cell r="I421" t="str">
            <v>na</v>
          </cell>
        </row>
        <row r="422">
          <cell r="A422" t="str">
            <v>801001001.0017</v>
          </cell>
          <cell r="B422" t="str">
            <v>801001001</v>
          </cell>
          <cell r="C422" t="str">
            <v>Salaries and Wages</v>
          </cell>
          <cell r="D422" t="str">
            <v>0017</v>
          </cell>
          <cell r="E422" t="str">
            <v>Other Earnings</v>
          </cell>
          <cell r="F422">
            <v>225892</v>
          </cell>
          <cell r="G422">
            <v>48877</v>
          </cell>
          <cell r="H422">
            <v>274769</v>
          </cell>
          <cell r="I422" t="str">
            <v>na</v>
          </cell>
        </row>
        <row r="423">
          <cell r="A423" t="str">
            <v>801001001.0024</v>
          </cell>
          <cell r="B423" t="str">
            <v>801001001</v>
          </cell>
          <cell r="C423" t="str">
            <v>Salaries and Wages</v>
          </cell>
          <cell r="D423" t="str">
            <v>0024</v>
          </cell>
          <cell r="E423" t="str">
            <v>GECSI- DEPUTED EMPLOYEES</v>
          </cell>
          <cell r="F423">
            <v>68800</v>
          </cell>
          <cell r="G423">
            <v>120000</v>
          </cell>
          <cell r="H423">
            <v>188800</v>
          </cell>
          <cell r="I423" t="str">
            <v>na</v>
          </cell>
        </row>
        <row r="424">
          <cell r="A424" t="str">
            <v>801001001.0099</v>
          </cell>
          <cell r="B424" t="str">
            <v>801001001</v>
          </cell>
          <cell r="C424" t="str">
            <v>Salaries and Wages</v>
          </cell>
          <cell r="D424" t="str">
            <v>0099</v>
          </cell>
          <cell r="E424" t="str">
            <v>Salary Allocations</v>
          </cell>
          <cell r="F424">
            <v>187829</v>
          </cell>
          <cell r="G424">
            <v>25691</v>
          </cell>
          <cell r="H424">
            <v>213520</v>
          </cell>
          <cell r="I424" t="str">
            <v>na</v>
          </cell>
        </row>
        <row r="425">
          <cell r="A425" t="str">
            <v>801001002.0001</v>
          </cell>
          <cell r="B425" t="str">
            <v>801001002</v>
          </cell>
          <cell r="C425" t="str">
            <v>Incentive Compensation</v>
          </cell>
          <cell r="D425" t="str">
            <v>0001</v>
          </cell>
          <cell r="E425" t="str">
            <v>Performance Bonus</v>
          </cell>
          <cell r="F425">
            <v>-144500</v>
          </cell>
          <cell r="G425">
            <v>625000</v>
          </cell>
          <cell r="H425">
            <v>480500</v>
          </cell>
          <cell r="I425" t="str">
            <v>na</v>
          </cell>
        </row>
        <row r="426">
          <cell r="A426" t="str">
            <v>801001002.0003</v>
          </cell>
          <cell r="B426" t="str">
            <v>801001002</v>
          </cell>
          <cell r="C426" t="str">
            <v>Incentive Compensation</v>
          </cell>
          <cell r="D426" t="str">
            <v>0003</v>
          </cell>
          <cell r="E426" t="str">
            <v>AWARD</v>
          </cell>
          <cell r="F426">
            <v>860250</v>
          </cell>
          <cell r="G426">
            <v>33707</v>
          </cell>
          <cell r="H426">
            <v>893957</v>
          </cell>
          <cell r="I426" t="str">
            <v>na</v>
          </cell>
        </row>
        <row r="427">
          <cell r="A427" t="str">
            <v>801002001.0001</v>
          </cell>
          <cell r="B427" t="str">
            <v>801002001</v>
          </cell>
          <cell r="C427" t="str">
            <v>Other Employee Compensation &amp; Benefits</v>
          </cell>
          <cell r="D427" t="str">
            <v>0001</v>
          </cell>
          <cell r="E427" t="str">
            <v>Contribution to Providend Fund</v>
          </cell>
          <cell r="F427">
            <v>531726</v>
          </cell>
          <cell r="G427">
            <v>119185</v>
          </cell>
          <cell r="H427">
            <v>650911</v>
          </cell>
          <cell r="I427" t="str">
            <v>na</v>
          </cell>
        </row>
        <row r="428">
          <cell r="A428" t="str">
            <v>801002001.0002</v>
          </cell>
          <cell r="B428" t="str">
            <v>801002001</v>
          </cell>
          <cell r="C428" t="str">
            <v>Other Employee Compensation &amp; Benefits</v>
          </cell>
          <cell r="D428" t="str">
            <v>0002</v>
          </cell>
          <cell r="E428" t="str">
            <v>Contribution to Super Annuation Fund</v>
          </cell>
          <cell r="F428">
            <v>355086</v>
          </cell>
          <cell r="G428">
            <v>64117</v>
          </cell>
          <cell r="H428">
            <v>419203</v>
          </cell>
          <cell r="I428" t="str">
            <v>na</v>
          </cell>
        </row>
        <row r="429">
          <cell r="A429" t="str">
            <v>801002001.0003</v>
          </cell>
          <cell r="B429" t="str">
            <v>801002001</v>
          </cell>
          <cell r="C429" t="str">
            <v>Other Employee Compensation &amp; Benefits</v>
          </cell>
          <cell r="D429" t="str">
            <v>0003</v>
          </cell>
          <cell r="E429" t="str">
            <v>Contribution to Gratuity Fund</v>
          </cell>
          <cell r="F429">
            <v>135616.75</v>
          </cell>
          <cell r="G429">
            <v>0</v>
          </cell>
          <cell r="H429">
            <v>135616.75</v>
          </cell>
          <cell r="I429" t="str">
            <v>na</v>
          </cell>
        </row>
        <row r="430">
          <cell r="A430" t="str">
            <v>801002001.0007</v>
          </cell>
          <cell r="B430" t="str">
            <v>801002001</v>
          </cell>
          <cell r="C430" t="str">
            <v>Other Employee Compensation &amp; Benefits</v>
          </cell>
          <cell r="D430" t="str">
            <v>0007</v>
          </cell>
          <cell r="E430" t="str">
            <v>P.F. Administration Charges</v>
          </cell>
          <cell r="F430">
            <v>16734</v>
          </cell>
          <cell r="G430">
            <v>3567</v>
          </cell>
          <cell r="H430">
            <v>20301</v>
          </cell>
          <cell r="I430" t="str">
            <v>na</v>
          </cell>
        </row>
        <row r="431">
          <cell r="A431" t="str">
            <v>801002001.0008</v>
          </cell>
          <cell r="B431" t="str">
            <v>801002001</v>
          </cell>
          <cell r="C431" t="str">
            <v>Other Employee Compensation &amp; Benefits</v>
          </cell>
          <cell r="D431" t="str">
            <v>0008</v>
          </cell>
          <cell r="E431" t="str">
            <v>Contribution to Employee Welfare Fund</v>
          </cell>
          <cell r="F431">
            <v>156</v>
          </cell>
          <cell r="G431">
            <v>40</v>
          </cell>
          <cell r="H431">
            <v>196</v>
          </cell>
          <cell r="I431" t="str">
            <v>na</v>
          </cell>
        </row>
        <row r="432">
          <cell r="A432" t="str">
            <v>801003001.0001</v>
          </cell>
          <cell r="B432" t="str">
            <v>801003001</v>
          </cell>
          <cell r="C432" t="str">
            <v>Other Employee Costs</v>
          </cell>
          <cell r="D432" t="str">
            <v>0001</v>
          </cell>
          <cell r="E432" t="str">
            <v>Medical Expenses</v>
          </cell>
          <cell r="F432">
            <v>394752</v>
          </cell>
          <cell r="G432">
            <v>68620</v>
          </cell>
          <cell r="H432">
            <v>463372</v>
          </cell>
          <cell r="I432" t="str">
            <v>na</v>
          </cell>
        </row>
        <row r="433">
          <cell r="A433" t="str">
            <v>801003001.0002</v>
          </cell>
          <cell r="B433" t="str">
            <v>801003001</v>
          </cell>
          <cell r="C433" t="str">
            <v>Other Employee Costs</v>
          </cell>
          <cell r="D433" t="str">
            <v>0002</v>
          </cell>
          <cell r="E433" t="str">
            <v>Local Conveyance</v>
          </cell>
          <cell r="F433">
            <v>988921</v>
          </cell>
          <cell r="G433">
            <v>138305</v>
          </cell>
          <cell r="H433">
            <v>1127226</v>
          </cell>
          <cell r="I433" t="str">
            <v>na</v>
          </cell>
        </row>
        <row r="434">
          <cell r="A434" t="str">
            <v>801003001.0008</v>
          </cell>
          <cell r="B434" t="str">
            <v>801003001</v>
          </cell>
          <cell r="C434" t="str">
            <v>Other Employee Costs</v>
          </cell>
          <cell r="D434" t="str">
            <v>0008</v>
          </cell>
          <cell r="E434" t="str">
            <v>Leased Vehicle Expenses - Lease Rentals</v>
          </cell>
          <cell r="F434">
            <v>65139</v>
          </cell>
          <cell r="G434">
            <v>13106</v>
          </cell>
          <cell r="H434">
            <v>78245</v>
          </cell>
          <cell r="I434" t="str">
            <v>na</v>
          </cell>
        </row>
        <row r="435">
          <cell r="A435" t="str">
            <v>801003001.0009</v>
          </cell>
          <cell r="B435" t="str">
            <v>801003001</v>
          </cell>
          <cell r="C435" t="str">
            <v>Other Employee Costs</v>
          </cell>
          <cell r="D435" t="str">
            <v>0009</v>
          </cell>
          <cell r="E435" t="str">
            <v>Leased Vehicle Expenses -Petrol Expenses</v>
          </cell>
          <cell r="F435">
            <v>142929</v>
          </cell>
          <cell r="G435">
            <v>66303</v>
          </cell>
          <cell r="H435">
            <v>209232</v>
          </cell>
          <cell r="I435" t="str">
            <v>na</v>
          </cell>
        </row>
        <row r="436">
          <cell r="A436" t="str">
            <v>801003001.0010</v>
          </cell>
          <cell r="B436" t="str">
            <v>801003001</v>
          </cell>
          <cell r="C436" t="str">
            <v>Other Employee Costs</v>
          </cell>
          <cell r="D436" t="str">
            <v>0010</v>
          </cell>
          <cell r="E436" t="str">
            <v>Leased Vehicle Expenses - Repair &amp; Maintenance</v>
          </cell>
          <cell r="F436">
            <v>7311</v>
          </cell>
          <cell r="G436">
            <v>2411</v>
          </cell>
          <cell r="H436">
            <v>9722</v>
          </cell>
          <cell r="I436" t="str">
            <v>na</v>
          </cell>
        </row>
        <row r="437">
          <cell r="A437" t="str">
            <v>801003001.0022</v>
          </cell>
          <cell r="B437" t="str">
            <v>801003001</v>
          </cell>
          <cell r="C437" t="str">
            <v>Other Employee Costs</v>
          </cell>
          <cell r="D437" t="str">
            <v>0022</v>
          </cell>
          <cell r="E437" t="str">
            <v>Transportation - General Request - Sumo's</v>
          </cell>
          <cell r="F437">
            <v>373953</v>
          </cell>
          <cell r="G437">
            <v>10112</v>
          </cell>
          <cell r="H437">
            <v>384065</v>
          </cell>
          <cell r="I437" t="str">
            <v>na</v>
          </cell>
        </row>
        <row r="438">
          <cell r="A438" t="str">
            <v>801003001.0031</v>
          </cell>
          <cell r="B438" t="str">
            <v>801003001</v>
          </cell>
          <cell r="C438" t="str">
            <v>Other Employee Costs</v>
          </cell>
          <cell r="D438" t="str">
            <v>0031</v>
          </cell>
          <cell r="E438" t="str">
            <v>Staff Welfare -Meal  Expenses</v>
          </cell>
          <cell r="F438">
            <v>385675</v>
          </cell>
          <cell r="G438">
            <v>78707</v>
          </cell>
          <cell r="H438">
            <v>464382</v>
          </cell>
          <cell r="I438" t="str">
            <v>na</v>
          </cell>
        </row>
        <row r="439">
          <cell r="A439" t="str">
            <v>801003001.0032</v>
          </cell>
          <cell r="B439" t="str">
            <v>801003001</v>
          </cell>
          <cell r="C439" t="str">
            <v>Other Employee Costs</v>
          </cell>
          <cell r="D439" t="str">
            <v>0032</v>
          </cell>
          <cell r="E439" t="str">
            <v>Staff Welfare Pantry Expenses -Tea Coffee , Biscuits</v>
          </cell>
          <cell r="F439">
            <v>75218.600000000006</v>
          </cell>
          <cell r="G439">
            <v>19697</v>
          </cell>
          <cell r="H439">
            <v>94915.6</v>
          </cell>
          <cell r="I439" t="str">
            <v>na</v>
          </cell>
        </row>
        <row r="440">
          <cell r="A440" t="str">
            <v>801003001.0033</v>
          </cell>
          <cell r="B440" t="str">
            <v>801003001</v>
          </cell>
          <cell r="C440" t="str">
            <v>Other Employee Costs</v>
          </cell>
          <cell r="D440" t="str">
            <v>0033</v>
          </cell>
          <cell r="E440" t="str">
            <v>Departmental Staff Welfare</v>
          </cell>
          <cell r="F440">
            <v>27111</v>
          </cell>
          <cell r="G440">
            <v>0</v>
          </cell>
          <cell r="H440">
            <v>27111</v>
          </cell>
          <cell r="I440" t="str">
            <v>na</v>
          </cell>
        </row>
        <row r="441">
          <cell r="A441" t="str">
            <v>801003001.0034</v>
          </cell>
          <cell r="B441" t="str">
            <v>801003001</v>
          </cell>
          <cell r="C441" t="str">
            <v>Other Employee Costs</v>
          </cell>
          <cell r="D441" t="str">
            <v>0034</v>
          </cell>
          <cell r="E441" t="str">
            <v>Staff Welfare -Others</v>
          </cell>
          <cell r="F441">
            <v>11142</v>
          </cell>
          <cell r="G441">
            <v>0</v>
          </cell>
          <cell r="H441">
            <v>11142</v>
          </cell>
          <cell r="I441" t="str">
            <v>na</v>
          </cell>
        </row>
        <row r="442">
          <cell r="A442" t="str">
            <v>801003001.0081</v>
          </cell>
          <cell r="B442" t="str">
            <v>801003001</v>
          </cell>
          <cell r="C442" t="str">
            <v>Other Employee Costs</v>
          </cell>
          <cell r="D442" t="str">
            <v>0081</v>
          </cell>
          <cell r="E442" t="str">
            <v>Training and Education</v>
          </cell>
          <cell r="F442">
            <v>161620</v>
          </cell>
          <cell r="G442">
            <v>2295</v>
          </cell>
          <cell r="H442">
            <v>163915</v>
          </cell>
          <cell r="I442" t="str">
            <v>na</v>
          </cell>
        </row>
        <row r="443">
          <cell r="A443" t="str">
            <v>801020001.0011</v>
          </cell>
          <cell r="B443" t="str">
            <v>801020001</v>
          </cell>
          <cell r="C443" t="str">
            <v>Postage</v>
          </cell>
          <cell r="D443" t="str">
            <v>0011</v>
          </cell>
          <cell r="E443" t="str">
            <v>Postage Charges</v>
          </cell>
          <cell r="F443">
            <v>21057</v>
          </cell>
          <cell r="G443">
            <v>660</v>
          </cell>
          <cell r="H443">
            <v>21717</v>
          </cell>
          <cell r="I443" t="str">
            <v>na</v>
          </cell>
        </row>
        <row r="444">
          <cell r="A444" t="str">
            <v>801020001.0021</v>
          </cell>
          <cell r="B444" t="str">
            <v>801020001</v>
          </cell>
          <cell r="C444" t="str">
            <v>Postage</v>
          </cell>
          <cell r="D444" t="str">
            <v>0021</v>
          </cell>
          <cell r="E444" t="str">
            <v>Local Courier charges</v>
          </cell>
          <cell r="F444">
            <v>201101</v>
          </cell>
          <cell r="G444">
            <v>116066</v>
          </cell>
          <cell r="H444">
            <v>317167</v>
          </cell>
          <cell r="I444" t="str">
            <v>na</v>
          </cell>
        </row>
        <row r="445">
          <cell r="A445" t="str">
            <v>801040001.0001</v>
          </cell>
          <cell r="B445" t="str">
            <v>801040001</v>
          </cell>
          <cell r="C445" t="str">
            <v>Stationery &amp; Office Supplies</v>
          </cell>
          <cell r="D445" t="str">
            <v>0001</v>
          </cell>
          <cell r="E445" t="str">
            <v>Office Supplies</v>
          </cell>
          <cell r="F445">
            <v>426414</v>
          </cell>
          <cell r="G445">
            <v>148760</v>
          </cell>
          <cell r="H445">
            <v>575174</v>
          </cell>
          <cell r="I445" t="str">
            <v>na</v>
          </cell>
        </row>
        <row r="446">
          <cell r="A446" t="str">
            <v>801040001.0005</v>
          </cell>
          <cell r="B446" t="str">
            <v>801040001</v>
          </cell>
          <cell r="C446" t="str">
            <v>Stationery &amp; Office Supplies</v>
          </cell>
          <cell r="D446" t="str">
            <v>0005</v>
          </cell>
          <cell r="E446" t="str">
            <v>Photocopier expenses</v>
          </cell>
          <cell r="F446">
            <v>58828</v>
          </cell>
          <cell r="G446">
            <v>12890</v>
          </cell>
          <cell r="H446">
            <v>71718</v>
          </cell>
          <cell r="I446" t="str">
            <v>na</v>
          </cell>
        </row>
        <row r="447">
          <cell r="A447" t="str">
            <v>801040001.0011</v>
          </cell>
          <cell r="B447" t="str">
            <v>801040001</v>
          </cell>
          <cell r="C447" t="str">
            <v>Stationery &amp; Office Supplies</v>
          </cell>
          <cell r="D447" t="str">
            <v>0011</v>
          </cell>
          <cell r="E447" t="str">
            <v>Printing Charges</v>
          </cell>
          <cell r="F447">
            <v>15510</v>
          </cell>
          <cell r="G447">
            <v>0</v>
          </cell>
          <cell r="H447">
            <v>15510</v>
          </cell>
          <cell r="I447" t="str">
            <v>na</v>
          </cell>
        </row>
        <row r="448">
          <cell r="A448" t="str">
            <v>801050001.0001</v>
          </cell>
          <cell r="B448" t="str">
            <v>801050001</v>
          </cell>
          <cell r="C448" t="str">
            <v>Subscriptions</v>
          </cell>
          <cell r="D448" t="str">
            <v>0001</v>
          </cell>
          <cell r="E448" t="str">
            <v>Subscriptions-Membership Fees</v>
          </cell>
          <cell r="F448">
            <v>92921</v>
          </cell>
          <cell r="G448">
            <v>14875.5</v>
          </cell>
          <cell r="H448">
            <v>107796.5</v>
          </cell>
          <cell r="I448" t="str">
            <v>na</v>
          </cell>
        </row>
        <row r="449">
          <cell r="A449" t="str">
            <v>801060001.0000</v>
          </cell>
          <cell r="B449" t="str">
            <v>801060001</v>
          </cell>
          <cell r="C449" t="str">
            <v>Telephone &amp; Telegraph Expenses</v>
          </cell>
          <cell r="D449" t="str">
            <v>0000</v>
          </cell>
          <cell r="E449" t="str">
            <v>None</v>
          </cell>
          <cell r="F449">
            <v>4259</v>
          </cell>
          <cell r="G449">
            <v>0</v>
          </cell>
          <cell r="H449">
            <v>4259</v>
          </cell>
          <cell r="I449" t="str">
            <v>na</v>
          </cell>
        </row>
        <row r="450">
          <cell r="A450" t="str">
            <v>801060001.0001</v>
          </cell>
          <cell r="B450" t="str">
            <v>801060001</v>
          </cell>
          <cell r="C450" t="str">
            <v>Telephone &amp; Telegraph Expenses</v>
          </cell>
          <cell r="D450" t="str">
            <v>0001</v>
          </cell>
          <cell r="E450" t="str">
            <v>Office Telephone</v>
          </cell>
          <cell r="F450">
            <v>521768.85</v>
          </cell>
          <cell r="G450">
            <v>391358</v>
          </cell>
          <cell r="H450">
            <v>913126.85</v>
          </cell>
          <cell r="I450" t="str">
            <v>na</v>
          </cell>
        </row>
        <row r="451">
          <cell r="A451" t="str">
            <v>801060001.0002</v>
          </cell>
          <cell r="B451" t="str">
            <v>801060001</v>
          </cell>
          <cell r="C451" t="str">
            <v>Telephone &amp; Telegraph Expenses</v>
          </cell>
          <cell r="D451" t="str">
            <v>0002</v>
          </cell>
          <cell r="E451" t="str">
            <v>Residence Telephone</v>
          </cell>
          <cell r="F451">
            <v>6680</v>
          </cell>
          <cell r="G451">
            <v>538</v>
          </cell>
          <cell r="H451">
            <v>7218</v>
          </cell>
          <cell r="I451" t="str">
            <v>na</v>
          </cell>
        </row>
        <row r="452">
          <cell r="A452" t="str">
            <v>801060001.0003</v>
          </cell>
          <cell r="B452" t="str">
            <v>801060001</v>
          </cell>
          <cell r="C452" t="str">
            <v>Telephone &amp; Telegraph Expenses</v>
          </cell>
          <cell r="D452" t="str">
            <v>0003</v>
          </cell>
          <cell r="E452" t="str">
            <v>Cell Phone Charges</v>
          </cell>
          <cell r="F452">
            <v>386977.66</v>
          </cell>
          <cell r="G452">
            <v>36669</v>
          </cell>
          <cell r="H452">
            <v>423646.66</v>
          </cell>
          <cell r="I452" t="str">
            <v>na</v>
          </cell>
        </row>
        <row r="453">
          <cell r="A453" t="str">
            <v>801060001.0004</v>
          </cell>
          <cell r="B453" t="str">
            <v>801060001</v>
          </cell>
          <cell r="C453" t="str">
            <v>Telephone &amp; Telegraph Expenses</v>
          </cell>
          <cell r="D453" t="str">
            <v>0004</v>
          </cell>
          <cell r="E453" t="str">
            <v>Fax Charges</v>
          </cell>
          <cell r="F453">
            <v>26273.85</v>
          </cell>
          <cell r="G453">
            <v>5484</v>
          </cell>
          <cell r="H453">
            <v>31757.85</v>
          </cell>
          <cell r="I453" t="str">
            <v>na</v>
          </cell>
        </row>
        <row r="454">
          <cell r="A454" t="str">
            <v>801060001.0006</v>
          </cell>
          <cell r="B454" t="str">
            <v>801060001</v>
          </cell>
          <cell r="C454" t="str">
            <v>Telephone &amp; Telegraph Expenses</v>
          </cell>
          <cell r="D454" t="str">
            <v>0006</v>
          </cell>
          <cell r="E454" t="str">
            <v>MS Exchange</v>
          </cell>
          <cell r="F454">
            <v>243781</v>
          </cell>
          <cell r="G454">
            <v>60552</v>
          </cell>
          <cell r="H454">
            <v>304333</v>
          </cell>
          <cell r="I454" t="str">
            <v>na</v>
          </cell>
        </row>
        <row r="455">
          <cell r="A455" t="str">
            <v>801060001.0013</v>
          </cell>
          <cell r="B455" t="str">
            <v>801060001</v>
          </cell>
          <cell r="C455" t="str">
            <v>Telephone &amp; Telegraph Expenses</v>
          </cell>
          <cell r="D455" t="str">
            <v>0013</v>
          </cell>
          <cell r="E455" t="str">
            <v>Dial up Internet / Email</v>
          </cell>
          <cell r="F455">
            <v>15118.85</v>
          </cell>
          <cell r="G455">
            <v>19098</v>
          </cell>
          <cell r="H455">
            <v>34216.85</v>
          </cell>
          <cell r="I455" t="str">
            <v>na</v>
          </cell>
        </row>
        <row r="456">
          <cell r="A456" t="str">
            <v>801080002.2131</v>
          </cell>
          <cell r="B456" t="str">
            <v>801080002</v>
          </cell>
          <cell r="C456" t="str">
            <v>Travel &amp; Living Expenses - Non - Tax Deductible</v>
          </cell>
          <cell r="D456" t="str">
            <v>2131</v>
          </cell>
          <cell r="E456" t="str">
            <v>T &amp; L - Domestic - Others - Non - Recoverable  - Fare</v>
          </cell>
          <cell r="F456">
            <v>1262545</v>
          </cell>
          <cell r="G456">
            <v>338910</v>
          </cell>
          <cell r="H456">
            <v>1601455</v>
          </cell>
          <cell r="I456" t="str">
            <v>na</v>
          </cell>
        </row>
        <row r="457">
          <cell r="A457" t="str">
            <v>801080002.2132</v>
          </cell>
          <cell r="B457" t="str">
            <v>801080002</v>
          </cell>
          <cell r="C457" t="str">
            <v>Travel &amp; Living Expenses - Non - Tax Deductible</v>
          </cell>
          <cell r="D457" t="str">
            <v>2132</v>
          </cell>
          <cell r="E457" t="str">
            <v>T &amp; L - Domestic - Others - Non - Recoverable  - Daily Allowance</v>
          </cell>
          <cell r="F457">
            <v>413811</v>
          </cell>
          <cell r="G457">
            <v>49190</v>
          </cell>
          <cell r="H457">
            <v>463001</v>
          </cell>
          <cell r="I457" t="str">
            <v>na</v>
          </cell>
        </row>
        <row r="458">
          <cell r="A458" t="str">
            <v>801080002.2133</v>
          </cell>
          <cell r="B458" t="str">
            <v>801080002</v>
          </cell>
          <cell r="C458" t="str">
            <v>Travel &amp; Living Expenses - Non - Tax Deductible</v>
          </cell>
          <cell r="D458" t="str">
            <v>2133</v>
          </cell>
          <cell r="E458" t="str">
            <v>T &amp; L - Domestic - Others - Non - Recoverable  - Conveyance</v>
          </cell>
          <cell r="F458">
            <v>544248</v>
          </cell>
          <cell r="G458">
            <v>88460</v>
          </cell>
          <cell r="H458">
            <v>632708</v>
          </cell>
          <cell r="I458" t="str">
            <v>na</v>
          </cell>
        </row>
        <row r="459">
          <cell r="A459" t="str">
            <v>801080002.2134</v>
          </cell>
          <cell r="B459" t="str">
            <v>801080002</v>
          </cell>
          <cell r="C459" t="str">
            <v>Travel &amp; Living Expenses - Non - Tax Deductible</v>
          </cell>
          <cell r="D459" t="str">
            <v>2134</v>
          </cell>
          <cell r="E459" t="str">
            <v>T &amp; L - Domestic - Others - Non - Recoverable  - Vehicle Hire</v>
          </cell>
          <cell r="F459">
            <v>-55352</v>
          </cell>
          <cell r="G459">
            <v>100000</v>
          </cell>
          <cell r="H459">
            <v>44648</v>
          </cell>
          <cell r="I459" t="str">
            <v>na</v>
          </cell>
        </row>
        <row r="460">
          <cell r="A460" t="str">
            <v>801080010.0002</v>
          </cell>
          <cell r="B460" t="str">
            <v>801080010</v>
          </cell>
          <cell r="C460" t="str">
            <v>Transfer and Living Expenses</v>
          </cell>
          <cell r="D460" t="str">
            <v>0002</v>
          </cell>
          <cell r="E460" t="str">
            <v>Guest House Charges</v>
          </cell>
          <cell r="F460">
            <v>36686</v>
          </cell>
          <cell r="G460">
            <v>0</v>
          </cell>
          <cell r="H460">
            <v>36686</v>
          </cell>
          <cell r="I460" t="str">
            <v>na</v>
          </cell>
        </row>
        <row r="461">
          <cell r="A461" t="str">
            <v>801080010.0003</v>
          </cell>
          <cell r="B461" t="str">
            <v>801080010</v>
          </cell>
          <cell r="C461" t="str">
            <v>Transfer and Living Expenses</v>
          </cell>
          <cell r="D461" t="str">
            <v>0003</v>
          </cell>
          <cell r="E461" t="str">
            <v>Packing Charges</v>
          </cell>
          <cell r="F461">
            <v>154471</v>
          </cell>
          <cell r="G461">
            <v>52830</v>
          </cell>
          <cell r="H461">
            <v>207301</v>
          </cell>
          <cell r="I461" t="str">
            <v>na</v>
          </cell>
        </row>
        <row r="462">
          <cell r="A462" t="str">
            <v>801080010.0004</v>
          </cell>
          <cell r="B462" t="str">
            <v>801080010</v>
          </cell>
          <cell r="C462" t="str">
            <v>Transfer and Living Expenses</v>
          </cell>
          <cell r="D462" t="str">
            <v>0004</v>
          </cell>
          <cell r="E462" t="str">
            <v>Travel Charges</v>
          </cell>
          <cell r="F462">
            <v>226699</v>
          </cell>
          <cell r="G462">
            <v>17058</v>
          </cell>
          <cell r="H462">
            <v>243757</v>
          </cell>
          <cell r="I462" t="str">
            <v>na</v>
          </cell>
        </row>
        <row r="463">
          <cell r="A463" t="str">
            <v>801080021.0002</v>
          </cell>
          <cell r="B463" t="str">
            <v>801080021</v>
          </cell>
          <cell r="C463" t="str">
            <v>Management Meeting Expenses - Non- Tax Deductible</v>
          </cell>
          <cell r="D463" t="str">
            <v>0002</v>
          </cell>
          <cell r="E463" t="str">
            <v>Annual Day / Anuual Events / Reunion</v>
          </cell>
          <cell r="F463">
            <v>51300</v>
          </cell>
          <cell r="G463">
            <v>70890</v>
          </cell>
          <cell r="H463">
            <v>122190</v>
          </cell>
          <cell r="I463" t="str">
            <v>na</v>
          </cell>
        </row>
        <row r="464">
          <cell r="A464" t="str">
            <v>801080021.0007</v>
          </cell>
          <cell r="B464" t="str">
            <v>801080021</v>
          </cell>
          <cell r="C464" t="str">
            <v>Management Meeting Expenses - Non- Tax Deductible</v>
          </cell>
          <cell r="D464" t="str">
            <v>0007</v>
          </cell>
          <cell r="E464" t="str">
            <v>Business Meetings</v>
          </cell>
          <cell r="F464">
            <v>-600000</v>
          </cell>
          <cell r="G464">
            <v>0</v>
          </cell>
          <cell r="H464">
            <v>-600000</v>
          </cell>
          <cell r="I464" t="str">
            <v>na</v>
          </cell>
        </row>
        <row r="465">
          <cell r="A465" t="str">
            <v>801095001.0000</v>
          </cell>
          <cell r="B465" t="str">
            <v>801095001</v>
          </cell>
          <cell r="C465" t="str">
            <v>Rental Expenses - Bld &amp; facilities</v>
          </cell>
          <cell r="D465" t="str">
            <v>0000</v>
          </cell>
          <cell r="E465" t="str">
            <v>None</v>
          </cell>
          <cell r="F465">
            <v>300000</v>
          </cell>
          <cell r="G465">
            <v>0</v>
          </cell>
          <cell r="H465">
            <v>300000</v>
          </cell>
          <cell r="I465" t="str">
            <v>na</v>
          </cell>
        </row>
        <row r="466">
          <cell r="A466" t="str">
            <v>801095001.0001</v>
          </cell>
          <cell r="B466" t="str">
            <v>801095001</v>
          </cell>
          <cell r="C466" t="str">
            <v>Rental Expenses - Bld &amp; facilities</v>
          </cell>
          <cell r="D466" t="str">
            <v>0001</v>
          </cell>
          <cell r="E466" t="str">
            <v>Office</v>
          </cell>
          <cell r="F466">
            <v>1603186</v>
          </cell>
          <cell r="G466">
            <v>577385</v>
          </cell>
          <cell r="H466">
            <v>2180571</v>
          </cell>
          <cell r="I466" t="str">
            <v>na</v>
          </cell>
        </row>
        <row r="467">
          <cell r="A467" t="str">
            <v>801095001.0002</v>
          </cell>
          <cell r="B467" t="str">
            <v>801095001</v>
          </cell>
          <cell r="C467" t="str">
            <v>Rental Expenses - Bld &amp; facilities</v>
          </cell>
          <cell r="D467" t="str">
            <v>0002</v>
          </cell>
          <cell r="E467" t="str">
            <v>Godown</v>
          </cell>
          <cell r="F467">
            <v>320190</v>
          </cell>
          <cell r="G467">
            <v>97484</v>
          </cell>
          <cell r="H467">
            <v>417674</v>
          </cell>
          <cell r="I467" t="str">
            <v>na</v>
          </cell>
        </row>
        <row r="468">
          <cell r="A468" t="str">
            <v>801095002.0001</v>
          </cell>
          <cell r="B468" t="str">
            <v>801095002</v>
          </cell>
          <cell r="C468" t="str">
            <v>Rental Expenses - Furniture &amp; Equipment</v>
          </cell>
          <cell r="D468" t="str">
            <v>0001</v>
          </cell>
          <cell r="E468" t="str">
            <v>Furniture &amp; Fixtures - Office</v>
          </cell>
          <cell r="F468">
            <v>17632</v>
          </cell>
          <cell r="G468">
            <v>6960</v>
          </cell>
          <cell r="H468">
            <v>24592</v>
          </cell>
          <cell r="I468" t="str">
            <v>na</v>
          </cell>
        </row>
        <row r="469">
          <cell r="A469" t="str">
            <v>801095002.0004</v>
          </cell>
          <cell r="B469" t="str">
            <v>801095002</v>
          </cell>
          <cell r="C469" t="str">
            <v>Rental Expenses - Furniture &amp; Equipment</v>
          </cell>
          <cell r="D469" t="str">
            <v>0004</v>
          </cell>
          <cell r="E469" t="str">
            <v>Custodian Charges</v>
          </cell>
          <cell r="F469">
            <v>15100</v>
          </cell>
          <cell r="G469">
            <v>9500</v>
          </cell>
          <cell r="H469">
            <v>24600</v>
          </cell>
          <cell r="I469" t="str">
            <v>na</v>
          </cell>
        </row>
        <row r="470">
          <cell r="A470" t="str">
            <v>801095003.0001</v>
          </cell>
          <cell r="B470" t="str">
            <v>801095003</v>
          </cell>
          <cell r="C470" t="str">
            <v>Rental Expense-Computer Equipments</v>
          </cell>
          <cell r="D470" t="str">
            <v>0001</v>
          </cell>
          <cell r="E470" t="str">
            <v>Computers</v>
          </cell>
          <cell r="F470">
            <v>264278.84999999998</v>
          </cell>
          <cell r="G470">
            <v>25245</v>
          </cell>
          <cell r="H470">
            <v>289523.84999999998</v>
          </cell>
          <cell r="I470" t="str">
            <v>na</v>
          </cell>
        </row>
        <row r="471">
          <cell r="A471" t="str">
            <v>801100001.0001</v>
          </cell>
          <cell r="B471" t="str">
            <v>801100001</v>
          </cell>
          <cell r="C471" t="str">
            <v>Other Facilities Expense- Utilies , Maintaiance, Security etc.,.</v>
          </cell>
          <cell r="D471" t="str">
            <v>0001</v>
          </cell>
          <cell r="E471" t="str">
            <v>Security Services</v>
          </cell>
          <cell r="F471">
            <v>172235</v>
          </cell>
          <cell r="G471">
            <v>30306</v>
          </cell>
          <cell r="H471">
            <v>202541</v>
          </cell>
          <cell r="I471" t="str">
            <v>na</v>
          </cell>
        </row>
        <row r="472">
          <cell r="A472" t="str">
            <v>801100001.0002</v>
          </cell>
          <cell r="B472" t="str">
            <v>801100001</v>
          </cell>
          <cell r="C472" t="str">
            <v>Other Facilities Expense- Utilies , Maintaiance, Security etc.,.</v>
          </cell>
          <cell r="D472" t="str">
            <v>0002</v>
          </cell>
          <cell r="E472" t="str">
            <v>Housekeeping expenses</v>
          </cell>
          <cell r="F472">
            <v>30411</v>
          </cell>
          <cell r="G472">
            <v>10005</v>
          </cell>
          <cell r="H472">
            <v>40416</v>
          </cell>
          <cell r="I472" t="str">
            <v>na</v>
          </cell>
        </row>
        <row r="473">
          <cell r="A473" t="str">
            <v>801100001.0003</v>
          </cell>
          <cell r="B473" t="str">
            <v>801100001</v>
          </cell>
          <cell r="C473" t="str">
            <v>Other Facilities Expense- Utilies , Maintaiance, Security etc.,.</v>
          </cell>
          <cell r="D473" t="str">
            <v>0003</v>
          </cell>
          <cell r="E473" t="str">
            <v>Facility Maintenance Expenses</v>
          </cell>
          <cell r="F473">
            <v>167124</v>
          </cell>
          <cell r="G473">
            <v>50939</v>
          </cell>
          <cell r="H473">
            <v>218063</v>
          </cell>
          <cell r="I473" t="str">
            <v>na</v>
          </cell>
        </row>
        <row r="474">
          <cell r="A474" t="str">
            <v>801100001.0004</v>
          </cell>
          <cell r="B474" t="str">
            <v>801100001</v>
          </cell>
          <cell r="C474" t="str">
            <v>Other Facilities Expense- Utilies , Maintaiance, Security etc.,.</v>
          </cell>
          <cell r="D474" t="str">
            <v>0004</v>
          </cell>
          <cell r="E474" t="str">
            <v>Electricity Charges</v>
          </cell>
          <cell r="F474">
            <v>349486</v>
          </cell>
          <cell r="G474">
            <v>45717</v>
          </cell>
          <cell r="H474">
            <v>395203</v>
          </cell>
          <cell r="I474" t="str">
            <v>na</v>
          </cell>
        </row>
        <row r="475">
          <cell r="A475" t="str">
            <v>801100001.0005</v>
          </cell>
          <cell r="B475" t="str">
            <v>801100001</v>
          </cell>
          <cell r="C475" t="str">
            <v>Other Facilities Expense- Utilies , Maintaiance, Security etc.,.</v>
          </cell>
          <cell r="D475" t="str">
            <v>0005</v>
          </cell>
          <cell r="E475" t="str">
            <v>Water Exenses</v>
          </cell>
          <cell r="F475">
            <v>27773</v>
          </cell>
          <cell r="G475">
            <v>2216</v>
          </cell>
          <cell r="H475">
            <v>29989</v>
          </cell>
          <cell r="I475" t="str">
            <v>na</v>
          </cell>
        </row>
        <row r="476">
          <cell r="A476" t="str">
            <v>801100001.0009</v>
          </cell>
          <cell r="B476" t="str">
            <v>801100001</v>
          </cell>
          <cell r="C476" t="str">
            <v>Other Facilities Expense- Utilies , Maintaiance, Security etc.,.</v>
          </cell>
          <cell r="D476" t="str">
            <v>0009</v>
          </cell>
          <cell r="E476" t="str">
            <v>Others</v>
          </cell>
          <cell r="F476">
            <v>0</v>
          </cell>
          <cell r="G476">
            <v>102900</v>
          </cell>
          <cell r="H476">
            <v>102900</v>
          </cell>
          <cell r="I476" t="str">
            <v>na</v>
          </cell>
        </row>
        <row r="477">
          <cell r="A477" t="str">
            <v>801100001.0016</v>
          </cell>
          <cell r="B477" t="str">
            <v>801100001</v>
          </cell>
          <cell r="C477" t="str">
            <v>Other Facilities Expense- Utilies , Maintaiance, Security etc.,.</v>
          </cell>
          <cell r="D477" t="str">
            <v>0016</v>
          </cell>
          <cell r="E477" t="str">
            <v>Repairs Others</v>
          </cell>
          <cell r="F477">
            <v>40000</v>
          </cell>
          <cell r="G477">
            <v>0</v>
          </cell>
          <cell r="H477">
            <v>40000</v>
          </cell>
          <cell r="I477" t="str">
            <v>na</v>
          </cell>
        </row>
        <row r="478">
          <cell r="A478" t="str">
            <v>801101001.0013</v>
          </cell>
          <cell r="B478" t="str">
            <v>801101001</v>
          </cell>
          <cell r="C478" t="str">
            <v>Other Furniture, Equipment and Computer Expenses-Repair, Maintenance, Services, Etc.,</v>
          </cell>
          <cell r="D478" t="str">
            <v>0013</v>
          </cell>
          <cell r="E478" t="str">
            <v>Repairs - Office Equipt</v>
          </cell>
          <cell r="F478">
            <v>5587</v>
          </cell>
          <cell r="G478">
            <v>3400</v>
          </cell>
          <cell r="H478">
            <v>8987</v>
          </cell>
          <cell r="I478" t="str">
            <v>na</v>
          </cell>
        </row>
        <row r="479">
          <cell r="A479" t="str">
            <v>801101001.0014</v>
          </cell>
          <cell r="B479" t="str">
            <v>801101001</v>
          </cell>
          <cell r="C479" t="str">
            <v>Other Furniture, Equipment and Computer Expenses-Repair, Maintenance, Services, Etc.,</v>
          </cell>
          <cell r="D479" t="str">
            <v>0014</v>
          </cell>
          <cell r="E479" t="str">
            <v>Repairs - Computers</v>
          </cell>
          <cell r="F479">
            <v>40226</v>
          </cell>
          <cell r="G479">
            <v>5200</v>
          </cell>
          <cell r="H479">
            <v>45426</v>
          </cell>
          <cell r="I479" t="str">
            <v>na</v>
          </cell>
        </row>
        <row r="480">
          <cell r="A480" t="str">
            <v>801101001.0016</v>
          </cell>
          <cell r="B480" t="str">
            <v>801101001</v>
          </cell>
          <cell r="C480" t="str">
            <v>Other Furniture, Equipment and Computer Expenses-Repair, Maintenance, Services, Etc.,</v>
          </cell>
          <cell r="D480" t="str">
            <v>0016</v>
          </cell>
          <cell r="E480" t="str">
            <v>Repairs -Others</v>
          </cell>
          <cell r="F480">
            <v>65344</v>
          </cell>
          <cell r="G480">
            <v>1687</v>
          </cell>
          <cell r="H480">
            <v>67031</v>
          </cell>
          <cell r="I480" t="str">
            <v>na</v>
          </cell>
        </row>
        <row r="481">
          <cell r="A481" t="str">
            <v>801101001.0022</v>
          </cell>
          <cell r="B481" t="str">
            <v>801101001</v>
          </cell>
          <cell r="C481" t="str">
            <v>Other Furniture, Equipment and Computer Expenses-Repair, Maintenance, Services, Etc.,</v>
          </cell>
          <cell r="D481" t="str">
            <v>0022</v>
          </cell>
          <cell r="E481" t="str">
            <v>AMC - Office Equipt in India</v>
          </cell>
          <cell r="F481">
            <v>3000</v>
          </cell>
          <cell r="G481">
            <v>0</v>
          </cell>
          <cell r="H481">
            <v>3000</v>
          </cell>
          <cell r="I481" t="str">
            <v>na</v>
          </cell>
        </row>
        <row r="482">
          <cell r="A482" t="str">
            <v>801101001.0023</v>
          </cell>
          <cell r="B482" t="str">
            <v>801101001</v>
          </cell>
          <cell r="C482" t="str">
            <v>Other Furniture, Equipment and Computer Expenses-Repair, Maintenance, Services, Etc.,</v>
          </cell>
          <cell r="D482" t="str">
            <v>0023</v>
          </cell>
          <cell r="E482" t="str">
            <v>AMC - Computers</v>
          </cell>
          <cell r="F482">
            <v>435013</v>
          </cell>
          <cell r="G482">
            <v>0</v>
          </cell>
          <cell r="H482">
            <v>435013</v>
          </cell>
          <cell r="I482" t="str">
            <v>na</v>
          </cell>
        </row>
        <row r="483">
          <cell r="A483" t="str">
            <v>801102001.0000</v>
          </cell>
          <cell r="B483" t="str">
            <v>801102001</v>
          </cell>
          <cell r="C483" t="str">
            <v>Operating expenses- Software expenses</v>
          </cell>
          <cell r="D483" t="str">
            <v>0000</v>
          </cell>
          <cell r="E483" t="str">
            <v>None</v>
          </cell>
          <cell r="F483">
            <v>28455</v>
          </cell>
          <cell r="G483">
            <v>0</v>
          </cell>
          <cell r="H483">
            <v>28455</v>
          </cell>
          <cell r="I483" t="str">
            <v>na</v>
          </cell>
        </row>
        <row r="484">
          <cell r="A484" t="str">
            <v>801200001.0000</v>
          </cell>
          <cell r="B484" t="str">
            <v>801200001</v>
          </cell>
          <cell r="C484" t="str">
            <v>Customer Services &amp; Collection Expenses</v>
          </cell>
          <cell r="D484" t="str">
            <v>0000</v>
          </cell>
          <cell r="E484" t="str">
            <v>None</v>
          </cell>
          <cell r="F484">
            <v>-185281.82</v>
          </cell>
          <cell r="G484">
            <v>-79287.179999999993</v>
          </cell>
          <cell r="H484">
            <v>-264569</v>
          </cell>
          <cell r="I484" t="str">
            <v>na</v>
          </cell>
        </row>
        <row r="485">
          <cell r="A485" t="str">
            <v>801200001.0002</v>
          </cell>
          <cell r="B485" t="str">
            <v>801200001</v>
          </cell>
          <cell r="C485" t="str">
            <v>Customer Services &amp; Collection Expenses</v>
          </cell>
          <cell r="D485" t="str">
            <v>0002</v>
          </cell>
          <cell r="E485" t="str">
            <v>Collection Agency Charges</v>
          </cell>
          <cell r="F485">
            <v>2099591</v>
          </cell>
          <cell r="G485">
            <v>628769</v>
          </cell>
          <cell r="H485">
            <v>2728360</v>
          </cell>
          <cell r="I485" t="str">
            <v>na</v>
          </cell>
        </row>
        <row r="486">
          <cell r="A486" t="str">
            <v>801200001.0004</v>
          </cell>
          <cell r="B486" t="str">
            <v>801200001</v>
          </cell>
          <cell r="C486" t="str">
            <v>Customer Services &amp; Collection Expenses</v>
          </cell>
          <cell r="D486" t="str">
            <v>0004</v>
          </cell>
          <cell r="E486" t="str">
            <v>Valuation of Reposs Vehicle</v>
          </cell>
          <cell r="F486">
            <v>76525</v>
          </cell>
          <cell r="G486">
            <v>4855</v>
          </cell>
          <cell r="H486">
            <v>81380</v>
          </cell>
          <cell r="I486" t="str">
            <v>na</v>
          </cell>
        </row>
        <row r="487">
          <cell r="A487" t="str">
            <v>801300001.0000</v>
          </cell>
          <cell r="B487" t="str">
            <v>801300001</v>
          </cell>
          <cell r="C487" t="str">
            <v>Legal Expense</v>
          </cell>
          <cell r="D487" t="str">
            <v>0000</v>
          </cell>
          <cell r="E487" t="str">
            <v>None</v>
          </cell>
          <cell r="F487">
            <v>500000</v>
          </cell>
          <cell r="G487">
            <v>-400000</v>
          </cell>
          <cell r="H487">
            <v>100000</v>
          </cell>
          <cell r="I487" t="str">
            <v>na</v>
          </cell>
        </row>
        <row r="488">
          <cell r="A488" t="str">
            <v>801300001.0001</v>
          </cell>
          <cell r="B488" t="str">
            <v>801300001</v>
          </cell>
          <cell r="C488" t="str">
            <v>Legal Expense</v>
          </cell>
          <cell r="D488" t="str">
            <v>0001</v>
          </cell>
          <cell r="E488" t="str">
            <v>ROC FEES</v>
          </cell>
          <cell r="F488">
            <v>13625</v>
          </cell>
          <cell r="G488">
            <v>0</v>
          </cell>
          <cell r="H488">
            <v>13625</v>
          </cell>
          <cell r="I488" t="str">
            <v>na</v>
          </cell>
        </row>
        <row r="489">
          <cell r="A489" t="str">
            <v>801300001.0005</v>
          </cell>
          <cell r="B489" t="str">
            <v>801300001</v>
          </cell>
          <cell r="C489" t="str">
            <v>Legal Expense</v>
          </cell>
          <cell r="D489" t="str">
            <v>0005</v>
          </cell>
          <cell r="E489" t="str">
            <v>Other Fees</v>
          </cell>
          <cell r="F489">
            <v>-870000</v>
          </cell>
          <cell r="G489">
            <v>0</v>
          </cell>
          <cell r="H489">
            <v>-870000</v>
          </cell>
          <cell r="I489" t="str">
            <v>na</v>
          </cell>
        </row>
        <row r="490">
          <cell r="A490" t="str">
            <v>801400001.0009</v>
          </cell>
          <cell r="B490" t="str">
            <v>801400001</v>
          </cell>
          <cell r="C490" t="str">
            <v>Advertising Expense</v>
          </cell>
          <cell r="D490" t="str">
            <v>0009</v>
          </cell>
          <cell r="E490" t="str">
            <v>Other Advertising expenses</v>
          </cell>
          <cell r="F490">
            <v>195497</v>
          </cell>
          <cell r="G490">
            <v>5314</v>
          </cell>
          <cell r="H490">
            <v>200811</v>
          </cell>
          <cell r="I490" t="str">
            <v>na</v>
          </cell>
        </row>
        <row r="491">
          <cell r="A491" t="str">
            <v>801410001.0000</v>
          </cell>
          <cell r="B491" t="str">
            <v>801410001</v>
          </cell>
          <cell r="C491" t="str">
            <v>Sales Promotion Expense</v>
          </cell>
          <cell r="D491" t="str">
            <v>0000</v>
          </cell>
          <cell r="E491" t="str">
            <v>None</v>
          </cell>
          <cell r="F491">
            <v>-20000</v>
          </cell>
          <cell r="G491">
            <v>0</v>
          </cell>
          <cell r="H491">
            <v>-20000</v>
          </cell>
          <cell r="I491" t="str">
            <v>na</v>
          </cell>
        </row>
        <row r="492">
          <cell r="A492" t="str">
            <v>801410001.0001</v>
          </cell>
          <cell r="B492" t="str">
            <v>801410001</v>
          </cell>
          <cell r="C492" t="str">
            <v>Sales Promotion Expense</v>
          </cell>
          <cell r="D492" t="str">
            <v>0001</v>
          </cell>
          <cell r="E492" t="str">
            <v>Entertainment</v>
          </cell>
          <cell r="F492">
            <v>78809</v>
          </cell>
          <cell r="G492">
            <v>4433</v>
          </cell>
          <cell r="H492">
            <v>83242</v>
          </cell>
          <cell r="I492" t="str">
            <v>na</v>
          </cell>
        </row>
        <row r="493">
          <cell r="A493" t="str">
            <v>801410001.0034</v>
          </cell>
          <cell r="B493" t="str">
            <v>801410001</v>
          </cell>
          <cell r="C493" t="str">
            <v>Sales Promotion Expense</v>
          </cell>
          <cell r="D493" t="str">
            <v>0034</v>
          </cell>
          <cell r="E493" t="str">
            <v>Commission on Hire Purchase</v>
          </cell>
          <cell r="F493">
            <v>-1325725.99</v>
          </cell>
          <cell r="G493">
            <v>324688.76</v>
          </cell>
          <cell r="H493">
            <v>-1001037.23</v>
          </cell>
          <cell r="I493" t="str">
            <v>na</v>
          </cell>
        </row>
        <row r="494">
          <cell r="A494" t="str">
            <v>801710001.0011</v>
          </cell>
          <cell r="B494" t="str">
            <v>801710001</v>
          </cell>
          <cell r="C494" t="str">
            <v>Outside Services and Fees</v>
          </cell>
          <cell r="D494" t="str">
            <v>0011</v>
          </cell>
          <cell r="E494" t="str">
            <v>Outsourced Manpower</v>
          </cell>
          <cell r="F494">
            <v>2674600</v>
          </cell>
          <cell r="G494">
            <v>519656.5</v>
          </cell>
          <cell r="H494">
            <v>3194256.5</v>
          </cell>
          <cell r="I494" t="str">
            <v>na</v>
          </cell>
        </row>
        <row r="495">
          <cell r="A495" t="str">
            <v>801710001.0021</v>
          </cell>
          <cell r="B495" t="str">
            <v>801710001</v>
          </cell>
          <cell r="C495" t="str">
            <v>Outside Services and Fees</v>
          </cell>
          <cell r="D495" t="str">
            <v>0021</v>
          </cell>
          <cell r="E495" t="str">
            <v>Helpdesk Support</v>
          </cell>
          <cell r="F495">
            <v>150000</v>
          </cell>
          <cell r="G495">
            <v>50000</v>
          </cell>
          <cell r="H495">
            <v>200000</v>
          </cell>
          <cell r="I495" t="str">
            <v>na</v>
          </cell>
        </row>
        <row r="496">
          <cell r="A496" t="str">
            <v>801710002.0000</v>
          </cell>
          <cell r="B496" t="str">
            <v>801710002</v>
          </cell>
          <cell r="C496" t="str">
            <v>Outside Services and Fees - Consulting</v>
          </cell>
          <cell r="D496" t="str">
            <v>0000</v>
          </cell>
          <cell r="E496" t="str">
            <v>None</v>
          </cell>
          <cell r="F496">
            <v>10445</v>
          </cell>
          <cell r="G496">
            <v>0</v>
          </cell>
          <cell r="H496">
            <v>10445</v>
          </cell>
          <cell r="I496" t="str">
            <v>na</v>
          </cell>
        </row>
        <row r="497">
          <cell r="A497" t="str">
            <v>801710002.0001</v>
          </cell>
          <cell r="B497" t="str">
            <v>801710002</v>
          </cell>
          <cell r="C497" t="str">
            <v>Outside Services and Fees - Consulting</v>
          </cell>
          <cell r="D497" t="str">
            <v>0001</v>
          </cell>
          <cell r="E497" t="str">
            <v>Professional Charges - Consultants</v>
          </cell>
          <cell r="F497">
            <v>2445977</v>
          </cell>
          <cell r="G497">
            <v>-53704</v>
          </cell>
          <cell r="H497">
            <v>2392273</v>
          </cell>
          <cell r="I497" t="str">
            <v>na</v>
          </cell>
        </row>
        <row r="498">
          <cell r="A498" t="str">
            <v>801710002.0002</v>
          </cell>
          <cell r="B498" t="str">
            <v>801710002</v>
          </cell>
          <cell r="C498" t="str">
            <v>Outside Services and Fees - Consulting</v>
          </cell>
          <cell r="D498" t="str">
            <v>0002</v>
          </cell>
          <cell r="E498" t="str">
            <v>Professional Charges - Tax Matters</v>
          </cell>
          <cell r="F498">
            <v>65350</v>
          </cell>
          <cell r="G498">
            <v>0</v>
          </cell>
          <cell r="H498">
            <v>65350</v>
          </cell>
          <cell r="I498" t="str">
            <v>na</v>
          </cell>
        </row>
        <row r="499">
          <cell r="A499" t="str">
            <v>801710002.0003</v>
          </cell>
          <cell r="B499" t="str">
            <v>801710002</v>
          </cell>
          <cell r="C499" t="str">
            <v>Outside Services and Fees - Consulting</v>
          </cell>
          <cell r="D499" t="str">
            <v>0003</v>
          </cell>
          <cell r="E499" t="str">
            <v>Professional Charges - Sales Tax Matters</v>
          </cell>
          <cell r="F499">
            <v>142900</v>
          </cell>
          <cell r="G499">
            <v>-800</v>
          </cell>
          <cell r="H499">
            <v>142100</v>
          </cell>
          <cell r="I499" t="str">
            <v>na</v>
          </cell>
        </row>
        <row r="500">
          <cell r="A500" t="str">
            <v>801710002.0004</v>
          </cell>
          <cell r="B500" t="str">
            <v>801710002</v>
          </cell>
          <cell r="C500" t="str">
            <v>Outside Services and Fees - Consulting</v>
          </cell>
          <cell r="D500" t="str">
            <v>0004</v>
          </cell>
          <cell r="E500" t="str">
            <v>Legal Consultants</v>
          </cell>
          <cell r="F500">
            <v>1008079</v>
          </cell>
          <cell r="G500">
            <v>38060</v>
          </cell>
          <cell r="H500">
            <v>1046139</v>
          </cell>
          <cell r="I500" t="str">
            <v>na</v>
          </cell>
        </row>
        <row r="501">
          <cell r="A501" t="str">
            <v>801710004.0001</v>
          </cell>
          <cell r="B501" t="str">
            <v>801710004</v>
          </cell>
          <cell r="C501" t="str">
            <v>Outside Services Others</v>
          </cell>
          <cell r="D501" t="str">
            <v>0001</v>
          </cell>
          <cell r="E501" t="str">
            <v>Statutory Audit Fees</v>
          </cell>
          <cell r="F501">
            <v>596666.67000000004</v>
          </cell>
          <cell r="G501">
            <v>108333.33</v>
          </cell>
          <cell r="H501">
            <v>705000</v>
          </cell>
          <cell r="I501" t="str">
            <v>na</v>
          </cell>
        </row>
        <row r="502">
          <cell r="A502" t="str">
            <v>801710004.0002</v>
          </cell>
          <cell r="B502" t="str">
            <v>801710004</v>
          </cell>
          <cell r="C502" t="str">
            <v>Outside Services Others</v>
          </cell>
          <cell r="D502" t="str">
            <v>0002</v>
          </cell>
          <cell r="E502" t="str">
            <v>Fees Statuory Auditors - Other Matters</v>
          </cell>
          <cell r="F502">
            <v>10000</v>
          </cell>
          <cell r="G502">
            <v>-40000</v>
          </cell>
          <cell r="H502">
            <v>-30000</v>
          </cell>
          <cell r="I502" t="str">
            <v>na</v>
          </cell>
        </row>
        <row r="503">
          <cell r="A503" t="str">
            <v>801710004.0003</v>
          </cell>
          <cell r="B503" t="str">
            <v>801710004</v>
          </cell>
          <cell r="C503" t="str">
            <v>Outside Services Others</v>
          </cell>
          <cell r="D503" t="str">
            <v>0003</v>
          </cell>
          <cell r="E503" t="str">
            <v>Statutory Auditor's Out of Pocket</v>
          </cell>
          <cell r="F503">
            <v>53215</v>
          </cell>
          <cell r="G503">
            <v>0</v>
          </cell>
          <cell r="H503">
            <v>53215</v>
          </cell>
          <cell r="I503" t="str">
            <v>na</v>
          </cell>
        </row>
        <row r="504">
          <cell r="A504" t="str">
            <v>801710004.0004</v>
          </cell>
          <cell r="B504" t="str">
            <v>801710004</v>
          </cell>
          <cell r="C504" t="str">
            <v>Outside Services Others</v>
          </cell>
          <cell r="D504" t="str">
            <v>0004</v>
          </cell>
          <cell r="E504" t="str">
            <v>Internal Audit Fees and Expenses</v>
          </cell>
          <cell r="F504">
            <v>-5600</v>
          </cell>
          <cell r="G504">
            <v>0</v>
          </cell>
          <cell r="H504">
            <v>-5600</v>
          </cell>
          <cell r="I504" t="str">
            <v>na</v>
          </cell>
        </row>
        <row r="505">
          <cell r="A505" t="str">
            <v>801710004.0006</v>
          </cell>
          <cell r="B505" t="str">
            <v>801710004</v>
          </cell>
          <cell r="C505" t="str">
            <v>Outside Services Others</v>
          </cell>
          <cell r="D505" t="str">
            <v>0006</v>
          </cell>
          <cell r="E505" t="str">
            <v>Brokerage - Others</v>
          </cell>
          <cell r="F505">
            <v>45075</v>
          </cell>
          <cell r="G505">
            <v>22378</v>
          </cell>
          <cell r="H505">
            <v>67453</v>
          </cell>
          <cell r="I505" t="str">
            <v>na</v>
          </cell>
        </row>
        <row r="506">
          <cell r="A506" t="str">
            <v>801710004.0008</v>
          </cell>
          <cell r="B506" t="str">
            <v>801710004</v>
          </cell>
          <cell r="C506" t="str">
            <v>Outside Services Others</v>
          </cell>
          <cell r="D506" t="str">
            <v>0008</v>
          </cell>
          <cell r="E506" t="str">
            <v>REVERIFICATION Charges</v>
          </cell>
          <cell r="F506">
            <v>249248</v>
          </cell>
          <cell r="G506">
            <v>1400</v>
          </cell>
          <cell r="H506">
            <v>250648</v>
          </cell>
          <cell r="I506" t="str">
            <v>na</v>
          </cell>
        </row>
        <row r="507">
          <cell r="A507" t="str">
            <v>801710004.0121</v>
          </cell>
          <cell r="B507" t="str">
            <v>801710004</v>
          </cell>
          <cell r="C507" t="str">
            <v>Outside Services Others</v>
          </cell>
          <cell r="D507" t="str">
            <v>0121</v>
          </cell>
          <cell r="E507" t="str">
            <v>Recruitment Exps-Band 4</v>
          </cell>
          <cell r="F507">
            <v>50295</v>
          </cell>
          <cell r="G507">
            <v>0</v>
          </cell>
          <cell r="H507">
            <v>50295</v>
          </cell>
          <cell r="I507" t="str">
            <v>na</v>
          </cell>
        </row>
        <row r="508">
          <cell r="A508" t="str">
            <v>801710004.0122</v>
          </cell>
          <cell r="B508" t="str">
            <v>801710004</v>
          </cell>
          <cell r="C508" t="str">
            <v>Outside Services Others</v>
          </cell>
          <cell r="D508" t="str">
            <v>0122</v>
          </cell>
          <cell r="E508" t="str">
            <v>Recruitment Exps-Band 3 and above</v>
          </cell>
          <cell r="F508">
            <v>342007</v>
          </cell>
          <cell r="G508">
            <v>-25337</v>
          </cell>
          <cell r="H508">
            <v>316670</v>
          </cell>
          <cell r="I508" t="str">
            <v>na</v>
          </cell>
        </row>
        <row r="509">
          <cell r="A509" t="str">
            <v>801802001.0002</v>
          </cell>
          <cell r="B509" t="str">
            <v>801802001</v>
          </cell>
          <cell r="C509" t="str">
            <v>Sales /VAT Taxes</v>
          </cell>
          <cell r="D509" t="str">
            <v>0002</v>
          </cell>
          <cell r="E509" t="str">
            <v>Sales Tax</v>
          </cell>
          <cell r="F509">
            <v>522099</v>
          </cell>
          <cell r="G509">
            <v>0</v>
          </cell>
          <cell r="H509">
            <v>522099</v>
          </cell>
          <cell r="I509" t="str">
            <v>na</v>
          </cell>
        </row>
        <row r="510">
          <cell r="A510" t="str">
            <v>801802005.0004</v>
          </cell>
          <cell r="B510" t="str">
            <v>801802005</v>
          </cell>
          <cell r="C510" t="str">
            <v>Miscellaneous</v>
          </cell>
          <cell r="D510" t="str">
            <v>0004</v>
          </cell>
          <cell r="E510" t="str">
            <v>Rates &amp; Taxes</v>
          </cell>
          <cell r="F510">
            <v>969081</v>
          </cell>
          <cell r="G510">
            <v>211252</v>
          </cell>
          <cell r="H510">
            <v>1180333</v>
          </cell>
          <cell r="I510" t="str">
            <v>na</v>
          </cell>
        </row>
        <row r="511">
          <cell r="A511" t="str">
            <v>801999001.0000</v>
          </cell>
          <cell r="B511" t="str">
            <v>801999001</v>
          </cell>
          <cell r="C511" t="str">
            <v>All Other Expenses</v>
          </cell>
          <cell r="D511" t="str">
            <v>0000</v>
          </cell>
          <cell r="E511" t="str">
            <v>None</v>
          </cell>
          <cell r="F511">
            <v>100000</v>
          </cell>
          <cell r="G511">
            <v>0</v>
          </cell>
          <cell r="H511">
            <v>100000</v>
          </cell>
          <cell r="I511" t="str">
            <v>na</v>
          </cell>
        </row>
        <row r="512">
          <cell r="A512" t="str">
            <v>801999001.0001</v>
          </cell>
          <cell r="B512" t="str">
            <v>801999001</v>
          </cell>
          <cell r="C512" t="str">
            <v>All Other Expenses</v>
          </cell>
          <cell r="D512" t="str">
            <v>0001</v>
          </cell>
          <cell r="E512" t="str">
            <v>Bank charges</v>
          </cell>
          <cell r="F512">
            <v>347071.06</v>
          </cell>
          <cell r="G512">
            <v>144714.66</v>
          </cell>
          <cell r="H512">
            <v>491785.72</v>
          </cell>
          <cell r="I512" t="str">
            <v>na</v>
          </cell>
        </row>
        <row r="513">
          <cell r="A513" t="str">
            <v>801999001.0003</v>
          </cell>
          <cell r="B513" t="str">
            <v>801999001</v>
          </cell>
          <cell r="C513" t="str">
            <v>All Other Expenses</v>
          </cell>
          <cell r="D513" t="str">
            <v>0003</v>
          </cell>
          <cell r="E513" t="str">
            <v>Director's Sitting Fees</v>
          </cell>
          <cell r="F513">
            <v>20000</v>
          </cell>
          <cell r="G513">
            <v>0</v>
          </cell>
          <cell r="H513">
            <v>20000</v>
          </cell>
          <cell r="I513" t="str">
            <v>na</v>
          </cell>
        </row>
        <row r="514">
          <cell r="A514" t="str">
            <v>801999001.0019</v>
          </cell>
          <cell r="B514" t="str">
            <v>801999001</v>
          </cell>
          <cell r="C514" t="str">
            <v>All Other Expenses</v>
          </cell>
          <cell r="D514" t="str">
            <v>0019</v>
          </cell>
          <cell r="E514" t="str">
            <v>Loss on Sale of Leased Cars</v>
          </cell>
          <cell r="F514">
            <v>109666.25</v>
          </cell>
          <cell r="G514">
            <v>0</v>
          </cell>
          <cell r="H514">
            <v>109666.25</v>
          </cell>
          <cell r="I514" t="str">
            <v>na</v>
          </cell>
        </row>
        <row r="515">
          <cell r="A515" t="str">
            <v>801999001.0021</v>
          </cell>
          <cell r="B515" t="str">
            <v>801999001</v>
          </cell>
          <cell r="C515" t="str">
            <v>All Other Expenses</v>
          </cell>
          <cell r="D515" t="str">
            <v>0021</v>
          </cell>
          <cell r="E515" t="str">
            <v>Miscellaneous Expenses</v>
          </cell>
          <cell r="F515">
            <v>523549</v>
          </cell>
          <cell r="G515">
            <v>100000</v>
          </cell>
          <cell r="H515">
            <v>623549</v>
          </cell>
          <cell r="I515" t="str">
            <v>na</v>
          </cell>
        </row>
        <row r="516">
          <cell r="A516" t="str">
            <v>801999001.0029</v>
          </cell>
          <cell r="B516" t="str">
            <v>801999001</v>
          </cell>
          <cell r="C516" t="str">
            <v>All Other Expenses</v>
          </cell>
          <cell r="D516" t="str">
            <v>0029</v>
          </cell>
          <cell r="E516" t="str">
            <v>Others</v>
          </cell>
          <cell r="F516">
            <v>-20972</v>
          </cell>
          <cell r="G516">
            <v>0</v>
          </cell>
          <cell r="H516">
            <v>-20972</v>
          </cell>
          <cell r="I516" t="str">
            <v>na</v>
          </cell>
        </row>
        <row r="517">
          <cell r="A517" t="str">
            <v>801999001.0030</v>
          </cell>
          <cell r="B517" t="str">
            <v>801999001</v>
          </cell>
          <cell r="C517" t="str">
            <v>All Other Expenses</v>
          </cell>
          <cell r="D517" t="str">
            <v>0030</v>
          </cell>
          <cell r="E517" t="str">
            <v>PAISAS ROUND OFF</v>
          </cell>
          <cell r="F517">
            <v>18.649999999999999</v>
          </cell>
          <cell r="G517">
            <v>3.07</v>
          </cell>
          <cell r="H517">
            <v>21.72</v>
          </cell>
          <cell r="I517" t="str">
            <v>na</v>
          </cell>
        </row>
        <row r="518">
          <cell r="A518" t="str">
            <v>805001001.0001</v>
          </cell>
          <cell r="B518" t="str">
            <v>805001001</v>
          </cell>
          <cell r="C518" t="str">
            <v>Buildings &amp;Office Equipments &amp;</v>
          </cell>
          <cell r="D518" t="str">
            <v>0001</v>
          </cell>
          <cell r="E518" t="str">
            <v>Buildings</v>
          </cell>
          <cell r="F518">
            <v>558378.5</v>
          </cell>
          <cell r="G518">
            <v>105013.25</v>
          </cell>
          <cell r="H518">
            <v>663391.75</v>
          </cell>
          <cell r="I518" t="str">
            <v>na</v>
          </cell>
        </row>
        <row r="519">
          <cell r="A519" t="str">
            <v>805001001.0004</v>
          </cell>
          <cell r="B519" t="str">
            <v>805001001</v>
          </cell>
          <cell r="C519" t="str">
            <v>Buildings &amp;Office Equipments &amp;</v>
          </cell>
          <cell r="D519" t="str">
            <v>0004</v>
          </cell>
          <cell r="E519" t="str">
            <v>Furniture &amp; Fixture</v>
          </cell>
          <cell r="F519">
            <v>97314.5</v>
          </cell>
          <cell r="G519">
            <v>18957.7</v>
          </cell>
          <cell r="H519">
            <v>116272.2</v>
          </cell>
          <cell r="I519" t="str">
            <v>na</v>
          </cell>
        </row>
        <row r="520">
          <cell r="A520" t="str">
            <v>805001001.0006</v>
          </cell>
          <cell r="B520" t="str">
            <v>805001001</v>
          </cell>
          <cell r="C520" t="str">
            <v>Buildings &amp;Office Equipments &amp;</v>
          </cell>
          <cell r="D520" t="str">
            <v>0006</v>
          </cell>
          <cell r="E520" t="str">
            <v>Office Equipments</v>
          </cell>
          <cell r="F520">
            <v>173943.72</v>
          </cell>
          <cell r="G520">
            <v>34396</v>
          </cell>
          <cell r="H520">
            <v>208339.72</v>
          </cell>
          <cell r="I520" t="str">
            <v>na</v>
          </cell>
        </row>
        <row r="521">
          <cell r="A521" t="str">
            <v>805001002.0002</v>
          </cell>
          <cell r="B521" t="str">
            <v>805001002</v>
          </cell>
          <cell r="C521" t="str">
            <v>Deprec&amp;Amort-Leasehold Improve</v>
          </cell>
          <cell r="D521" t="str">
            <v>0002</v>
          </cell>
          <cell r="E521" t="str">
            <v>Leasehold Vehicles</v>
          </cell>
          <cell r="F521">
            <v>393606.89</v>
          </cell>
          <cell r="G521">
            <v>-180197.89</v>
          </cell>
          <cell r="H521">
            <v>213409</v>
          </cell>
          <cell r="I521" t="str">
            <v>na</v>
          </cell>
        </row>
        <row r="522">
          <cell r="A522" t="str">
            <v>805001005.0003</v>
          </cell>
          <cell r="B522" t="str">
            <v>805001005</v>
          </cell>
          <cell r="C522" t="str">
            <v>Deprec&amp;Amort-Computer Equip</v>
          </cell>
          <cell r="D522" t="str">
            <v>0003</v>
          </cell>
          <cell r="E522" t="str">
            <v>Others</v>
          </cell>
          <cell r="F522">
            <v>1662743.34</v>
          </cell>
          <cell r="G522">
            <v>326727.03999999998</v>
          </cell>
          <cell r="H522">
            <v>1989470.38</v>
          </cell>
          <cell r="I522" t="str">
            <v>na</v>
          </cell>
        </row>
        <row r="523">
          <cell r="A523" t="str">
            <v>890001001.0000</v>
          </cell>
          <cell r="B523" t="str">
            <v>890001001</v>
          </cell>
          <cell r="C523" t="str">
            <v>Insurance Expense Liquidations</v>
          </cell>
          <cell r="D523" t="str">
            <v>0000</v>
          </cell>
          <cell r="E523" t="str">
            <v>None</v>
          </cell>
          <cell r="F523">
            <v>89672</v>
          </cell>
          <cell r="G523">
            <v>17934</v>
          </cell>
          <cell r="H523">
            <v>107606</v>
          </cell>
          <cell r="I523" t="str">
            <v>na</v>
          </cell>
        </row>
        <row r="524">
          <cell r="A524" t="str">
            <v>890001001.0001</v>
          </cell>
          <cell r="B524" t="str">
            <v>890001001</v>
          </cell>
          <cell r="C524" t="str">
            <v>Insurance Expense Liquidations</v>
          </cell>
          <cell r="D524" t="str">
            <v>0001</v>
          </cell>
          <cell r="E524" t="str">
            <v>Insurance - Mediclaim</v>
          </cell>
          <cell r="F524">
            <v>87185</v>
          </cell>
          <cell r="G524">
            <v>12455</v>
          </cell>
          <cell r="H524">
            <v>99640</v>
          </cell>
          <cell r="I524" t="str">
            <v>na</v>
          </cell>
        </row>
        <row r="525">
          <cell r="A525" t="str">
            <v>890001001.0003</v>
          </cell>
          <cell r="B525" t="str">
            <v>890001001</v>
          </cell>
          <cell r="C525" t="str">
            <v>Insurance Expense Liquidations</v>
          </cell>
          <cell r="D525" t="str">
            <v>0003</v>
          </cell>
          <cell r="E525" t="str">
            <v>Insurance -Vehicles</v>
          </cell>
          <cell r="F525">
            <v>40567</v>
          </cell>
          <cell r="G525">
            <v>12042</v>
          </cell>
          <cell r="H525">
            <v>52609</v>
          </cell>
          <cell r="I525" t="str">
            <v>na</v>
          </cell>
        </row>
        <row r="526">
          <cell r="A526" t="str">
            <v>890001001.0004</v>
          </cell>
          <cell r="B526" t="str">
            <v>890001001</v>
          </cell>
          <cell r="C526" t="str">
            <v>Insurance Expense Liquidations</v>
          </cell>
          <cell r="D526" t="str">
            <v>0004</v>
          </cell>
          <cell r="E526" t="str">
            <v>Insurance - Fixed assets</v>
          </cell>
          <cell r="F526">
            <v>15582</v>
          </cell>
          <cell r="G526">
            <v>1433</v>
          </cell>
          <cell r="H526">
            <v>17015</v>
          </cell>
          <cell r="I526" t="str">
            <v>na</v>
          </cell>
        </row>
        <row r="527">
          <cell r="A527" t="str">
            <v>999999004.0001</v>
          </cell>
          <cell r="B527" t="str">
            <v>999999004</v>
          </cell>
          <cell r="C527" t="str">
            <v>Deferred Tax-Asset/Liability</v>
          </cell>
          <cell r="D527" t="str">
            <v>0001</v>
          </cell>
          <cell r="E527" t="str">
            <v>None 1</v>
          </cell>
          <cell r="F527">
            <v>387276518</v>
          </cell>
          <cell r="G527">
            <v>0</v>
          </cell>
          <cell r="H527">
            <v>387276518</v>
          </cell>
          <cell r="I527" t="str">
            <v>na</v>
          </cell>
        </row>
        <row r="528">
          <cell r="A528" t="str">
            <v>999999006.0000</v>
          </cell>
          <cell r="B528" t="str">
            <v>999999006</v>
          </cell>
          <cell r="C528" t="str">
            <v>Loss on Repo. Assets</v>
          </cell>
          <cell r="D528" t="str">
            <v>0000</v>
          </cell>
          <cell r="E528" t="str">
            <v>None</v>
          </cell>
          <cell r="F528">
            <v>-85000</v>
          </cell>
          <cell r="G528">
            <v>20000</v>
          </cell>
          <cell r="H528">
            <v>-65000</v>
          </cell>
          <cell r="I528" t="str">
            <v>na</v>
          </cell>
        </row>
        <row r="529">
          <cell r="A529" t="str">
            <v>999999011.0000</v>
          </cell>
          <cell r="B529" t="str">
            <v>999999011</v>
          </cell>
          <cell r="C529" t="str">
            <v>Prov. for Bad &amp; Doubtful Debts</v>
          </cell>
          <cell r="D529" t="str">
            <v>0000</v>
          </cell>
          <cell r="E529" t="str">
            <v>None</v>
          </cell>
          <cell r="F529">
            <v>-5800973</v>
          </cell>
          <cell r="G529">
            <v>0</v>
          </cell>
          <cell r="H529">
            <v>-5800973</v>
          </cell>
          <cell r="I529" t="str">
            <v>na</v>
          </cell>
        </row>
        <row r="530">
          <cell r="A530" t="str">
            <v>999999014.0000</v>
          </cell>
          <cell r="B530" t="str">
            <v>999999014</v>
          </cell>
          <cell r="C530" t="str">
            <v>Bad Debts Written Off</v>
          </cell>
          <cell r="D530" t="str">
            <v>0000</v>
          </cell>
          <cell r="E530" t="str">
            <v>None</v>
          </cell>
          <cell r="F530">
            <v>-2333034</v>
          </cell>
          <cell r="G530">
            <v>403311</v>
          </cell>
          <cell r="H530">
            <v>-1929723</v>
          </cell>
          <cell r="I530" t="str">
            <v>na</v>
          </cell>
        </row>
        <row r="531">
          <cell r="A531" t="str">
            <v>999999018.0002</v>
          </cell>
          <cell r="B531" t="str">
            <v>999999018</v>
          </cell>
          <cell r="C531" t="str">
            <v>Investment in Shares</v>
          </cell>
          <cell r="D531" t="str">
            <v>0002</v>
          </cell>
          <cell r="E531" t="str">
            <v>None 1</v>
          </cell>
          <cell r="F531">
            <v>14148071.970000001</v>
          </cell>
          <cell r="G531">
            <v>0</v>
          </cell>
          <cell r="H531">
            <v>14148071.970000001</v>
          </cell>
          <cell r="I531" t="str">
            <v>na</v>
          </cell>
        </row>
        <row r="532">
          <cell r="A532" t="str">
            <v>999999031.0000</v>
          </cell>
          <cell r="B532" t="str">
            <v>999999031</v>
          </cell>
          <cell r="C532" t="str">
            <v>Prov. for bad &amp; Doubtful Debts</v>
          </cell>
          <cell r="D532" t="str">
            <v>0000</v>
          </cell>
          <cell r="E532" t="str">
            <v>None</v>
          </cell>
          <cell r="F532">
            <v>5800973</v>
          </cell>
          <cell r="G532">
            <v>0</v>
          </cell>
          <cell r="H532">
            <v>5800973</v>
          </cell>
          <cell r="I532" t="str">
            <v>na</v>
          </cell>
        </row>
        <row r="533">
          <cell r="A533" t="str">
            <v>999999031.0001</v>
          </cell>
          <cell r="B533" t="str">
            <v>999999031</v>
          </cell>
          <cell r="C533" t="str">
            <v>Prov. for bad &amp; Doubtful Debts</v>
          </cell>
          <cell r="D533" t="str">
            <v>0001</v>
          </cell>
          <cell r="E533" t="str">
            <v>None 1</v>
          </cell>
          <cell r="F533">
            <v>-301395878</v>
          </cell>
          <cell r="G533">
            <v>0</v>
          </cell>
          <cell r="H533">
            <v>-301395878</v>
          </cell>
          <cell r="I533" t="str">
            <v>na</v>
          </cell>
        </row>
        <row r="534">
          <cell r="A534" t="str">
            <v>999999032.0001</v>
          </cell>
          <cell r="B534" t="str">
            <v>999999032</v>
          </cell>
          <cell r="C534" t="str">
            <v>Prov. for Dep. in Investments</v>
          </cell>
          <cell r="D534" t="str">
            <v>0001</v>
          </cell>
          <cell r="E534" t="str">
            <v>None 1</v>
          </cell>
          <cell r="F534">
            <v>-14211339.880000001</v>
          </cell>
          <cell r="G534">
            <v>0</v>
          </cell>
          <cell r="H534">
            <v>-14211339.880000001</v>
          </cell>
          <cell r="I534" t="str">
            <v>na</v>
          </cell>
        </row>
        <row r="535">
          <cell r="A535" t="str">
            <v>999999033.0001</v>
          </cell>
          <cell r="B535" t="str">
            <v>999999033</v>
          </cell>
          <cell r="C535" t="str">
            <v>Prov for fall in value propert</v>
          </cell>
          <cell r="D535" t="str">
            <v>0001</v>
          </cell>
          <cell r="E535" t="str">
            <v>None 1</v>
          </cell>
          <cell r="F535">
            <v>-62500000</v>
          </cell>
          <cell r="G535">
            <v>0</v>
          </cell>
          <cell r="H535">
            <v>-62500000</v>
          </cell>
          <cell r="I535" t="str">
            <v>na</v>
          </cell>
        </row>
        <row r="536">
          <cell r="A536" t="str">
            <v>999999034.0001</v>
          </cell>
          <cell r="B536" t="str">
            <v>999999034</v>
          </cell>
          <cell r="C536" t="str">
            <v>Deferred Tax - Asset/Liability</v>
          </cell>
          <cell r="D536" t="str">
            <v>0001</v>
          </cell>
          <cell r="E536" t="str">
            <v>None 1</v>
          </cell>
          <cell r="F536">
            <v>-121019136.47</v>
          </cell>
          <cell r="G536">
            <v>0</v>
          </cell>
          <cell r="H536">
            <v>-121019136.47</v>
          </cell>
          <cell r="I536" t="str">
            <v>na</v>
          </cell>
        </row>
        <row r="537">
          <cell r="A537" t="str">
            <v>999999040.0001</v>
          </cell>
          <cell r="B537" t="str">
            <v>999999040</v>
          </cell>
          <cell r="C537" t="str">
            <v>Oracle IUTA-North</v>
          </cell>
          <cell r="D537" t="str">
            <v>0001</v>
          </cell>
          <cell r="E537" t="str">
            <v>None</v>
          </cell>
          <cell r="F537">
            <v>0</v>
          </cell>
          <cell r="G537">
            <v>-16941972.690000001</v>
          </cell>
          <cell r="H537">
            <v>-16941972.690000001</v>
          </cell>
          <cell r="I537" t="str">
            <v>Pankaj</v>
          </cell>
        </row>
        <row r="538">
          <cell r="F538">
            <v>1.4007091522216797E-6</v>
          </cell>
          <cell r="G538">
            <v>-4.0978193283081055E-8</v>
          </cell>
          <cell r="H538">
            <v>-1.5236437320709229E-6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BALANCE"/>
      <sheetName val="Kinger_sheet"/>
      <sheetName val="TALLY"/>
      <sheetName val="OUT_GOING_FILLS"/>
      <sheetName val="Daily_check"/>
      <sheetName val="period_check"/>
      <sheetName val="OLD-EMPTY-IN"/>
      <sheetName val="NEW-EMPTY-IN"/>
      <sheetName val="EMPTY-OUT"/>
      <sheetName val="ADJUSTMENTS"/>
      <sheetName val="FA TB 28-2-2006"/>
    </sheetNames>
    <sheetDataSet>
      <sheetData sheetId="0" refreshError="1">
        <row r="6">
          <cell r="B6" t="str">
            <v>HCC DHARWAD</v>
          </cell>
        </row>
        <row r="7">
          <cell r="B7" t="str">
            <v>HCC EAST</v>
          </cell>
        </row>
        <row r="8">
          <cell r="B8" t="str">
            <v>HCC HEBBAL</v>
          </cell>
        </row>
        <row r="9">
          <cell r="B9" t="str">
            <v>HCC HOSPET</v>
          </cell>
        </row>
        <row r="10">
          <cell r="B10" t="str">
            <v>HCC MEGA</v>
          </cell>
        </row>
        <row r="11">
          <cell r="B11" t="str">
            <v>HCC MYSORE</v>
          </cell>
        </row>
        <row r="12">
          <cell r="B12" t="str">
            <v>HCC NORTH</v>
          </cell>
        </row>
        <row r="13">
          <cell r="B13" t="str">
            <v>HCC SOUTH</v>
          </cell>
        </row>
        <row r="14">
          <cell r="B14" t="str">
            <v>HCC WEST</v>
          </cell>
        </row>
        <row r="15">
          <cell r="B15" t="str">
            <v>HCC MANGALORE</v>
          </cell>
        </row>
        <row r="16">
          <cell r="B16" t="str">
            <v>SRI KRISHNA MARKT</v>
          </cell>
        </row>
        <row r="17">
          <cell r="B17" t="str">
            <v>BLACK DIMOND BEVERAGES</v>
          </cell>
        </row>
        <row r="18">
          <cell r="B18" t="str">
            <v>HCC AHMEDABAD</v>
          </cell>
        </row>
        <row r="19">
          <cell r="B19" t="str">
            <v>HCC AMEENPUR</v>
          </cell>
        </row>
        <row r="20">
          <cell r="B20" t="str">
            <v>HCC ATMAKURU</v>
          </cell>
        </row>
        <row r="21">
          <cell r="B21" t="str">
            <v>HCC BHUBNESHWAR</v>
          </cell>
        </row>
        <row r="22">
          <cell r="B22" t="str">
            <v>HCC CALCUTTA</v>
          </cell>
        </row>
        <row r="23">
          <cell r="B23" t="str">
            <v>HCC CALICUT</v>
          </cell>
        </row>
        <row r="24">
          <cell r="B24" t="str">
            <v>HCC CHENNAI</v>
          </cell>
        </row>
        <row r="25">
          <cell r="B25" t="str">
            <v>HCC COCHIN</v>
          </cell>
        </row>
        <row r="26">
          <cell r="B26" t="str">
            <v>HCC COIMBATORE</v>
          </cell>
        </row>
        <row r="27">
          <cell r="B27" t="str">
            <v>HCC ERNAKULAM</v>
          </cell>
        </row>
        <row r="28">
          <cell r="B28" t="str">
            <v>HCC GOA</v>
          </cell>
        </row>
        <row r="29">
          <cell r="B29" t="str">
            <v>HCC GUJARAT</v>
          </cell>
        </row>
        <row r="30">
          <cell r="B30" t="str">
            <v>HCC GUWAHATI</v>
          </cell>
        </row>
        <row r="31">
          <cell r="B31" t="str">
            <v>HCC JAMSHEDPUR</v>
          </cell>
        </row>
        <row r="32">
          <cell r="B32" t="str">
            <v>HCC JORHAT</v>
          </cell>
        </row>
        <row r="33">
          <cell r="B33" t="str">
            <v>HCC KHURDA</v>
          </cell>
        </row>
        <row r="34">
          <cell r="B34" t="str">
            <v>HCC KURNOOL</v>
          </cell>
        </row>
        <row r="35">
          <cell r="B35" t="str">
            <v>HCC MADURAI</v>
          </cell>
        </row>
        <row r="36">
          <cell r="B36" t="str">
            <v>HCC MARTHANDAM</v>
          </cell>
        </row>
        <row r="37">
          <cell r="B37" t="str">
            <v>HCC MOULA-ALI</v>
          </cell>
        </row>
        <row r="38">
          <cell r="B38" t="str">
            <v>HCC MUMBAI</v>
          </cell>
        </row>
        <row r="39">
          <cell r="B39" t="str">
            <v>HCC NASIK</v>
          </cell>
        </row>
        <row r="40">
          <cell r="B40" t="str">
            <v>HCC NELLORE</v>
          </cell>
        </row>
        <row r="41">
          <cell r="B41" t="str">
            <v>HCC PALAKAD</v>
          </cell>
        </row>
        <row r="42">
          <cell r="B42" t="str">
            <v>HCC PATNA</v>
          </cell>
        </row>
        <row r="43">
          <cell r="B43" t="str">
            <v>HCC POLLACHI</v>
          </cell>
        </row>
        <row r="44">
          <cell r="B44" t="str">
            <v>HCC PUNE</v>
          </cell>
        </row>
        <row r="45">
          <cell r="B45" t="str">
            <v>HCC SALEM</v>
          </cell>
        </row>
        <row r="46">
          <cell r="B46" t="str">
            <v>HCC SILIGIRI</v>
          </cell>
        </row>
        <row r="47">
          <cell r="B47" t="str">
            <v>HCC THANE</v>
          </cell>
        </row>
        <row r="48">
          <cell r="B48" t="str">
            <v>HCC THIRAVALLORE</v>
          </cell>
        </row>
        <row r="49">
          <cell r="B49" t="str">
            <v>HCC TRICHY</v>
          </cell>
        </row>
        <row r="50">
          <cell r="B50" t="str">
            <v>HCC TRIVANDRUM</v>
          </cell>
        </row>
        <row r="51">
          <cell r="B51" t="str">
            <v>HCC VISHAKAPATANAM</v>
          </cell>
        </row>
        <row r="52">
          <cell r="B52" t="str">
            <v>SARVARAYA SUGARS (SATHUPALLI)</v>
          </cell>
        </row>
        <row r="53">
          <cell r="B53" t="str">
            <v>SARVARAYA SUGARS (VEMAGIRI)</v>
          </cell>
        </row>
        <row r="54">
          <cell r="B54" t="str">
            <v>BREAKAGE INVOICE</v>
          </cell>
        </row>
        <row r="55">
          <cell r="B55" t="str">
            <v>CANCELLED</v>
          </cell>
        </row>
        <row r="56">
          <cell r="B56" t="str">
            <v>CANTEEN</v>
          </cell>
        </row>
        <row r="57">
          <cell r="B57" t="str">
            <v>COLGATE POLMOLIVE</v>
          </cell>
        </row>
        <row r="58">
          <cell r="B58" t="str">
            <v>EMPLOYEE SALE</v>
          </cell>
        </row>
        <row r="59">
          <cell r="B59" t="str">
            <v>FILLS BREAKAGES</v>
          </cell>
        </row>
        <row r="60">
          <cell r="B60" t="str">
            <v>GODREJ FOODS LTD. (MYSORE)</v>
          </cell>
        </row>
        <row r="61">
          <cell r="B61" t="str">
            <v>HCC BIDADI</v>
          </cell>
        </row>
        <row r="62">
          <cell r="B62" t="str">
            <v>HINDUSTAN LIVER LTD</v>
          </cell>
        </row>
        <row r="63">
          <cell r="B63" t="str">
            <v>HINDUSTAN NATIONAL GLASS (CALCUTTA)</v>
          </cell>
        </row>
        <row r="64">
          <cell r="B64" t="str">
            <v>HINDUSTAN SANITARY (HYDERABAD)</v>
          </cell>
        </row>
        <row r="65">
          <cell r="B65" t="str">
            <v>L  &amp; T  (PUNE)</v>
          </cell>
        </row>
        <row r="66">
          <cell r="B66" t="str">
            <v>L &amp; T (NASIK)</v>
          </cell>
        </row>
        <row r="67">
          <cell r="B67" t="str">
            <v>MISCELLANEOUS</v>
          </cell>
        </row>
        <row r="68">
          <cell r="B68" t="str">
            <v>OBL (PONDYCHERRY)</v>
          </cell>
        </row>
        <row r="69">
          <cell r="B69" t="str">
            <v>OBL (PUNE)</v>
          </cell>
        </row>
        <row r="70">
          <cell r="B70" t="str">
            <v xml:space="preserve">PEPSICO INDIA </v>
          </cell>
        </row>
        <row r="71">
          <cell r="B71" t="str">
            <v>PRINCE MULTIPLAST (P) LTD. (GOA)</v>
          </cell>
        </row>
        <row r="72">
          <cell r="B72" t="str">
            <v>SAMPLING/FREES</v>
          </cell>
        </row>
        <row r="73">
          <cell r="B73" t="str">
            <v>STAR ENTP(YESHWANTHPUR)</v>
          </cell>
        </row>
        <row r="74">
          <cell r="B74" t="str">
            <v>STAR WORKER</v>
          </cell>
        </row>
        <row r="75">
          <cell r="B75" t="str">
            <v>ABHISHEK DISTRIBUTORS(K.R.PET)</v>
          </cell>
        </row>
        <row r="76">
          <cell r="B76" t="str">
            <v>AKSHYA ENTP (MANDYA)</v>
          </cell>
        </row>
        <row r="77">
          <cell r="B77" t="str">
            <v>AMRUTH AGENCIES (HOSADURGA)</v>
          </cell>
        </row>
        <row r="78">
          <cell r="B78" t="str">
            <v>ANNAPURNA AGENCY (SAKLESHPUR)</v>
          </cell>
        </row>
        <row r="79">
          <cell r="B79" t="str">
            <v>ANUGRAHA MKTG (BHADRAVATHI)</v>
          </cell>
        </row>
        <row r="80">
          <cell r="B80" t="str">
            <v>AVINASH AGENCIES (HOSPET)</v>
          </cell>
        </row>
        <row r="81">
          <cell r="B81" t="str">
            <v>BALAJI AGENCIES (C N HALLI)</v>
          </cell>
        </row>
        <row r="82">
          <cell r="B82" t="str">
            <v>BALAJI ENTP (T.NARSIPURA)</v>
          </cell>
        </row>
        <row r="83">
          <cell r="B83" t="str">
            <v>BASAVARAJ SUPER STOCKIST (BAGALKOT)</v>
          </cell>
        </row>
        <row r="84">
          <cell r="B84" t="str">
            <v>BASAVARAJ TRADERS (BAGALKOT)</v>
          </cell>
        </row>
        <row r="85">
          <cell r="B85" t="str">
            <v>BASAVESHWARA (MALUR)</v>
          </cell>
        </row>
        <row r="86">
          <cell r="B86" t="str">
            <v>BASAVESHWARA MYSORE</v>
          </cell>
        </row>
        <row r="87">
          <cell r="B87" t="str">
            <v>BENAKA DISTRIBUTOR (TUMKUR)</v>
          </cell>
        </row>
        <row r="88">
          <cell r="B88" t="str">
            <v>BHAGIRATHI AGENCIES (BIJAPUR)</v>
          </cell>
        </row>
        <row r="89">
          <cell r="B89" t="str">
            <v>BHASKAR AGENCIES (CHITTOR)</v>
          </cell>
        </row>
        <row r="90">
          <cell r="B90" t="str">
            <v>BRAHMADEVA DISTRIBUTORS (SHRAVANABELAGOLA)</v>
          </cell>
        </row>
        <row r="91">
          <cell r="B91" t="str">
            <v>BRAMHADEVA TRADER (BELLUR)</v>
          </cell>
        </row>
        <row r="92">
          <cell r="B92" t="str">
            <v>BYRAVESWARA AGENCIES (MUDIGERE)</v>
          </cell>
        </row>
        <row r="93">
          <cell r="B93" t="str">
            <v>CAUVERY DISTRIBUTOR (CHICKMANGALORE)</v>
          </cell>
        </row>
        <row r="94">
          <cell r="B94" t="str">
            <v>CAUVERY TRADING (MANGALORE)</v>
          </cell>
        </row>
        <row r="95">
          <cell r="B95" t="str">
            <v>CHAITANYA AGENCIES (ARSIKERE)</v>
          </cell>
        </row>
        <row r="96">
          <cell r="B96" t="str">
            <v>CHANDRAKALA DIST (CHITRADURGA)</v>
          </cell>
        </row>
        <row r="97">
          <cell r="B97" t="str">
            <v>DURGASHREE ENTERPRISES (HONALI)</v>
          </cell>
        </row>
        <row r="98">
          <cell r="B98" t="str">
            <v>ELIYAS MKTG AGENCY (HOLALKERE)</v>
          </cell>
        </row>
        <row r="99">
          <cell r="B99" t="str">
            <v>ESHWARI DISTRIBUTORS (HALGUR)</v>
          </cell>
        </row>
        <row r="100">
          <cell r="B100" t="str">
            <v>ESPEE (BUNDER)</v>
          </cell>
        </row>
        <row r="101">
          <cell r="B101" t="str">
            <v>FERNS DISTRIBUTOR (UDUPI)</v>
          </cell>
        </row>
        <row r="102">
          <cell r="B102" t="str">
            <v>GANAPATHI AGENCIES (RAICHUR)</v>
          </cell>
        </row>
        <row r="103">
          <cell r="B103" t="str">
            <v>GANESH AGENCIES (THIRTHAHALLI)</v>
          </cell>
        </row>
        <row r="104">
          <cell r="B104" t="str">
            <v>GANESH AGENCIES (TIPTUR)</v>
          </cell>
        </row>
        <row r="105">
          <cell r="B105" t="str">
            <v>GAYATRI TRADERS (KADUR)</v>
          </cell>
        </row>
        <row r="106">
          <cell r="B106" t="str">
            <v>GIRI AGENCIES (TUMKUR)</v>
          </cell>
        </row>
        <row r="107">
          <cell r="B107" t="str">
            <v>GOUTHAMI AGENCIES (GANGAVATHI)</v>
          </cell>
        </row>
        <row r="108">
          <cell r="B108" t="str">
            <v>GOWRISHANKAR ENTP (MYSORE)</v>
          </cell>
        </row>
        <row r="109">
          <cell r="B109" t="str">
            <v>HKV ENTERPRISES (DHARWAD)</v>
          </cell>
        </row>
        <row r="110">
          <cell r="B110" t="str">
            <v>HAIFA DISTRIBUTOR (ALDUR)</v>
          </cell>
        </row>
        <row r="111">
          <cell r="B111" t="str">
            <v>HAMSA ENTERPRISES (HOLENARSIPUR)</v>
          </cell>
        </row>
        <row r="112">
          <cell r="B112" t="str">
            <v>HOYSALA ENTERPRISES (HASSAN)</v>
          </cell>
        </row>
        <row r="113">
          <cell r="B113" t="str">
            <v>INCHARA DISTRIBUTOR (SIRA)</v>
          </cell>
        </row>
        <row r="114">
          <cell r="B114" t="str">
            <v>JADE DISTRIBUTORS (M.M HILLS)</v>
          </cell>
        </row>
        <row r="115">
          <cell r="B115" t="str">
            <v>JAGADEESH B (VIJAYAPUR)</v>
          </cell>
        </row>
        <row r="116">
          <cell r="B116" t="str">
            <v>JEEVAN ENTP (BELGAUM)</v>
          </cell>
        </row>
        <row r="117">
          <cell r="B117" t="str">
            <v>JEEVAN ENTP (HOSPET)</v>
          </cell>
        </row>
        <row r="118">
          <cell r="B118" t="str">
            <v>JUICE &amp; ICE CREAM (PERIYAPATNA)</v>
          </cell>
        </row>
        <row r="119">
          <cell r="B119" t="str">
            <v>KARNATAKA DIST. (CHALLEKERI)</v>
          </cell>
        </row>
        <row r="120">
          <cell r="B120" t="str">
            <v>KEDAR AGENCY (MULUBAGAL)</v>
          </cell>
        </row>
        <row r="121">
          <cell r="B121" t="str">
            <v>KEERTHY ENTP (CHINTAMANI)</v>
          </cell>
        </row>
        <row r="122">
          <cell r="B122" t="str">
            <v>LAXMI AGENCIES (CHENNAGIRI)</v>
          </cell>
        </row>
        <row r="123">
          <cell r="B123" t="str">
            <v>LAXMI AGENCIES (MADIKERI)</v>
          </cell>
        </row>
        <row r="124">
          <cell r="B124" t="str">
            <v>LAXMI AGENCY (BIRUR)</v>
          </cell>
        </row>
        <row r="125">
          <cell r="B125" t="str">
            <v>M I P DISTRIBUTOR (MALAVALLI)</v>
          </cell>
        </row>
        <row r="126">
          <cell r="B126" t="str">
            <v>MAHALAKSHMI AGENCIES (BIDAR)</v>
          </cell>
        </row>
        <row r="127">
          <cell r="B127" t="str">
            <v>MAMTA ENTP (GULBARGA)</v>
          </cell>
        </row>
        <row r="128">
          <cell r="B128" t="str">
            <v>MANJU DISTRIBUTOR ( K.G.F)</v>
          </cell>
        </row>
        <row r="129">
          <cell r="B129" t="str">
            <v>MANJUNATH AGENCIES (BELLARY)</v>
          </cell>
        </row>
        <row r="130">
          <cell r="B130" t="str">
            <v>MANJULA ENTP (CHITRADURGA)</v>
          </cell>
        </row>
        <row r="131">
          <cell r="B131" t="str">
            <v>MARLIN ENTP (BELGAUM)</v>
          </cell>
        </row>
        <row r="132">
          <cell r="B132" t="str">
            <v>MARUTHI TRADERS (HULIUR DURGHA)</v>
          </cell>
        </row>
        <row r="133">
          <cell r="B133" t="str">
            <v>MARUTI AGENCIES (KORATA GERE)</v>
          </cell>
        </row>
        <row r="134">
          <cell r="B134" t="str">
            <v>MAYURESH TRADING (ATHANI)</v>
          </cell>
        </row>
        <row r="135">
          <cell r="B135" t="str">
            <v>MOHAN AGEN JAVAGAL</v>
          </cell>
        </row>
        <row r="136">
          <cell r="B136" t="str">
            <v>MOHIT TRADERS (HUBLI)</v>
          </cell>
        </row>
        <row r="137">
          <cell r="B137" t="str">
            <v>N S P ENTP (SHIMOGA)</v>
          </cell>
        </row>
        <row r="138">
          <cell r="B138" t="str">
            <v>NANDA AGENCIES (NAGAMANGALA)</v>
          </cell>
        </row>
        <row r="139">
          <cell r="B139" t="str">
            <v>NANDINISHREE ENTERPRISES(HARIHAR)</v>
          </cell>
        </row>
        <row r="140">
          <cell r="B140" t="str">
            <v>NANJUNDESHWARA SWEETS (NELAMAGALA)</v>
          </cell>
        </row>
        <row r="141">
          <cell r="B141" t="str">
            <v>NETHRAVATHI AGENCIES (CHICKBALLAPUR)</v>
          </cell>
        </row>
        <row r="142">
          <cell r="B142" t="str">
            <v>NIGUDGI AGENCIES (GULBARGA)</v>
          </cell>
        </row>
        <row r="143">
          <cell r="B143" t="str">
            <v>PADMASHREE ENTP (TURUVEKERE)</v>
          </cell>
        </row>
        <row r="144">
          <cell r="B144" t="str">
            <v>PALLAVI ENTP (N R PURA)</v>
          </cell>
        </row>
        <row r="145">
          <cell r="B145" t="str">
            <v>PRAGATHI (HIRIYUR)</v>
          </cell>
        </row>
        <row r="146">
          <cell r="B146" t="str">
            <v>PRIYANKA ENTERPRISES (DODBALLAPUR)</v>
          </cell>
        </row>
        <row r="147">
          <cell r="B147" t="str">
            <v>R K AGENCIES (SAGAR)</v>
          </cell>
        </row>
        <row r="148">
          <cell r="B148" t="str">
            <v>RAGHAVENDRA AGENCIES (MALEBANNUR)</v>
          </cell>
        </row>
        <row r="149">
          <cell r="B149" t="str">
            <v>RAGHAVENDRA TRADERS (DHARWAD)</v>
          </cell>
        </row>
        <row r="150">
          <cell r="B150" t="str">
            <v>RAJ ENTERPRISES (BELGAUM)</v>
          </cell>
        </row>
        <row r="151">
          <cell r="B151" t="str">
            <v>RAMYA TRADERS (BELUR)</v>
          </cell>
        </row>
        <row r="152">
          <cell r="B152" t="str">
            <v>RENUKA AGENCIES (AJJAMPURA)</v>
          </cell>
        </row>
        <row r="153">
          <cell r="B153" t="str">
            <v>ROHINI ENTERPRISES (DAVANGERE)</v>
          </cell>
        </row>
        <row r="154">
          <cell r="B154" t="str">
            <v>ROSHAN ENTP (PAVAGADA)</v>
          </cell>
        </row>
        <row r="155">
          <cell r="B155" t="str">
            <v>RUMANA TDNG CO.,(CHAMARAJNAGAR)</v>
          </cell>
        </row>
        <row r="156">
          <cell r="B156" t="str">
            <v>S G DISTRIBUTOR (MYSORE)</v>
          </cell>
        </row>
        <row r="157">
          <cell r="B157" t="str">
            <v>S R AGENCY (SURATHKAL)</v>
          </cell>
        </row>
        <row r="158">
          <cell r="B158" t="str">
            <v>S R S AGENCY (ARAKALGUD)</v>
          </cell>
        </row>
        <row r="159">
          <cell r="B159" t="str">
            <v>S.N. ENTERPRISES ( MADDUR )</v>
          </cell>
        </row>
        <row r="160">
          <cell r="B160" t="str">
            <v>SANJANA ENTERPRISES (BANNUR)</v>
          </cell>
        </row>
        <row r="161">
          <cell r="B161" t="str">
            <v>SANTOSH ENTP (K R NAGAR)</v>
          </cell>
        </row>
        <row r="162">
          <cell r="B162" t="str">
            <v>NAGA ENTERPRISE (SRIRANGAPATNA)</v>
          </cell>
        </row>
        <row r="163">
          <cell r="B163" t="str">
            <v>SACHIN AGENCIES (HUMNABAD)</v>
          </cell>
        </row>
        <row r="164">
          <cell r="B164" t="str">
            <v>SAPTHAGIRI MKTNG (MASKI)</v>
          </cell>
        </row>
        <row r="165">
          <cell r="B165" t="str">
            <v>SAYHADRI ENTP (CHANNARAYAPATNA)</v>
          </cell>
        </row>
        <row r="166">
          <cell r="B166" t="str">
            <v>SAVANTH AGENCIES (KARWAR)</v>
          </cell>
        </row>
        <row r="167">
          <cell r="B167" t="str">
            <v>SEEMA ENTP (BANGARPET)</v>
          </cell>
        </row>
        <row r="168">
          <cell r="B168" t="str">
            <v>SEETHARAM (KANAKPURA)</v>
          </cell>
        </row>
        <row r="169">
          <cell r="B169" t="str">
            <v>SHARDA DISTRIBUTOR (KOLAR)</v>
          </cell>
        </row>
        <row r="170">
          <cell r="B170" t="str">
            <v>SHREE SHIVA AGENY (MOLKALMURU)</v>
          </cell>
        </row>
        <row r="171">
          <cell r="B171" t="str">
            <v>SIDDESHWAR DISTRIBUTOR (BIJAPUR)</v>
          </cell>
        </row>
        <row r="172">
          <cell r="B172" t="str">
            <v>SRI DEVI ENTP (RAMNAGAR)</v>
          </cell>
        </row>
        <row r="173">
          <cell r="B173" t="str">
            <v>SRI HARI TRADERS(DHARWAD)</v>
          </cell>
        </row>
        <row r="174">
          <cell r="B174" t="str">
            <v>SRI RAMA DISTRIBUTOR (MYSORE)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LATEMP"/>
      <sheetName val="BSLA"/>
      <sheetName val="Balances"/>
      <sheetName val="Transactions"/>
      <sheetName val="Cash Management"/>
      <sheetName val="Invoices"/>
      <sheetName val="Invoice Drill"/>
      <sheetName val="Journal Drill"/>
      <sheetName val="Projects"/>
      <sheetName val="ARInvoice"/>
    </sheetNames>
    <sheetDataSet>
      <sheetData sheetId="0"/>
      <sheetData sheetId="1">
        <row r="1">
          <cell r="A1" t="str">
            <v>GCW_LOCAL_INR_01</v>
          </cell>
          <cell r="L1" t="str">
            <v>ADJ-2007</v>
          </cell>
        </row>
        <row r="2">
          <cell r="A2" t="str">
            <v>GD_IBC_PRIM_INR_01</v>
          </cell>
          <cell r="L2" t="str">
            <v>03-2007</v>
          </cell>
        </row>
        <row r="3">
          <cell r="A3" t="str">
            <v>SBM_LOCAL_INR_01</v>
          </cell>
          <cell r="L3" t="str">
            <v>02-2007</v>
          </cell>
        </row>
        <row r="4">
          <cell r="A4" t="str">
            <v>SBP_LOCAL_INR_01</v>
          </cell>
          <cell r="L4" t="str">
            <v>01-2007</v>
          </cell>
        </row>
        <row r="5">
          <cell r="L5" t="str">
            <v>12-2006</v>
          </cell>
        </row>
        <row r="6">
          <cell r="L6" t="str">
            <v>11-2006</v>
          </cell>
        </row>
        <row r="7">
          <cell r="L7" t="str">
            <v>10-2006</v>
          </cell>
        </row>
        <row r="8">
          <cell r="L8" t="str">
            <v>09-2006</v>
          </cell>
        </row>
        <row r="9">
          <cell r="L9" t="str">
            <v>08-2006</v>
          </cell>
        </row>
        <row r="10">
          <cell r="L10" t="str">
            <v>07-2006</v>
          </cell>
        </row>
        <row r="11">
          <cell r="L11" t="str">
            <v>06-2006</v>
          </cell>
        </row>
        <row r="12">
          <cell r="L12" t="str">
            <v>05-2006</v>
          </cell>
        </row>
        <row r="13">
          <cell r="L13" t="str">
            <v>04-2006</v>
          </cell>
        </row>
        <row r="14">
          <cell r="L14" t="str">
            <v>YRC-06</v>
          </cell>
        </row>
        <row r="15">
          <cell r="L15" t="str">
            <v>ADJ-06</v>
          </cell>
        </row>
        <row r="16">
          <cell r="L16" t="str">
            <v>03-2006</v>
          </cell>
        </row>
        <row r="17">
          <cell r="L17" t="str">
            <v>02-2006</v>
          </cell>
        </row>
        <row r="18">
          <cell r="L18" t="str">
            <v>01-2006</v>
          </cell>
        </row>
        <row r="19">
          <cell r="L19" t="str">
            <v>12-2005</v>
          </cell>
        </row>
        <row r="20">
          <cell r="L20" t="str">
            <v>11-2005</v>
          </cell>
        </row>
        <row r="21">
          <cell r="L21" t="str">
            <v>10-2005</v>
          </cell>
        </row>
        <row r="22">
          <cell r="L22" t="str">
            <v>09-2005</v>
          </cell>
        </row>
        <row r="23">
          <cell r="L23" t="str">
            <v>08-2005</v>
          </cell>
        </row>
        <row r="24">
          <cell r="L24" t="str">
            <v>07-2005</v>
          </cell>
        </row>
        <row r="25">
          <cell r="L25" t="str">
            <v>06-2005</v>
          </cell>
        </row>
        <row r="26">
          <cell r="L26" t="str">
            <v>05-2005</v>
          </cell>
        </row>
        <row r="27">
          <cell r="L27" t="str">
            <v>04-2005</v>
          </cell>
        </row>
        <row r="28">
          <cell r="L28" t="str">
            <v>YRC-05</v>
          </cell>
        </row>
        <row r="29">
          <cell r="L29" t="str">
            <v>ADJ-05</v>
          </cell>
        </row>
        <row r="30">
          <cell r="L30" t="str">
            <v>03-2005</v>
          </cell>
        </row>
        <row r="31">
          <cell r="L31" t="str">
            <v>02-2005</v>
          </cell>
        </row>
        <row r="32">
          <cell r="L32" t="str">
            <v>01-2005</v>
          </cell>
        </row>
        <row r="33">
          <cell r="L33" t="str">
            <v>12-2004</v>
          </cell>
        </row>
        <row r="34">
          <cell r="L34" t="str">
            <v>11-2004</v>
          </cell>
        </row>
        <row r="35">
          <cell r="L35" t="str">
            <v>10-2004</v>
          </cell>
        </row>
        <row r="36">
          <cell r="L36" t="str">
            <v>09-2004</v>
          </cell>
        </row>
        <row r="37">
          <cell r="L37" t="str">
            <v>08-2004</v>
          </cell>
        </row>
        <row r="38">
          <cell r="L38" t="str">
            <v>07-2004</v>
          </cell>
        </row>
        <row r="39">
          <cell r="L39" t="str">
            <v>06-2004</v>
          </cell>
        </row>
        <row r="40">
          <cell r="L40" t="str">
            <v>05-2004</v>
          </cell>
        </row>
        <row r="41">
          <cell r="L41" t="str">
            <v>04-2004</v>
          </cell>
        </row>
        <row r="42">
          <cell r="L42" t="str">
            <v>YRC-04</v>
          </cell>
        </row>
        <row r="43">
          <cell r="L43" t="str">
            <v>ADJ-04</v>
          </cell>
        </row>
        <row r="44">
          <cell r="L44" t="str">
            <v>03-2004</v>
          </cell>
        </row>
        <row r="45">
          <cell r="L45" t="str">
            <v>02-2004</v>
          </cell>
        </row>
        <row r="46">
          <cell r="L46" t="str">
            <v>01-2004</v>
          </cell>
        </row>
        <row r="47">
          <cell r="L47" t="str">
            <v>12-2003</v>
          </cell>
        </row>
        <row r="48">
          <cell r="L48" t="str">
            <v>11-2003</v>
          </cell>
        </row>
        <row r="49">
          <cell r="L49" t="str">
            <v>10-2003</v>
          </cell>
        </row>
        <row r="50">
          <cell r="L50" t="str">
            <v>09-2003</v>
          </cell>
        </row>
        <row r="51">
          <cell r="L51" t="str">
            <v>08-2003</v>
          </cell>
        </row>
        <row r="52">
          <cell r="L52" t="str">
            <v>07-2003</v>
          </cell>
        </row>
        <row r="53">
          <cell r="L53" t="str">
            <v>06-2003</v>
          </cell>
        </row>
        <row r="54">
          <cell r="L54" t="str">
            <v>05-2003</v>
          </cell>
        </row>
        <row r="55">
          <cell r="L55" t="str">
            <v>04-2003</v>
          </cell>
        </row>
        <row r="56">
          <cell r="L56" t="str">
            <v>YRC-03</v>
          </cell>
        </row>
        <row r="57">
          <cell r="L57" t="str">
            <v>ADJ-03</v>
          </cell>
        </row>
        <row r="58">
          <cell r="L58" t="str">
            <v>03-2003</v>
          </cell>
        </row>
        <row r="59">
          <cell r="L59" t="str">
            <v>02-2003</v>
          </cell>
        </row>
        <row r="60">
          <cell r="L60" t="str">
            <v>01-2003</v>
          </cell>
        </row>
        <row r="61">
          <cell r="L61" t="str">
            <v>12-2002</v>
          </cell>
        </row>
        <row r="62">
          <cell r="L62" t="str">
            <v>11-2002</v>
          </cell>
        </row>
        <row r="63">
          <cell r="L63" t="str">
            <v>10-2002</v>
          </cell>
        </row>
        <row r="64">
          <cell r="L64" t="str">
            <v>09-2002</v>
          </cell>
        </row>
        <row r="65">
          <cell r="L65" t="str">
            <v>08-2002</v>
          </cell>
        </row>
        <row r="66">
          <cell r="L66" t="str">
            <v>07-2002</v>
          </cell>
        </row>
        <row r="67">
          <cell r="L67" t="str">
            <v>06-2002</v>
          </cell>
        </row>
        <row r="68">
          <cell r="L68" t="str">
            <v>05-2002</v>
          </cell>
        </row>
        <row r="69">
          <cell r="L69" t="str">
            <v>04-2002</v>
          </cell>
        </row>
      </sheetData>
      <sheetData sheetId="2"/>
      <sheetData sheetId="3"/>
      <sheetData sheetId="4"/>
      <sheetData sheetId="5"/>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FT"/>
    </sheetNames>
    <sheetDataSet>
      <sheetData sheetId="0">
        <row r="1">
          <cell r="A1" t="str">
            <v>ACME GLOBAL</v>
          </cell>
        </row>
        <row r="3">
          <cell r="A3" t="str">
            <v xml:space="preserve"> BALANCE  SHEET  AS AT  31ST MARCH, 2003</v>
          </cell>
        </row>
        <row r="4">
          <cell r="D4" t="str">
            <v>SCHE</v>
          </cell>
          <cell r="H4" t="str">
            <v>AS AT</v>
          </cell>
        </row>
        <row r="5">
          <cell r="B5" t="str">
            <v>PARTICULARS</v>
          </cell>
          <cell r="D5" t="str">
            <v>DULE</v>
          </cell>
          <cell r="F5" t="str">
            <v>(RS.)</v>
          </cell>
          <cell r="H5" t="str">
            <v>31/03/2003</v>
          </cell>
        </row>
        <row r="6">
          <cell r="D6" t="str">
            <v/>
          </cell>
          <cell r="E6" t="str">
            <v/>
          </cell>
          <cell r="H6" t="str">
            <v>(RS.)</v>
          </cell>
        </row>
        <row r="7">
          <cell r="A7" t="str">
            <v xml:space="preserve">I.       </v>
          </cell>
          <cell r="B7" t="str">
            <v>SOURCES OF FUNDS</v>
          </cell>
        </row>
        <row r="8">
          <cell r="F8" t="str">
            <v/>
          </cell>
          <cell r="H8" t="str">
            <v/>
          </cell>
        </row>
        <row r="9">
          <cell r="B9" t="str">
            <v>OWN FUNDS</v>
          </cell>
        </row>
        <row r="10">
          <cell r="B10" t="str">
            <v>PARTNER'S CAPITAL ACCOUNT</v>
          </cell>
          <cell r="D10">
            <v>1</v>
          </cell>
          <cell r="H10">
            <v>50356698.59450002</v>
          </cell>
        </row>
        <row r="12">
          <cell r="B12" t="str">
            <v>LOAN FUNDS</v>
          </cell>
        </row>
        <row r="13">
          <cell r="B13" t="str">
            <v>SECURED LOANS</v>
          </cell>
          <cell r="D13">
            <v>2</v>
          </cell>
          <cell r="H13">
            <v>41833198.689999998</v>
          </cell>
        </row>
        <row r="14">
          <cell r="B14" t="str">
            <v>UNCURED LOANS</v>
          </cell>
          <cell r="D14">
            <v>3</v>
          </cell>
          <cell r="H14">
            <v>528596.35</v>
          </cell>
        </row>
        <row r="16">
          <cell r="B16" t="str">
            <v>TOTAL</v>
          </cell>
          <cell r="H16">
            <v>92718493.634500012</v>
          </cell>
        </row>
        <row r="17">
          <cell r="A17" t="str">
            <v xml:space="preserve">II.      </v>
          </cell>
          <cell r="B17" t="str">
            <v>APPLICATION OF FUNDS</v>
          </cell>
        </row>
        <row r="19">
          <cell r="B19" t="str">
            <v>FIXED ASSETS</v>
          </cell>
          <cell r="D19">
            <v>4</v>
          </cell>
        </row>
        <row r="20">
          <cell r="B20" t="str">
            <v>GROSS BLOCK</v>
          </cell>
          <cell r="F20">
            <v>4162837.8200000003</v>
          </cell>
        </row>
        <row r="21">
          <cell r="B21" t="str">
            <v>LESS : DEPRECIATION</v>
          </cell>
          <cell r="F21">
            <v>1519805.2834999999</v>
          </cell>
        </row>
        <row r="22">
          <cell r="B22" t="str">
            <v>NET BLOCK</v>
          </cell>
          <cell r="H22">
            <v>2643032.5365000004</v>
          </cell>
        </row>
        <row r="23">
          <cell r="B23" t="str">
            <v>CAPITAL WORK-IN-PROGRESS</v>
          </cell>
          <cell r="H23">
            <v>0</v>
          </cell>
        </row>
        <row r="25">
          <cell r="B25" t="str">
            <v>CURRENT ASSETS, LOANS &amp; ADVANCES</v>
          </cell>
        </row>
        <row r="26">
          <cell r="B26" t="str">
            <v>INVENTORIES</v>
          </cell>
          <cell r="D26">
            <v>5</v>
          </cell>
          <cell r="F26">
            <v>14640991.969999999</v>
          </cell>
        </row>
        <row r="27">
          <cell r="B27" t="str">
            <v>SUNDRY DEBTORS</v>
          </cell>
          <cell r="D27">
            <v>6</v>
          </cell>
          <cell r="F27">
            <v>57268308.090000004</v>
          </cell>
        </row>
        <row r="28">
          <cell r="B28" t="str">
            <v>CASH &amp; BANK BALANCES</v>
          </cell>
          <cell r="D28">
            <v>7</v>
          </cell>
          <cell r="F28">
            <v>6578030.0899999999</v>
          </cell>
        </row>
        <row r="29">
          <cell r="B29" t="str">
            <v>LOANS &amp; ADVANCES</v>
          </cell>
          <cell r="D29">
            <v>8</v>
          </cell>
          <cell r="F29">
            <v>23236347.07</v>
          </cell>
        </row>
        <row r="30">
          <cell r="F30">
            <v>101723677.22</v>
          </cell>
        </row>
        <row r="32">
          <cell r="B32" t="str">
            <v>LESS : CURRENT LIABILITIES &amp; PROVISIONS</v>
          </cell>
          <cell r="D32">
            <v>9</v>
          </cell>
          <cell r="F32">
            <v>29974815.329999998</v>
          </cell>
        </row>
        <row r="33">
          <cell r="B33" t="str">
            <v>NET CURRENT ASSETS</v>
          </cell>
          <cell r="H33">
            <v>71748861.890000001</v>
          </cell>
        </row>
        <row r="35">
          <cell r="B35" t="str">
            <v>TOTAL</v>
          </cell>
          <cell r="H35">
            <v>74391894.426500008</v>
          </cell>
        </row>
        <row r="37">
          <cell r="B37" t="str">
            <v>AS PER OUR REPORT OF EVEN DATE ATTACHED</v>
          </cell>
        </row>
        <row r="39">
          <cell r="B39" t="str">
            <v>FOR SINGRODIA GOYAL &amp; CO.</v>
          </cell>
          <cell r="F39" t="str">
            <v>FOR ACME GLOBAL</v>
          </cell>
        </row>
        <row r="40">
          <cell r="B40" t="str">
            <v>CHARTERED ACCOUNTANTS</v>
          </cell>
        </row>
        <row r="41">
          <cell r="F41" t="str">
            <v/>
          </cell>
        </row>
        <row r="43">
          <cell r="B43" t="str">
            <v>SURESH MURARKA</v>
          </cell>
        </row>
        <row r="44">
          <cell r="B44" t="str">
            <v>PARTNER</v>
          </cell>
          <cell r="E44" t="str">
            <v/>
          </cell>
          <cell r="F44" t="str">
            <v>PARTNER</v>
          </cell>
        </row>
        <row r="46">
          <cell r="B46" t="str">
            <v>PLACE : MUMBAI</v>
          </cell>
          <cell r="F46" t="str">
            <v>PLACE : MUMBAI</v>
          </cell>
        </row>
        <row r="47">
          <cell r="B47" t="str">
            <v xml:space="preserve">DATE   :  </v>
          </cell>
          <cell r="F47" t="str">
            <v xml:space="preserve">DATE   :  </v>
          </cell>
        </row>
        <row r="48">
          <cell r="B48" t="str">
            <v>SIGNIFICANT ACCOUNTING POLICES &amp;</v>
          </cell>
          <cell r="D48">
            <v>16</v>
          </cell>
        </row>
        <row r="49">
          <cell r="B49" t="str">
            <v>NOTES ON ACCOUNTS</v>
          </cell>
        </row>
        <row r="51">
          <cell r="B51" t="str">
            <v>AS PER OUR REPORT OF EVEN DATE ATTACHED</v>
          </cell>
        </row>
        <row r="53">
          <cell r="B53" t="str">
            <v>FOR SINGRODIA GOYAL &amp; CO.</v>
          </cell>
          <cell r="F53" t="str">
            <v>FOR ACME GLOBAL</v>
          </cell>
        </row>
        <row r="54">
          <cell r="B54" t="str">
            <v>CHARTERED ACCOUNTANTS</v>
          </cell>
        </row>
        <row r="55">
          <cell r="F55" t="str">
            <v/>
          </cell>
        </row>
        <row r="57">
          <cell r="B57" t="str">
            <v>MANOJ SINGRODIA</v>
          </cell>
        </row>
        <row r="58">
          <cell r="B58" t="str">
            <v>PARTNER</v>
          </cell>
          <cell r="E58" t="str">
            <v/>
          </cell>
          <cell r="F58" t="str">
            <v>PARTNER</v>
          </cell>
        </row>
        <row r="60">
          <cell r="B60" t="str">
            <v>PLACE : MUMBAI</v>
          </cell>
          <cell r="F60" t="str">
            <v>PLACE : MUMBAI</v>
          </cell>
        </row>
        <row r="61">
          <cell r="B61" t="str">
            <v>DATE   :  10/10/2003</v>
          </cell>
          <cell r="F61" t="str">
            <v>DATE   :  10/10/2003</v>
          </cell>
        </row>
        <row r="63">
          <cell r="A63" t="str">
            <v>ACME GLOBAL</v>
          </cell>
        </row>
        <row r="65">
          <cell r="A65" t="str">
            <v>PROFIT &amp; LOSS ACCOUNT FOR THE YEAR ENDED 31ST MARCH, 2003</v>
          </cell>
        </row>
        <row r="66">
          <cell r="D66" t="str">
            <v>SCHE</v>
          </cell>
          <cell r="H66" t="str">
            <v>YEAR ENDED</v>
          </cell>
        </row>
        <row r="67">
          <cell r="B67" t="str">
            <v>PARTICULARS</v>
          </cell>
          <cell r="D67" t="str">
            <v>DULE</v>
          </cell>
          <cell r="H67" t="str">
            <v>31/03/2003</v>
          </cell>
        </row>
        <row r="68">
          <cell r="D68" t="str">
            <v/>
          </cell>
          <cell r="E68" t="str">
            <v/>
          </cell>
          <cell r="F68" t="str">
            <v/>
          </cell>
          <cell r="H68" t="str">
            <v>(RS.)</v>
          </cell>
        </row>
        <row r="69">
          <cell r="A69" t="str">
            <v>A.</v>
          </cell>
          <cell r="B69" t="str">
            <v>INCOME</v>
          </cell>
        </row>
        <row r="70">
          <cell r="B70" t="str">
            <v>INCOME FROM OPERATIONS</v>
          </cell>
          <cell r="D70">
            <v>10</v>
          </cell>
          <cell r="H70">
            <v>263096490.87</v>
          </cell>
        </row>
        <row r="71">
          <cell r="B71" t="str">
            <v>INCREASE IN STOCKS</v>
          </cell>
          <cell r="D71">
            <v>11</v>
          </cell>
          <cell r="H71">
            <v>3604726.82</v>
          </cell>
        </row>
        <row r="72">
          <cell r="B72" t="str">
            <v>TOTAL</v>
          </cell>
          <cell r="C72" t="str">
            <v/>
          </cell>
          <cell r="H72">
            <v>266701217.69</v>
          </cell>
        </row>
        <row r="74">
          <cell r="A74" t="str">
            <v>B.</v>
          </cell>
          <cell r="B74" t="str">
            <v>EXPENDITURE</v>
          </cell>
        </row>
        <row r="75">
          <cell r="B75" t="str">
            <v>COST OF MATERIALS CONSUMED / SOLD</v>
          </cell>
          <cell r="D75">
            <v>12</v>
          </cell>
          <cell r="H75">
            <v>220342760.32000002</v>
          </cell>
        </row>
        <row r="76">
          <cell r="B76" t="str">
            <v>PROCESSING CHARGES</v>
          </cell>
          <cell r="H76">
            <v>4875257.49</v>
          </cell>
        </row>
        <row r="77">
          <cell r="B77" t="str">
            <v>DIRECT EXPENSES</v>
          </cell>
          <cell r="D77">
            <v>13</v>
          </cell>
          <cell r="H77">
            <v>15952778.850000001</v>
          </cell>
        </row>
        <row r="78">
          <cell r="B78" t="str">
            <v>ADMINISTRATIVE &amp; SELLING EXPENSES</v>
          </cell>
          <cell r="D78">
            <v>14</v>
          </cell>
          <cell r="H78">
            <v>7476175.1100000003</v>
          </cell>
        </row>
        <row r="79">
          <cell r="B79" t="str">
            <v>FINANCIAL EXPENSES</v>
          </cell>
          <cell r="D79">
            <v>15</v>
          </cell>
          <cell r="H79">
            <v>2812905.8200000003</v>
          </cell>
        </row>
        <row r="80">
          <cell r="B80" t="str">
            <v>DEPRECIATION</v>
          </cell>
          <cell r="H80">
            <v>586846.31349999993</v>
          </cell>
        </row>
        <row r="82">
          <cell r="B82" t="str">
            <v>TOTAL</v>
          </cell>
          <cell r="H82">
            <v>252046723.90350002</v>
          </cell>
        </row>
        <row r="84">
          <cell r="B84" t="str">
            <v>PROFIT BEFORE TAX  (A - B)</v>
          </cell>
          <cell r="H84">
            <v>14654493.786499977</v>
          </cell>
        </row>
        <row r="85">
          <cell r="B85" t="str">
            <v>LESS : PROVISION FOR TAXATION</v>
          </cell>
          <cell r="H85">
            <v>2750000</v>
          </cell>
        </row>
        <row r="86">
          <cell r="B86" t="str">
            <v>PROFIT AFTER TAX TRANSFERRED TO PARTNERS CAPITAL ACCOUNT</v>
          </cell>
          <cell r="H86">
            <v>11904493.786499977</v>
          </cell>
        </row>
        <row r="88">
          <cell r="B88" t="str">
            <v>SIGNIFICANT ACCOUNTING POLICES &amp;</v>
          </cell>
          <cell r="D88">
            <v>16</v>
          </cell>
        </row>
        <row r="89">
          <cell r="B89" t="str">
            <v>NOTES ON ACCOUNTS</v>
          </cell>
        </row>
        <row r="91">
          <cell r="B91" t="str">
            <v>AS PER OUR REPORT OF EVEN DATE ATTACHED</v>
          </cell>
        </row>
        <row r="93">
          <cell r="B93" t="str">
            <v>FOR SINGRODIA GOYAL &amp; CO.</v>
          </cell>
          <cell r="F93" t="str">
            <v>FOR ACME GLOBAL</v>
          </cell>
        </row>
        <row r="94">
          <cell r="B94" t="str">
            <v>CHARTERED ACCOUNTANTS</v>
          </cell>
        </row>
        <row r="95">
          <cell r="F95" t="str">
            <v/>
          </cell>
        </row>
        <row r="97">
          <cell r="B97" t="str">
            <v>MANOJ SINGRODIA</v>
          </cell>
        </row>
        <row r="98">
          <cell r="B98" t="str">
            <v>PARTNER</v>
          </cell>
          <cell r="E98" t="str">
            <v/>
          </cell>
          <cell r="F98" t="str">
            <v>PARTNER</v>
          </cell>
          <cell r="H98" t="str">
            <v/>
          </cell>
        </row>
        <row r="100">
          <cell r="B100" t="str">
            <v>PLACE : MUMBAI</v>
          </cell>
          <cell r="F100" t="str">
            <v>PLACE : MUMBAI</v>
          </cell>
        </row>
        <row r="101">
          <cell r="B101" t="str">
            <v>DATE   :   10/11/2003</v>
          </cell>
          <cell r="F101" t="str">
            <v>DATE   :   10/11/2003</v>
          </cell>
        </row>
        <row r="104">
          <cell r="B104" t="str">
            <v>AS PER OUR REPORT OF EVEN DATE ATTACHED</v>
          </cell>
        </row>
        <row r="106">
          <cell r="B106" t="str">
            <v>FOR SINGRODIA GOYAL &amp; CO.</v>
          </cell>
          <cell r="F106" t="str">
            <v>FOR ACME GLOBAL</v>
          </cell>
        </row>
        <row r="107">
          <cell r="B107" t="str">
            <v>CHARTERED ACCOUNTANTS</v>
          </cell>
        </row>
        <row r="108">
          <cell r="F108" t="str">
            <v/>
          </cell>
        </row>
        <row r="110">
          <cell r="B110" t="str">
            <v>SURESH MURARKA</v>
          </cell>
        </row>
        <row r="111">
          <cell r="B111" t="str">
            <v>PARTNER</v>
          </cell>
          <cell r="E111" t="str">
            <v/>
          </cell>
          <cell r="F111" t="str">
            <v>PARTNER</v>
          </cell>
          <cell r="H111" t="str">
            <v/>
          </cell>
        </row>
        <row r="113">
          <cell r="B113" t="str">
            <v>PLACE : MUMBAI</v>
          </cell>
          <cell r="F113" t="str">
            <v>PLACE : MUMBAI</v>
          </cell>
        </row>
        <row r="114">
          <cell r="B114" t="str">
            <v xml:space="preserve">DATE   :  </v>
          </cell>
          <cell r="F114" t="str">
            <v xml:space="preserve">DATE   :  </v>
          </cell>
        </row>
        <row r="115">
          <cell r="A115" t="str">
            <v>ACME GLOBAL</v>
          </cell>
        </row>
        <row r="116">
          <cell r="A116" t="str">
            <v>SCHEDULES FORMING PART OF ACCOUNTS</v>
          </cell>
        </row>
        <row r="117">
          <cell r="H117" t="str">
            <v>AS AT</v>
          </cell>
        </row>
        <row r="118">
          <cell r="H118" t="str">
            <v>31/03/2003</v>
          </cell>
        </row>
        <row r="119">
          <cell r="D119" t="str">
            <v/>
          </cell>
          <cell r="E119" t="str">
            <v/>
          </cell>
          <cell r="H119" t="str">
            <v>(RS.)</v>
          </cell>
        </row>
        <row r="120">
          <cell r="B120" t="str">
            <v>SCHEDULE 2</v>
          </cell>
        </row>
        <row r="121">
          <cell r="B121" t="str">
            <v>SECURED LOANS</v>
          </cell>
        </row>
        <row r="122">
          <cell r="B122" t="str">
            <v>Working Capital Loans</v>
          </cell>
        </row>
        <row r="123">
          <cell r="B123" t="str">
            <v xml:space="preserve">Foreign Bill Purchase </v>
          </cell>
          <cell r="H123">
            <v>18605443.100000001</v>
          </cell>
        </row>
        <row r="124">
          <cell r="B124" t="str">
            <v xml:space="preserve">Packing Credit Loan </v>
          </cell>
          <cell r="H124">
            <v>20172546.359999999</v>
          </cell>
        </row>
        <row r="125">
          <cell r="B125" t="str">
            <v>CITI Bank Overdraft</v>
          </cell>
          <cell r="H125">
            <v>2468339.5699999998</v>
          </cell>
        </row>
        <row r="126">
          <cell r="B126" t="str">
            <v>Demand Loan against Vehicles</v>
          </cell>
        </row>
        <row r="127">
          <cell r="B127" t="str">
            <v xml:space="preserve">From- HDFC Bank  </v>
          </cell>
          <cell r="H127">
            <v>320200</v>
          </cell>
        </row>
        <row r="128">
          <cell r="B128" t="str">
            <v xml:space="preserve">           - Ford Kotak Mahindra Ltd </v>
          </cell>
          <cell r="H128">
            <v>266669.65999999997</v>
          </cell>
        </row>
        <row r="129">
          <cell r="B129" t="str">
            <v>(Secured against mortage of respective vehicles)</v>
          </cell>
        </row>
        <row r="130">
          <cell r="H130">
            <v>41833198.689999998</v>
          </cell>
        </row>
        <row r="132">
          <cell r="B132" t="str">
            <v>SCHEDULE 3</v>
          </cell>
        </row>
        <row r="134">
          <cell r="B134" t="str">
            <v>UNSECURED LOANS</v>
          </cell>
        </row>
        <row r="135">
          <cell r="B135" t="str">
            <v>From Sister Concern</v>
          </cell>
          <cell r="H135">
            <v>528596.35</v>
          </cell>
        </row>
        <row r="137">
          <cell r="H137">
            <v>528596.35</v>
          </cell>
        </row>
        <row r="139">
          <cell r="B139" t="str">
            <v>SCHEDULE 5</v>
          </cell>
        </row>
        <row r="140">
          <cell r="B140" t="str">
            <v>INVENTORIES</v>
          </cell>
        </row>
        <row r="141">
          <cell r="B141" t="str">
            <v>(As taken, valued and certified by Partner's)</v>
          </cell>
        </row>
        <row r="142">
          <cell r="B142" t="str">
            <v>Raw Material-Fabrics</v>
          </cell>
          <cell r="H142">
            <v>1928881.58</v>
          </cell>
        </row>
        <row r="143">
          <cell r="B143" t="str">
            <v>Finished Goods-Fabrics</v>
          </cell>
          <cell r="H143">
            <v>6156255.3899999997</v>
          </cell>
        </row>
        <row r="144">
          <cell r="B144" t="str">
            <v>Finished Goods-Chemicals &amp; Others</v>
          </cell>
          <cell r="H144">
            <v>6555855</v>
          </cell>
        </row>
        <row r="146">
          <cell r="H146">
            <v>14640991.969999999</v>
          </cell>
        </row>
        <row r="147">
          <cell r="B147" t="str">
            <v>SCHEDULE 6</v>
          </cell>
        </row>
        <row r="148">
          <cell r="B148" t="str">
            <v xml:space="preserve">SUNDRY DEBTORS </v>
          </cell>
        </row>
        <row r="149">
          <cell r="B149" t="str">
            <v>(Unsecured but Considered good)</v>
          </cell>
        </row>
        <row r="150">
          <cell r="B150" t="str">
            <v>Debts due for less  than  Six  Months</v>
          </cell>
          <cell r="H150">
            <v>57268308.090000004</v>
          </cell>
        </row>
        <row r="152">
          <cell r="H152">
            <v>57268308.090000004</v>
          </cell>
        </row>
        <row r="153">
          <cell r="B153" t="str">
            <v>SCHEDULE 7</v>
          </cell>
        </row>
        <row r="154">
          <cell r="B154" t="str">
            <v>CASH AND BANK BALANCE</v>
          </cell>
        </row>
        <row r="155">
          <cell r="B155" t="str">
            <v xml:space="preserve">Cash on  Hand </v>
          </cell>
          <cell r="H155">
            <v>1512632.09</v>
          </cell>
        </row>
        <row r="156">
          <cell r="B156" t="str">
            <v>Balance with schedule banks</v>
          </cell>
        </row>
        <row r="157">
          <cell r="B157" t="str">
            <v>In Current Account</v>
          </cell>
          <cell r="H157">
            <v>60398</v>
          </cell>
        </row>
        <row r="158">
          <cell r="B158" t="str">
            <v>In Fixed Deposits</v>
          </cell>
          <cell r="H158">
            <v>5005000</v>
          </cell>
        </row>
        <row r="159">
          <cell r="H159">
            <v>6578030.0899999999</v>
          </cell>
        </row>
        <row r="161">
          <cell r="B161" t="str">
            <v>SCHEDULE 8</v>
          </cell>
        </row>
        <row r="162">
          <cell r="B162" t="str">
            <v xml:space="preserve">LOANS &amp; ADVANCES </v>
          </cell>
        </row>
        <row r="163">
          <cell r="B163" t="str">
            <v>Advance recoverable in cash or kind or for value to be received</v>
          </cell>
          <cell r="H163">
            <v>9411151.4199999999</v>
          </cell>
        </row>
        <row r="164">
          <cell r="B164" t="str">
            <v>Export Benefits Receivable</v>
          </cell>
          <cell r="H164">
            <v>10441504.119999999</v>
          </cell>
        </row>
        <row r="165">
          <cell r="B165" t="str">
            <v>Advance Tax &amp; Tds</v>
          </cell>
          <cell r="H165">
            <v>3383691.53</v>
          </cell>
        </row>
        <row r="166">
          <cell r="H166">
            <v>23236347.07</v>
          </cell>
        </row>
        <row r="167">
          <cell r="B167" t="str">
            <v>SCHEDULE 9</v>
          </cell>
        </row>
        <row r="168">
          <cell r="B168" t="str">
            <v>CURRENT LIABILITIES &amp; PROVISIONS</v>
          </cell>
        </row>
        <row r="169">
          <cell r="B169" t="str">
            <v>Current Liabilities</v>
          </cell>
        </row>
        <row r="170">
          <cell r="B170" t="str">
            <v xml:space="preserve">Sundry Creditors </v>
          </cell>
          <cell r="H170">
            <v>21794389.829999998</v>
          </cell>
        </row>
        <row r="171">
          <cell r="B171" t="str">
            <v>Other Liabilities</v>
          </cell>
          <cell r="H171">
            <v>2259425.5</v>
          </cell>
        </row>
        <row r="172">
          <cell r="B172" t="str">
            <v>Provisions</v>
          </cell>
        </row>
        <row r="173">
          <cell r="B173" t="str">
            <v>Provision for Tax</v>
          </cell>
          <cell r="H173">
            <v>5921000</v>
          </cell>
        </row>
        <row r="174">
          <cell r="H174">
            <v>29974815.329999998</v>
          </cell>
        </row>
        <row r="175">
          <cell r="A175" t="str">
            <v/>
          </cell>
        </row>
        <row r="176">
          <cell r="A176" t="str">
            <v>ACME GLOBAL</v>
          </cell>
        </row>
        <row r="177">
          <cell r="A177" t="str">
            <v>SCHEDULES FORMING PART OF ACCOUNTS</v>
          </cell>
        </row>
        <row r="178">
          <cell r="H178" t="str">
            <v>YEAR ENDED</v>
          </cell>
        </row>
        <row r="179">
          <cell r="H179" t="str">
            <v>31/03/2003</v>
          </cell>
        </row>
        <row r="180">
          <cell r="D180" t="str">
            <v/>
          </cell>
          <cell r="E180" t="str">
            <v/>
          </cell>
          <cell r="H180" t="str">
            <v>(RS.)</v>
          </cell>
        </row>
        <row r="181">
          <cell r="B181" t="str">
            <v>SCHEDULE 10</v>
          </cell>
        </row>
        <row r="182">
          <cell r="B182" t="str">
            <v>INCOME FROM OPERATION</v>
          </cell>
        </row>
        <row r="183">
          <cell r="B183" t="str">
            <v xml:space="preserve">Export Sales  </v>
          </cell>
          <cell r="H183">
            <v>246219199.43000001</v>
          </cell>
        </row>
        <row r="184">
          <cell r="B184" t="str">
            <v>Export benefits &amp; Incentives</v>
          </cell>
          <cell r="H184">
            <v>16877291.440000001</v>
          </cell>
        </row>
        <row r="185">
          <cell r="H185">
            <v>263096490.87</v>
          </cell>
        </row>
        <row r="187">
          <cell r="B187" t="str">
            <v>SCHEDULE 11</v>
          </cell>
          <cell r="F187" t="str">
            <v/>
          </cell>
        </row>
        <row r="188">
          <cell r="B188" t="str">
            <v>INCREASE IN STOCKS</v>
          </cell>
        </row>
        <row r="189">
          <cell r="B189" t="str">
            <v>FINISHED GOODS - Fabrics</v>
          </cell>
        </row>
        <row r="190">
          <cell r="B190" t="str">
            <v>Closing Stock</v>
          </cell>
          <cell r="H190">
            <v>6156255.3899999997</v>
          </cell>
        </row>
        <row r="191">
          <cell r="B191" t="str">
            <v>Less: Opening Stock</v>
          </cell>
          <cell r="H191">
            <v>2551528.5699999998</v>
          </cell>
        </row>
        <row r="192">
          <cell r="H192">
            <v>3604726.82</v>
          </cell>
        </row>
        <row r="194">
          <cell r="B194" t="str">
            <v>SCHEDULE 12</v>
          </cell>
        </row>
        <row r="195">
          <cell r="B195" t="str">
            <v>COST OF MATERIAL CONSUMED / SOLD</v>
          </cell>
        </row>
        <row r="196">
          <cell r="B196" t="str">
            <v>Raw Materials - Fabrics</v>
          </cell>
        </row>
        <row r="197">
          <cell r="B197" t="str">
            <v>Opening Stock</v>
          </cell>
          <cell r="F197">
            <v>8262080.0599999996</v>
          </cell>
          <cell r="G197" t="str">
            <v/>
          </cell>
          <cell r="H197" t="str">
            <v/>
          </cell>
        </row>
        <row r="198">
          <cell r="B198" t="str">
            <v>Add : Purchases</v>
          </cell>
          <cell r="F198">
            <v>91978434.260000005</v>
          </cell>
        </row>
        <row r="199">
          <cell r="F199">
            <v>100240514.32000001</v>
          </cell>
        </row>
        <row r="200">
          <cell r="B200" t="str">
            <v xml:space="preserve">Less : Closing Stock </v>
          </cell>
          <cell r="F200">
            <v>1928881.58</v>
          </cell>
          <cell r="H200">
            <v>98311632.74000001</v>
          </cell>
        </row>
        <row r="202">
          <cell r="B202" t="str">
            <v>Traded Goods - Chemicals &amp; Dyes</v>
          </cell>
        </row>
        <row r="203">
          <cell r="B203" t="str">
            <v>Opening Stock</v>
          </cell>
          <cell r="F203">
            <v>1982930</v>
          </cell>
        </row>
        <row r="204">
          <cell r="B204" t="str">
            <v xml:space="preserve">Add: Purchases </v>
          </cell>
          <cell r="F204">
            <v>124354176.35000001</v>
          </cell>
        </row>
        <row r="205">
          <cell r="F205">
            <v>126337106.35000001</v>
          </cell>
        </row>
        <row r="206">
          <cell r="B206" t="str">
            <v>Less: Closing Stock</v>
          </cell>
          <cell r="F206">
            <v>6555855</v>
          </cell>
          <cell r="H206">
            <v>119781251.35000001</v>
          </cell>
        </row>
        <row r="208">
          <cell r="B208" t="str">
            <v>Freight Inward Charges</v>
          </cell>
          <cell r="H208">
            <v>2249876.2300000004</v>
          </cell>
        </row>
        <row r="209">
          <cell r="H209">
            <v>220342760.32000002</v>
          </cell>
        </row>
        <row r="213">
          <cell r="A213" t="str">
            <v>ACME GLOBAL</v>
          </cell>
        </row>
        <row r="214">
          <cell r="A214" t="str">
            <v>SCHEDULES FORMING PART OF ACCOUNTS</v>
          </cell>
        </row>
        <row r="215">
          <cell r="H215" t="str">
            <v>YEAR ENDED</v>
          </cell>
        </row>
        <row r="216">
          <cell r="H216" t="str">
            <v>31/03/2003</v>
          </cell>
        </row>
        <row r="217">
          <cell r="D217" t="str">
            <v/>
          </cell>
          <cell r="E217" t="str">
            <v/>
          </cell>
          <cell r="H217" t="str">
            <v>(RS.)</v>
          </cell>
        </row>
        <row r="218">
          <cell r="B218" t="str">
            <v>SCHEDULE 13</v>
          </cell>
        </row>
        <row r="219">
          <cell r="B219" t="str">
            <v>DIRECT EXPENSES</v>
          </cell>
        </row>
        <row r="220">
          <cell r="B220" t="str">
            <v xml:space="preserve">Insurance premium exp </v>
          </cell>
          <cell r="H220">
            <v>356008</v>
          </cell>
        </row>
        <row r="221">
          <cell r="B221" t="str">
            <v>THC  Charges</v>
          </cell>
          <cell r="H221">
            <v>2921346.55</v>
          </cell>
        </row>
        <row r="222">
          <cell r="B222" t="str">
            <v>Export Freight Expenses</v>
          </cell>
          <cell r="H222">
            <v>9788041.5500000007</v>
          </cell>
        </row>
        <row r="223">
          <cell r="B223" t="str">
            <v>Clearing &amp; Forwading Charges</v>
          </cell>
          <cell r="H223">
            <v>2025075.3</v>
          </cell>
        </row>
        <row r="224">
          <cell r="B224" t="str">
            <v>Agency Charges</v>
          </cell>
          <cell r="H224">
            <v>339601</v>
          </cell>
        </row>
        <row r="225">
          <cell r="B225" t="str">
            <v>Export Expenses</v>
          </cell>
          <cell r="H225">
            <v>454321</v>
          </cell>
        </row>
        <row r="226">
          <cell r="B226" t="str">
            <v>Lab &amp; Testing Charges</v>
          </cell>
          <cell r="H226">
            <v>68385.45</v>
          </cell>
        </row>
        <row r="227">
          <cell r="H227">
            <v>15952778.850000001</v>
          </cell>
        </row>
        <row r="229">
          <cell r="B229" t="str">
            <v>SCHEDULE 14</v>
          </cell>
        </row>
        <row r="230">
          <cell r="B230" t="str">
            <v>ADMINISTRATIVE AND SELLING EXPENSES</v>
          </cell>
          <cell r="H230" t="str">
            <v/>
          </cell>
        </row>
        <row r="231">
          <cell r="B231" t="str">
            <v>ADMINISTRATIVE EXPENSES</v>
          </cell>
        </row>
        <row r="232">
          <cell r="B232" t="str">
            <v>Payment to &amp; provision for Employees</v>
          </cell>
          <cell r="H232">
            <v>1070289.5</v>
          </cell>
        </row>
        <row r="233">
          <cell r="B233" t="str">
            <v>Electricity Expenses</v>
          </cell>
          <cell r="H233">
            <v>255158</v>
          </cell>
        </row>
        <row r="234">
          <cell r="B234" t="str">
            <v xml:space="preserve">Printing &amp; Stationary </v>
          </cell>
          <cell r="H234">
            <v>99563.45</v>
          </cell>
        </row>
        <row r="235">
          <cell r="B235" t="str">
            <v>Postage &amp; Courier</v>
          </cell>
          <cell r="H235">
            <v>122706.5</v>
          </cell>
        </row>
        <row r="236">
          <cell r="B236" t="str">
            <v>Telephone Expenses</v>
          </cell>
          <cell r="H236">
            <v>810761.12</v>
          </cell>
        </row>
        <row r="237">
          <cell r="B237" t="str">
            <v>Software Expenses</v>
          </cell>
          <cell r="H237">
            <v>160562</v>
          </cell>
        </row>
        <row r="238">
          <cell r="B238" t="str">
            <v>Insurance Charges</v>
          </cell>
          <cell r="H238">
            <v>18549</v>
          </cell>
        </row>
        <row r="239">
          <cell r="B239" t="str">
            <v>Conveyance Expenses</v>
          </cell>
          <cell r="H239">
            <v>206084</v>
          </cell>
        </row>
        <row r="240">
          <cell r="B240" t="str">
            <v>Foreign Travelling Expenses</v>
          </cell>
          <cell r="H240">
            <v>1021944.18</v>
          </cell>
        </row>
        <row r="241">
          <cell r="B241" t="str">
            <v>Inland Travelling Expenses</v>
          </cell>
          <cell r="H241">
            <v>257414</v>
          </cell>
        </row>
        <row r="242">
          <cell r="B242" t="str">
            <v>Vehicle Expenses</v>
          </cell>
          <cell r="H242">
            <v>132597.25</v>
          </cell>
        </row>
        <row r="243">
          <cell r="B243" t="str">
            <v>Vehicle Hiring Expenses</v>
          </cell>
          <cell r="H243">
            <v>105952</v>
          </cell>
        </row>
        <row r="244">
          <cell r="B244" t="str">
            <v>Professional Fees</v>
          </cell>
          <cell r="H244">
            <v>761673</v>
          </cell>
        </row>
        <row r="245">
          <cell r="B245" t="str">
            <v>Auditors Remuneration</v>
          </cell>
          <cell r="H245">
            <v>81000</v>
          </cell>
        </row>
        <row r="246">
          <cell r="B246" t="str">
            <v>Loss by theft</v>
          </cell>
          <cell r="H246">
            <v>207000</v>
          </cell>
        </row>
        <row r="247">
          <cell r="B247" t="str">
            <v>Miscelleneous Expenses</v>
          </cell>
          <cell r="H247">
            <v>129094.37</v>
          </cell>
        </row>
        <row r="248">
          <cell r="B248" t="str">
            <v>SELLING EXPENSES</v>
          </cell>
        </row>
        <row r="249">
          <cell r="B249" t="str">
            <v>Business Promotion Expenses</v>
          </cell>
          <cell r="H249">
            <v>722325.78</v>
          </cell>
        </row>
        <row r="250">
          <cell r="B250" t="str">
            <v>Commission</v>
          </cell>
          <cell r="H250">
            <v>244058</v>
          </cell>
        </row>
        <row r="251">
          <cell r="B251" t="str">
            <v>Octroi Charges</v>
          </cell>
          <cell r="H251">
            <v>79118</v>
          </cell>
        </row>
        <row r="252">
          <cell r="B252" t="str">
            <v>Sales Tax</v>
          </cell>
          <cell r="H252">
            <v>706195</v>
          </cell>
        </row>
        <row r="253">
          <cell r="B253" t="str">
            <v>Packing Expenses</v>
          </cell>
          <cell r="H253">
            <v>227321.96</v>
          </cell>
        </row>
        <row r="254">
          <cell r="B254" t="str">
            <v>Coolie &amp; Cartage Expenses</v>
          </cell>
          <cell r="H254">
            <v>56808</v>
          </cell>
        </row>
        <row r="256">
          <cell r="H256">
            <v>7476175.1100000003</v>
          </cell>
        </row>
        <row r="257">
          <cell r="B257" t="str">
            <v>SCHEDULE 15</v>
          </cell>
        </row>
        <row r="258">
          <cell r="B258" t="str">
            <v>FINANCIAL EXPENSES</v>
          </cell>
        </row>
        <row r="259">
          <cell r="B259" t="str">
            <v>Bank Interest (Net)</v>
          </cell>
          <cell r="H259">
            <v>1928005.7700000003</v>
          </cell>
        </row>
        <row r="260">
          <cell r="B260" t="str">
            <v>Bank Charges</v>
          </cell>
          <cell r="H260">
            <v>884900.05</v>
          </cell>
        </row>
        <row r="262">
          <cell r="H262">
            <v>2812905.8200000003</v>
          </cell>
        </row>
        <row r="264">
          <cell r="A264" t="str">
            <v>ACME GLOBAL</v>
          </cell>
        </row>
        <row r="265">
          <cell r="A265" t="str">
            <v>GROUPING OF SCHEDULES</v>
          </cell>
        </row>
        <row r="266">
          <cell r="H266" t="str">
            <v>AS AT</v>
          </cell>
        </row>
        <row r="267">
          <cell r="H267" t="str">
            <v>31/03/2003</v>
          </cell>
        </row>
        <row r="268">
          <cell r="B268" t="str">
            <v>UNSECURED LOAN</v>
          </cell>
        </row>
        <row r="269">
          <cell r="B269" t="str">
            <v>Acme Exports</v>
          </cell>
          <cell r="H269">
            <v>528596.35</v>
          </cell>
        </row>
        <row r="270">
          <cell r="H270">
            <v>528596.35</v>
          </cell>
        </row>
        <row r="271">
          <cell r="B271" t="str">
            <v xml:space="preserve">SUNDRY DEBTORS  </v>
          </cell>
        </row>
        <row r="272">
          <cell r="B272" t="str">
            <v>Less than six Months</v>
          </cell>
        </row>
        <row r="273">
          <cell r="B273" t="str">
            <v>CF Union Bank Ltd</v>
          </cell>
          <cell r="H273">
            <v>37798.53</v>
          </cell>
        </row>
        <row r="274">
          <cell r="B274" t="str">
            <v>Karibu Textile Mills Ltd</v>
          </cell>
          <cell r="H274">
            <v>56370255.560000002</v>
          </cell>
        </row>
        <row r="275">
          <cell r="B275" t="str">
            <v>Emco Dyestuff</v>
          </cell>
          <cell r="H275">
            <v>734782</v>
          </cell>
        </row>
        <row r="276">
          <cell r="B276" t="str">
            <v>Trident (India) Ltd</v>
          </cell>
          <cell r="H276">
            <v>125472</v>
          </cell>
        </row>
        <row r="277">
          <cell r="H277">
            <v>57268308.090000004</v>
          </cell>
        </row>
        <row r="279">
          <cell r="B279" t="str">
            <v>Balance With Banks in current A/C</v>
          </cell>
        </row>
        <row r="280">
          <cell r="B280" t="str">
            <v>State Bank Of India 066976 AP</v>
          </cell>
          <cell r="H280">
            <v>16762</v>
          </cell>
        </row>
        <row r="281">
          <cell r="B281" t="str">
            <v>State Bank Of India 58792 jnpt</v>
          </cell>
          <cell r="H281">
            <v>43636</v>
          </cell>
        </row>
        <row r="282">
          <cell r="H282">
            <v>60398</v>
          </cell>
        </row>
        <row r="284">
          <cell r="B284" t="str">
            <v>In Fixed Deposits A/C</v>
          </cell>
          <cell r="H284">
            <v>5005000</v>
          </cell>
        </row>
        <row r="286">
          <cell r="B286" t="str">
            <v>Export Benefits Receivable</v>
          </cell>
        </row>
        <row r="287">
          <cell r="B287" t="str">
            <v>DEPB Receivable</v>
          </cell>
          <cell r="H287">
            <v>5933574.4299999997</v>
          </cell>
        </row>
        <row r="288">
          <cell r="B288" t="str">
            <v>DFRC Receivable</v>
          </cell>
          <cell r="H288">
            <v>2914774.69</v>
          </cell>
        </row>
        <row r="289">
          <cell r="B289" t="str">
            <v>Duty Drawback Receivable</v>
          </cell>
          <cell r="H289">
            <v>40969</v>
          </cell>
        </row>
        <row r="290">
          <cell r="B290" t="str">
            <v>Excise Refund Receivable</v>
          </cell>
          <cell r="H290">
            <v>1552186</v>
          </cell>
        </row>
        <row r="291">
          <cell r="H291">
            <v>10441504.119999999</v>
          </cell>
        </row>
        <row r="293">
          <cell r="B293" t="str">
            <v>Advance Tax &amp; TDS</v>
          </cell>
        </row>
        <row r="294">
          <cell r="B294" t="str">
            <v>Advance Tax (2001-02)</v>
          </cell>
          <cell r="H294">
            <v>1570798</v>
          </cell>
        </row>
        <row r="295">
          <cell r="B295" t="str">
            <v>Advance Tax (2002-03)</v>
          </cell>
          <cell r="H295">
            <v>1500000</v>
          </cell>
        </row>
        <row r="296">
          <cell r="B296" t="str">
            <v>Advance Tax (2003-04)</v>
          </cell>
          <cell r="H296">
            <v>300000</v>
          </cell>
        </row>
        <row r="297">
          <cell r="B297" t="str">
            <v>TDS on Bank FD Interest AY 03-04</v>
          </cell>
          <cell r="H297">
            <v>12893.53</v>
          </cell>
        </row>
        <row r="298">
          <cell r="H298">
            <v>3383691.53</v>
          </cell>
        </row>
        <row r="300">
          <cell r="A300" t="str">
            <v>ACME GLOBAL</v>
          </cell>
        </row>
        <row r="301">
          <cell r="A301" t="str">
            <v>GROUPING OF SCHEDULES</v>
          </cell>
        </row>
        <row r="302">
          <cell r="H302" t="str">
            <v>AS AT</v>
          </cell>
        </row>
        <row r="303">
          <cell r="H303" t="str">
            <v>31/03/2003</v>
          </cell>
        </row>
        <row r="304">
          <cell r="B304" t="str">
            <v>ADVANCE RECOVERABLE IN CASH OR IN KIND VALUED TO BE RECEIVED</v>
          </cell>
        </row>
        <row r="305">
          <cell r="B305" t="str">
            <v>Acme Clothing Pvt Ltd</v>
          </cell>
          <cell r="H305">
            <v>5736196.5700000003</v>
          </cell>
        </row>
        <row r="306">
          <cell r="B306" t="str">
            <v>Ashok Jain</v>
          </cell>
          <cell r="H306">
            <v>10000</v>
          </cell>
        </row>
        <row r="307">
          <cell r="B307" t="str">
            <v>Kamal Singh</v>
          </cell>
          <cell r="H307">
            <v>1100</v>
          </cell>
        </row>
        <row r="308">
          <cell r="B308" t="str">
            <v>Ramesh Dattaram Karekar</v>
          </cell>
          <cell r="H308">
            <v>3710</v>
          </cell>
        </row>
        <row r="309">
          <cell r="B309" t="str">
            <v>Samarth Development Corporation</v>
          </cell>
          <cell r="H309">
            <v>1767200</v>
          </cell>
        </row>
        <row r="310">
          <cell r="B310" t="str">
            <v>Giriraj Yogi</v>
          </cell>
          <cell r="H310">
            <v>10000</v>
          </cell>
        </row>
        <row r="311">
          <cell r="B311" t="str">
            <v>Telephone Deposit</v>
          </cell>
          <cell r="H311">
            <v>2000</v>
          </cell>
        </row>
        <row r="312">
          <cell r="B312" t="str">
            <v>Shree Krishna Industries</v>
          </cell>
          <cell r="H312">
            <v>119225</v>
          </cell>
        </row>
        <row r="313">
          <cell r="B313" t="str">
            <v>Golechha Texlile Mills</v>
          </cell>
          <cell r="H313">
            <v>409701.6</v>
          </cell>
        </row>
        <row r="314">
          <cell r="B314" t="str">
            <v>Sunny Exports</v>
          </cell>
          <cell r="H314">
            <v>652966</v>
          </cell>
        </row>
        <row r="315">
          <cell r="B315" t="str">
            <v>Right Connections</v>
          </cell>
          <cell r="H315">
            <v>5671</v>
          </cell>
        </row>
        <row r="316">
          <cell r="B316" t="str">
            <v>V-Trans(India) Ltd.</v>
          </cell>
          <cell r="H316">
            <v>85</v>
          </cell>
        </row>
        <row r="317">
          <cell r="B317" t="str">
            <v>Bharat   Textile &amp;Sizing Co</v>
          </cell>
          <cell r="H317">
            <v>100000</v>
          </cell>
        </row>
        <row r="318">
          <cell r="B318" t="str">
            <v>Gurjar Gravures Pvt Ltd</v>
          </cell>
          <cell r="H318">
            <v>200000</v>
          </cell>
        </row>
        <row r="319">
          <cell r="B319" t="str">
            <v>Kruti Trading Co.</v>
          </cell>
          <cell r="H319">
            <v>10000</v>
          </cell>
        </row>
        <row r="320">
          <cell r="B320" t="str">
            <v>Prabhat Textile Corporation</v>
          </cell>
          <cell r="H320">
            <v>3650</v>
          </cell>
        </row>
        <row r="321">
          <cell r="B321" t="str">
            <v>Pranav Enterprises</v>
          </cell>
          <cell r="H321">
            <v>35538</v>
          </cell>
        </row>
        <row r="322">
          <cell r="B322" t="str">
            <v>Sm Energy Tecknik &amp; Electronics Ltd.</v>
          </cell>
          <cell r="H322">
            <v>24000</v>
          </cell>
        </row>
        <row r="323">
          <cell r="B323" t="str">
            <v>Textile Trading &amp; Agencies</v>
          </cell>
          <cell r="H323">
            <v>39521</v>
          </cell>
        </row>
        <row r="324">
          <cell r="B324" t="str">
            <v>Neha Impex Pvt Ltd.</v>
          </cell>
          <cell r="H324">
            <v>121408</v>
          </cell>
        </row>
        <row r="325">
          <cell r="B325" t="str">
            <v>Prepaid Expense</v>
          </cell>
          <cell r="H325">
            <v>47977</v>
          </cell>
        </row>
        <row r="326">
          <cell r="B326" t="str">
            <v>Slaes Tax Receivable 02-03</v>
          </cell>
          <cell r="H326">
            <v>5356</v>
          </cell>
        </row>
        <row r="327">
          <cell r="B327" t="str">
            <v>Interest Accured on FD</v>
          </cell>
          <cell r="H327">
            <v>105846.25</v>
          </cell>
        </row>
        <row r="328">
          <cell r="H328">
            <v>9411151.4199999999</v>
          </cell>
        </row>
        <row r="329">
          <cell r="A329" t="str">
            <v>ACME GLOBAL</v>
          </cell>
        </row>
        <row r="330">
          <cell r="A330" t="str">
            <v>GROUPING OF SCHEDULES</v>
          </cell>
        </row>
        <row r="331">
          <cell r="H331" t="str">
            <v>AS AT</v>
          </cell>
        </row>
        <row r="332">
          <cell r="H332" t="str">
            <v>31/03/2003</v>
          </cell>
        </row>
        <row r="333">
          <cell r="B333" t="str">
            <v>SUNDRY CREDITORS:</v>
          </cell>
        </row>
        <row r="334">
          <cell r="B334" t="str">
            <v>FOR FABRICS</v>
          </cell>
        </row>
        <row r="336">
          <cell r="B336" t="str">
            <v>Amish Trading Co</v>
          </cell>
          <cell r="H336">
            <v>285421.21000000002</v>
          </cell>
        </row>
        <row r="337">
          <cell r="B337" t="str">
            <v>Golechha Enterprises</v>
          </cell>
          <cell r="H337">
            <v>150354</v>
          </cell>
        </row>
        <row r="338">
          <cell r="B338" t="str">
            <v>M.R.Exports</v>
          </cell>
          <cell r="H338">
            <v>1519087</v>
          </cell>
        </row>
        <row r="339">
          <cell r="B339" t="str">
            <v>Navakar  Suppliers</v>
          </cell>
          <cell r="H339">
            <v>642355</v>
          </cell>
        </row>
        <row r="340">
          <cell r="B340" t="str">
            <v>Selection Corporation</v>
          </cell>
          <cell r="H340">
            <v>1284032.6499999999</v>
          </cell>
        </row>
        <row r="343">
          <cell r="H343">
            <v>3881249.86</v>
          </cell>
        </row>
        <row r="344">
          <cell r="B344" t="str">
            <v>SUNDRY CREDITORS:</v>
          </cell>
        </row>
        <row r="345">
          <cell r="B345" t="str">
            <v>SUNDRY CREDITORS FOR EXPENSES</v>
          </cell>
        </row>
        <row r="346">
          <cell r="B346" t="str">
            <v>Chemical &amp; Dyes</v>
          </cell>
        </row>
        <row r="347">
          <cell r="B347" t="str">
            <v>A-One Dyes &amp; Chemicals P Ltd</v>
          </cell>
          <cell r="H347">
            <v>9600</v>
          </cell>
        </row>
        <row r="348">
          <cell r="B348" t="str">
            <v>Chemicone Chemicals Inds. Pvt Ltd.</v>
          </cell>
          <cell r="H348">
            <v>298500</v>
          </cell>
        </row>
        <row r="349">
          <cell r="B349" t="str">
            <v>Gaurav Industries</v>
          </cell>
          <cell r="H349">
            <v>216000</v>
          </cell>
        </row>
        <row r="350">
          <cell r="B350" t="str">
            <v>Khandesh Ckemicals Industries</v>
          </cell>
          <cell r="H350">
            <v>377350</v>
          </cell>
        </row>
        <row r="351">
          <cell r="B351" t="str">
            <v>Krunal Chemical Industries</v>
          </cell>
          <cell r="H351">
            <v>573500</v>
          </cell>
        </row>
        <row r="352">
          <cell r="B352" t="str">
            <v>Maize Products</v>
          </cell>
          <cell r="H352">
            <v>1043400</v>
          </cell>
        </row>
        <row r="353">
          <cell r="B353" t="str">
            <v>Mamta Intermediate Ltd</v>
          </cell>
          <cell r="H353">
            <v>4984820</v>
          </cell>
        </row>
        <row r="354">
          <cell r="B354" t="str">
            <v>Maruti Industries</v>
          </cell>
          <cell r="H354">
            <v>1350050</v>
          </cell>
        </row>
        <row r="355">
          <cell r="B355" t="str">
            <v>Mbk Textile Engrs. Pvt. Ltd.</v>
          </cell>
          <cell r="H355">
            <v>51525</v>
          </cell>
        </row>
        <row r="356">
          <cell r="B356" t="str">
            <v>Pasupati Industries</v>
          </cell>
          <cell r="H356">
            <v>607287</v>
          </cell>
        </row>
        <row r="357">
          <cell r="B357" t="str">
            <v>Shreenath Chemicals  Industries</v>
          </cell>
          <cell r="H357">
            <v>490000</v>
          </cell>
        </row>
        <row r="358">
          <cell r="B358" t="str">
            <v>S.M. Enterprises</v>
          </cell>
          <cell r="H358">
            <v>2638</v>
          </cell>
        </row>
        <row r="359">
          <cell r="B359" t="str">
            <v>Yashesh Industries</v>
          </cell>
          <cell r="H359">
            <v>469800</v>
          </cell>
        </row>
        <row r="360">
          <cell r="H360">
            <v>10474470</v>
          </cell>
        </row>
        <row r="361">
          <cell r="B361" t="str">
            <v>Non Current</v>
          </cell>
        </row>
        <row r="362">
          <cell r="B362" t="str">
            <v>Aashirwad Clearing Agencies</v>
          </cell>
          <cell r="H362">
            <v>8345</v>
          </cell>
        </row>
        <row r="363">
          <cell r="B363" t="str">
            <v>A A Travels &amp; Tours</v>
          </cell>
          <cell r="H363">
            <v>72857</v>
          </cell>
        </row>
        <row r="364">
          <cell r="B364" t="str">
            <v>Afl Pvt Ltd.</v>
          </cell>
          <cell r="H364">
            <v>4368</v>
          </cell>
        </row>
        <row r="365">
          <cell r="B365" t="str">
            <v>Balotra Carrying Company</v>
          </cell>
          <cell r="H365">
            <v>235440</v>
          </cell>
        </row>
        <row r="366">
          <cell r="B366" t="str">
            <v>Blue Dart Express Ltd.</v>
          </cell>
          <cell r="H366">
            <v>27226</v>
          </cell>
        </row>
        <row r="367">
          <cell r="B367" t="str">
            <v>Bpl Mobile Payable</v>
          </cell>
          <cell r="H367">
            <v>20236.27</v>
          </cell>
        </row>
        <row r="368">
          <cell r="B368" t="str">
            <v>M.K. Roadline</v>
          </cell>
          <cell r="H368">
            <v>4500</v>
          </cell>
        </row>
        <row r="369">
          <cell r="B369" t="str">
            <v>Msc Agency I Private Ltd</v>
          </cell>
          <cell r="H369">
            <v>8894.15</v>
          </cell>
        </row>
        <row r="370">
          <cell r="B370" t="str">
            <v>Satish Roadways</v>
          </cell>
          <cell r="H370">
            <v>2930</v>
          </cell>
        </row>
        <row r="371">
          <cell r="B371" t="str">
            <v>Bses Limited</v>
          </cell>
          <cell r="H371">
            <v>1550</v>
          </cell>
        </row>
        <row r="372">
          <cell r="B372" t="str">
            <v>Canon India Pvt. Ltd.</v>
          </cell>
          <cell r="H372">
            <v>6138.25</v>
          </cell>
        </row>
        <row r="373">
          <cell r="B373" t="str">
            <v>C.D. Estate Agency</v>
          </cell>
          <cell r="H373">
            <v>22050</v>
          </cell>
        </row>
        <row r="374">
          <cell r="B374" t="str">
            <v>Citibank Credit  Cards</v>
          </cell>
          <cell r="H374">
            <v>45721.760000000002</v>
          </cell>
        </row>
        <row r="375">
          <cell r="B375" t="str">
            <v>Deepika Kabra</v>
          </cell>
          <cell r="H375">
            <v>20570</v>
          </cell>
        </row>
        <row r="376">
          <cell r="B376" t="str">
            <v>Dhaval Container Carrier</v>
          </cell>
          <cell r="H376">
            <v>11800</v>
          </cell>
        </row>
        <row r="377">
          <cell r="B377" t="str">
            <v>Dyes Lab</v>
          </cell>
          <cell r="H377">
            <v>2775</v>
          </cell>
        </row>
        <row r="378">
          <cell r="B378" t="str">
            <v>Gateway Systems India Pvt Ltd</v>
          </cell>
          <cell r="H378">
            <v>3751</v>
          </cell>
        </row>
        <row r="379">
          <cell r="B379" t="str">
            <v>Harsh Enterprises</v>
          </cell>
          <cell r="H379">
            <v>3987</v>
          </cell>
        </row>
        <row r="380">
          <cell r="B380" t="str">
            <v>HSBC Credit Card</v>
          </cell>
          <cell r="H380">
            <v>16253</v>
          </cell>
        </row>
        <row r="381">
          <cell r="B381" t="str">
            <v>Intercom Air</v>
          </cell>
          <cell r="H381">
            <v>26801</v>
          </cell>
        </row>
        <row r="383">
          <cell r="A383" t="str">
            <v>ACME GLOBAL</v>
          </cell>
        </row>
        <row r="384">
          <cell r="A384" t="str">
            <v>GROUPING OF SCHEDULES</v>
          </cell>
        </row>
        <row r="385">
          <cell r="H385" t="str">
            <v>AS AT</v>
          </cell>
        </row>
        <row r="386">
          <cell r="H386" t="str">
            <v>31/03/2003</v>
          </cell>
        </row>
        <row r="387">
          <cell r="B387" t="str">
            <v>Jedy  Infotech</v>
          </cell>
          <cell r="H387">
            <v>665</v>
          </cell>
        </row>
        <row r="388">
          <cell r="B388" t="str">
            <v>Kabra</v>
          </cell>
          <cell r="H388">
            <v>48987</v>
          </cell>
        </row>
        <row r="389">
          <cell r="B389" t="str">
            <v>Kruti Agencies</v>
          </cell>
          <cell r="H389">
            <v>5040</v>
          </cell>
        </row>
        <row r="390">
          <cell r="B390" t="str">
            <v>Lucky Road Lines</v>
          </cell>
          <cell r="H390">
            <v>26907</v>
          </cell>
        </row>
        <row r="391">
          <cell r="B391" t="str">
            <v>Mahanagartelephone Nigam Ltd (Mumbai)</v>
          </cell>
          <cell r="H391">
            <v>30141</v>
          </cell>
        </row>
        <row r="392">
          <cell r="B392" t="str">
            <v>Mehul Forms</v>
          </cell>
          <cell r="H392">
            <v>255</v>
          </cell>
        </row>
        <row r="393">
          <cell r="B393" t="str">
            <v>Millennium System</v>
          </cell>
          <cell r="H393">
            <v>54455</v>
          </cell>
        </row>
        <row r="394">
          <cell r="B394" t="str">
            <v>Mittali Corporation</v>
          </cell>
          <cell r="H394">
            <v>22049.5</v>
          </cell>
        </row>
        <row r="395">
          <cell r="B395" t="str">
            <v>New Jolly Tours &amp; Travels</v>
          </cell>
          <cell r="H395">
            <v>4006</v>
          </cell>
        </row>
        <row r="396">
          <cell r="B396" t="str">
            <v>Omic - India</v>
          </cell>
          <cell r="H396">
            <v>2500</v>
          </cell>
        </row>
        <row r="397">
          <cell r="B397" t="str">
            <v>Pankaj R. Doshi</v>
          </cell>
          <cell r="H397">
            <v>10247</v>
          </cell>
        </row>
        <row r="398">
          <cell r="B398" t="str">
            <v>Piyush Syndicate</v>
          </cell>
          <cell r="H398">
            <v>770</v>
          </cell>
        </row>
        <row r="399">
          <cell r="B399" t="str">
            <v>Poona Madras Roadways</v>
          </cell>
          <cell r="H399">
            <v>6530</v>
          </cell>
        </row>
        <row r="400">
          <cell r="B400" t="str">
            <v>Promotosh Barua Tea A/c</v>
          </cell>
          <cell r="H400">
            <v>1250</v>
          </cell>
        </row>
        <row r="401">
          <cell r="B401" t="str">
            <v>Rupam Trading Corp</v>
          </cell>
          <cell r="H401">
            <v>1430</v>
          </cell>
        </row>
        <row r="402">
          <cell r="B402" t="str">
            <v>Santosh Roadlines</v>
          </cell>
          <cell r="H402">
            <v>5600</v>
          </cell>
        </row>
        <row r="403">
          <cell r="B403" t="str">
            <v>Satellite Cargo Connexion Pvt Ltd</v>
          </cell>
          <cell r="H403">
            <v>8065</v>
          </cell>
        </row>
        <row r="404">
          <cell r="B404" t="str">
            <v>Sheetal Stationery &amp; Xerox</v>
          </cell>
          <cell r="H404">
            <v>3798.4</v>
          </cell>
        </row>
        <row r="405">
          <cell r="B405" t="str">
            <v>Shree Ganesh Enterprises</v>
          </cell>
          <cell r="H405">
            <v>172092</v>
          </cell>
        </row>
        <row r="406">
          <cell r="B406" t="str">
            <v>Shree Maruti Courier Service</v>
          </cell>
          <cell r="H406">
            <v>260</v>
          </cell>
        </row>
        <row r="407">
          <cell r="B407" t="str">
            <v>Singrodia Goyal &amp; Co.</v>
          </cell>
          <cell r="H407">
            <v>151796</v>
          </cell>
        </row>
        <row r="408">
          <cell r="B408" t="str">
            <v>Skylink Freight Forwarders Pvt. Ltd.</v>
          </cell>
          <cell r="H408">
            <v>273598</v>
          </cell>
        </row>
        <row r="409">
          <cell r="B409" t="str">
            <v>Suleman Haji &amp; Co.</v>
          </cell>
          <cell r="H409">
            <v>859089.3</v>
          </cell>
        </row>
        <row r="410">
          <cell r="B410" t="str">
            <v>Suleman Haji &amp; Co. (Import)</v>
          </cell>
          <cell r="H410">
            <v>13556</v>
          </cell>
        </row>
        <row r="411">
          <cell r="B411" t="str">
            <v>S.V. Printers</v>
          </cell>
          <cell r="H411">
            <v>134835</v>
          </cell>
        </row>
        <row r="412">
          <cell r="B412" t="str">
            <v>Time &amp; Space Haulers</v>
          </cell>
          <cell r="H412">
            <v>2866</v>
          </cell>
        </row>
        <row r="413">
          <cell r="B413" t="str">
            <v>Tops Detectives &amp; Security Services Limited</v>
          </cell>
          <cell r="H413">
            <v>35538</v>
          </cell>
        </row>
        <row r="414">
          <cell r="B414" t="str">
            <v>Vijaylaxmi O Gupta</v>
          </cell>
          <cell r="H414">
            <v>13915</v>
          </cell>
        </row>
        <row r="415">
          <cell r="B415" t="str">
            <v>Vijay P. Dhaiya A\c</v>
          </cell>
          <cell r="H415">
            <v>5500</v>
          </cell>
        </row>
        <row r="416">
          <cell r="B416" t="str">
            <v>Vikas Transport Corporation</v>
          </cell>
          <cell r="H416">
            <v>22782</v>
          </cell>
        </row>
        <row r="418">
          <cell r="H418">
            <v>2464716.63</v>
          </cell>
        </row>
        <row r="420">
          <cell r="A420" t="str">
            <v>ACME GLOBAL</v>
          </cell>
        </row>
        <row r="421">
          <cell r="A421" t="str">
            <v>GROUPING OF SCHEDULES</v>
          </cell>
        </row>
        <row r="422">
          <cell r="H422" t="str">
            <v>AS AT</v>
          </cell>
        </row>
        <row r="423">
          <cell r="H423" t="str">
            <v>31/03/2003</v>
          </cell>
        </row>
        <row r="424">
          <cell r="B424" t="str">
            <v xml:space="preserve">Processing </v>
          </cell>
        </row>
        <row r="425">
          <cell r="B425" t="str">
            <v>Bhairwanath Industries Ltd.</v>
          </cell>
          <cell r="H425">
            <v>437961.49</v>
          </cell>
        </row>
        <row r="426">
          <cell r="B426" t="str">
            <v>Yuti Textile Processors Pvt. Ltd.</v>
          </cell>
          <cell r="H426">
            <v>234604</v>
          </cell>
        </row>
        <row r="427">
          <cell r="H427">
            <v>672565.49</v>
          </cell>
        </row>
        <row r="428">
          <cell r="B428" t="str">
            <v>Others</v>
          </cell>
        </row>
        <row r="429">
          <cell r="B429" t="str">
            <v>Accurate Weighing Machine Co.</v>
          </cell>
          <cell r="H429">
            <v>11050</v>
          </cell>
        </row>
        <row r="430">
          <cell r="B430" t="str">
            <v xml:space="preserve">A K Steel </v>
          </cell>
          <cell r="H430">
            <v>7486</v>
          </cell>
        </row>
        <row r="431">
          <cell r="B431" t="str">
            <v>Ajit Enterprises</v>
          </cell>
          <cell r="H431">
            <v>132464</v>
          </cell>
        </row>
        <row r="432">
          <cell r="B432" t="str">
            <v>Bombay Trading Co.</v>
          </cell>
          <cell r="H432">
            <v>44723</v>
          </cell>
        </row>
        <row r="433">
          <cell r="B433" t="str">
            <v>Heatex Engineering Company</v>
          </cell>
          <cell r="H433">
            <v>85000</v>
          </cell>
        </row>
        <row r="434">
          <cell r="B434" t="str">
            <v>Hotel Manali</v>
          </cell>
          <cell r="H434">
            <v>4660</v>
          </cell>
        </row>
        <row r="435">
          <cell r="B435" t="str">
            <v>K.B.Corporation</v>
          </cell>
          <cell r="H435">
            <v>109400</v>
          </cell>
        </row>
        <row r="437">
          <cell r="B437" t="str">
            <v>Lathia Rubber Mfg. Co. Pvt. Ltd.</v>
          </cell>
          <cell r="H437">
            <v>20469</v>
          </cell>
        </row>
        <row r="438">
          <cell r="B438" t="str">
            <v>Mahavir Spinning Mills Limited</v>
          </cell>
          <cell r="H438">
            <v>181284</v>
          </cell>
        </row>
        <row r="439">
          <cell r="B439" t="str">
            <v>Maxima Boilers Pvt Ltd</v>
          </cell>
          <cell r="H439">
            <v>128184</v>
          </cell>
        </row>
        <row r="440">
          <cell r="B440" t="str">
            <v>Maxitherm  Boilers Pvt. Ltd.</v>
          </cell>
          <cell r="H440">
            <v>13214</v>
          </cell>
        </row>
        <row r="441">
          <cell r="B441" t="str">
            <v>MEC Engineers</v>
          </cell>
          <cell r="H441">
            <v>61798.75</v>
          </cell>
        </row>
        <row r="442">
          <cell r="B442" t="str">
            <v>Moss Engineering Corporation</v>
          </cell>
          <cell r="H442">
            <v>174232</v>
          </cell>
        </row>
        <row r="443">
          <cell r="B443" t="str">
            <v>Neon Trading Corporation</v>
          </cell>
          <cell r="H443">
            <v>212844</v>
          </cell>
        </row>
        <row r="444">
          <cell r="B444" t="str">
            <v>New Engineering Works</v>
          </cell>
          <cell r="H444">
            <v>19580</v>
          </cell>
        </row>
        <row r="445">
          <cell r="B445" t="str">
            <v>PBS Electronics</v>
          </cell>
          <cell r="H445">
            <v>34450</v>
          </cell>
        </row>
        <row r="446">
          <cell r="B446" t="str">
            <v>Pooja Packagings</v>
          </cell>
          <cell r="H446">
            <v>1601928</v>
          </cell>
        </row>
        <row r="447">
          <cell r="B447" t="str">
            <v>Rishi Packers Limited</v>
          </cell>
          <cell r="H447">
            <v>22</v>
          </cell>
        </row>
        <row r="448">
          <cell r="B448" t="str">
            <v>S J Trading Co.</v>
          </cell>
          <cell r="H448">
            <v>29556</v>
          </cell>
        </row>
        <row r="449">
          <cell r="B449" t="str">
            <v>S K Timber Industries</v>
          </cell>
          <cell r="H449">
            <v>3775</v>
          </cell>
        </row>
        <row r="450">
          <cell r="B450" t="str">
            <v>Stalmec Engineering Pvt Ltd</v>
          </cell>
          <cell r="H450">
            <v>481467</v>
          </cell>
        </row>
        <row r="451">
          <cell r="B451" t="str">
            <v>Swastik Engineers</v>
          </cell>
          <cell r="H451">
            <v>226851.5</v>
          </cell>
        </row>
        <row r="452">
          <cell r="B452" t="str">
            <v>Texfab Engineers (I) Pvt Ltd</v>
          </cell>
          <cell r="H452">
            <v>35438</v>
          </cell>
        </row>
        <row r="453">
          <cell r="B453" t="str">
            <v>Thaker Engineering Co. Pvt. Ltd.</v>
          </cell>
          <cell r="H453">
            <v>412970</v>
          </cell>
        </row>
        <row r="454">
          <cell r="B454" t="str">
            <v>Thakore Engineering Corporation</v>
          </cell>
          <cell r="H454">
            <v>235700</v>
          </cell>
        </row>
        <row r="455">
          <cell r="B455" t="str">
            <v>Vijay Engineering &amp; Machinery Co.</v>
          </cell>
          <cell r="H455">
            <v>32841.599999999999</v>
          </cell>
        </row>
        <row r="458">
          <cell r="H458">
            <v>4301387.8499999996</v>
          </cell>
        </row>
        <row r="460">
          <cell r="H460">
            <v>21794389.829999998</v>
          </cell>
        </row>
        <row r="461">
          <cell r="A461" t="str">
            <v>ACME GLOBAL</v>
          </cell>
        </row>
        <row r="462">
          <cell r="A462" t="str">
            <v>GROUPING OF SCHEDULES</v>
          </cell>
        </row>
        <row r="463">
          <cell r="H463" t="str">
            <v>AS AT</v>
          </cell>
        </row>
        <row r="464">
          <cell r="H464" t="str">
            <v>31/03/2003</v>
          </cell>
        </row>
        <row r="465">
          <cell r="B465" t="str">
            <v>OTHER LIABILITIES &amp; PROVISIONS</v>
          </cell>
        </row>
        <row r="466">
          <cell r="B466" t="str">
            <v>Other Liabilities</v>
          </cell>
        </row>
        <row r="467">
          <cell r="B467" t="str">
            <v>Profession Tax Payable</v>
          </cell>
          <cell r="H467">
            <v>6565</v>
          </cell>
        </row>
        <row r="468">
          <cell r="B468" t="str">
            <v>Salarypayable</v>
          </cell>
          <cell r="H468">
            <v>91522</v>
          </cell>
        </row>
        <row r="469">
          <cell r="B469" t="str">
            <v>Sales Tax Payable</v>
          </cell>
          <cell r="H469">
            <v>0</v>
          </cell>
        </row>
        <row r="470">
          <cell r="B470" t="str">
            <v>Tds on Labour Charges(Company)</v>
          </cell>
          <cell r="H470">
            <v>18808</v>
          </cell>
        </row>
        <row r="471">
          <cell r="B471" t="str">
            <v>Tds on Labour Charges(Non Company)</v>
          </cell>
          <cell r="H471">
            <v>2501</v>
          </cell>
        </row>
        <row r="472">
          <cell r="B472" t="str">
            <v>Tds  on Professional Fees</v>
          </cell>
          <cell r="H472">
            <v>11747</v>
          </cell>
        </row>
        <row r="473">
          <cell r="B473" t="str">
            <v>Tds on Salary</v>
          </cell>
          <cell r="H473">
            <v>1371</v>
          </cell>
        </row>
        <row r="474">
          <cell r="B474" t="str">
            <v>Nida Textiles Mills T Ltd</v>
          </cell>
          <cell r="H474">
            <v>2126911.5</v>
          </cell>
        </row>
        <row r="475">
          <cell r="H475">
            <v>2259425.5</v>
          </cell>
        </row>
        <row r="477">
          <cell r="B477" t="str">
            <v>Provisions</v>
          </cell>
        </row>
        <row r="478">
          <cell r="B478" t="str">
            <v>Provision for Income Tax (A.Y. 2001-02)</v>
          </cell>
          <cell r="H478">
            <v>1571000</v>
          </cell>
        </row>
        <row r="479">
          <cell r="B479" t="str">
            <v>Provision for Income Tax (A.Y. 2002-03)</v>
          </cell>
          <cell r="H479">
            <v>1600000</v>
          </cell>
        </row>
        <row r="480">
          <cell r="B480" t="str">
            <v>Provision for Income Tax (A.Y. 2003-04)</v>
          </cell>
          <cell r="H480">
            <v>2750000</v>
          </cell>
        </row>
        <row r="481">
          <cell r="H481">
            <v>5921000</v>
          </cell>
        </row>
        <row r="483">
          <cell r="A483" t="str">
            <v>ACME GLOBAL</v>
          </cell>
        </row>
        <row r="484">
          <cell r="A484" t="str">
            <v>GROUPING OF SCHEDULES</v>
          </cell>
        </row>
        <row r="485">
          <cell r="H485" t="str">
            <v>Year Ended</v>
          </cell>
        </row>
        <row r="486">
          <cell r="H486" t="str">
            <v>31/03/2003</v>
          </cell>
        </row>
        <row r="488">
          <cell r="B488" t="str">
            <v>Purchases Of Raw Materials</v>
          </cell>
        </row>
        <row r="489">
          <cell r="B489" t="str">
            <v>Local fabric Purchased</v>
          </cell>
          <cell r="H489">
            <v>55198466.729999997</v>
          </cell>
        </row>
        <row r="490">
          <cell r="B490" t="str">
            <v>Oms Fabric Purchased</v>
          </cell>
          <cell r="H490">
            <v>38971053.640000001</v>
          </cell>
        </row>
        <row r="492">
          <cell r="B492" t="str">
            <v>Less : Cash Discount</v>
          </cell>
          <cell r="H492">
            <v>-1777967.15</v>
          </cell>
        </row>
        <row r="493">
          <cell r="B493" t="str">
            <v xml:space="preserve">            Discount &amp; Difference</v>
          </cell>
          <cell r="H493">
            <v>-413118.96</v>
          </cell>
        </row>
        <row r="494">
          <cell r="H494">
            <v>91978434.260000005</v>
          </cell>
        </row>
        <row r="496">
          <cell r="B496" t="str">
            <v>Purchases For Trading</v>
          </cell>
        </row>
        <row r="497">
          <cell r="B497" t="str">
            <v>Chemical Purchase(Import)</v>
          </cell>
          <cell r="H497">
            <v>1331946</v>
          </cell>
        </row>
        <row r="498">
          <cell r="B498" t="str">
            <v>Clearing &amp; Forwarding (Import)</v>
          </cell>
          <cell r="H498">
            <v>24953</v>
          </cell>
        </row>
        <row r="499">
          <cell r="B499" t="str">
            <v>C.S.T  on OMS Purchase</v>
          </cell>
          <cell r="H499">
            <v>3291</v>
          </cell>
        </row>
        <row r="500">
          <cell r="B500" t="str">
            <v>Labour Charges Other</v>
          </cell>
          <cell r="H500">
            <v>357150</v>
          </cell>
        </row>
        <row r="501">
          <cell r="B501" t="str">
            <v>Local Chemicals Purchase (14-B)</v>
          </cell>
          <cell r="H501">
            <v>15788580</v>
          </cell>
        </row>
        <row r="502">
          <cell r="B502" t="str">
            <v>Local Purchase Other (RD)</v>
          </cell>
          <cell r="H502">
            <v>138781</v>
          </cell>
        </row>
        <row r="503">
          <cell r="B503" t="str">
            <v>Local Purchase Others (4%)</v>
          </cell>
          <cell r="H503">
            <v>345926.19</v>
          </cell>
        </row>
        <row r="504">
          <cell r="B504" t="str">
            <v>Local Purchase (Others) 5.4%</v>
          </cell>
          <cell r="H504">
            <v>31895</v>
          </cell>
        </row>
        <row r="505">
          <cell r="B505" t="str">
            <v>Local Purchase (Others) Form 14 B</v>
          </cell>
          <cell r="H505">
            <v>16613104.140000001</v>
          </cell>
        </row>
        <row r="506">
          <cell r="B506" t="str">
            <v>Local Purchases Others(No Tax)</v>
          </cell>
          <cell r="H506">
            <v>994834</v>
          </cell>
        </row>
        <row r="507">
          <cell r="B507" t="str">
            <v>OMS Chemical Purchase (Form -H) A\c</v>
          </cell>
          <cell r="H507">
            <v>46579327.799999997</v>
          </cell>
        </row>
        <row r="508">
          <cell r="B508" t="str">
            <v>Oms Purchase Others (4%)</v>
          </cell>
          <cell r="H508">
            <v>55123</v>
          </cell>
        </row>
        <row r="509">
          <cell r="B509" t="str">
            <v>Oms Purchase (Others) Agst Form  H</v>
          </cell>
          <cell r="H509">
            <v>39895481.149999999</v>
          </cell>
        </row>
        <row r="510">
          <cell r="B510" t="str">
            <v>Oms Purchases Others (Rd)</v>
          </cell>
          <cell r="H510">
            <v>20880</v>
          </cell>
        </row>
        <row r="511">
          <cell r="B511" t="str">
            <v>Oms Purchase Tax Free</v>
          </cell>
          <cell r="H511">
            <v>527188</v>
          </cell>
        </row>
        <row r="512">
          <cell r="B512" t="str">
            <v>Sales Tax A/c (M.S.T 15.3 %)</v>
          </cell>
          <cell r="H512">
            <v>0</v>
          </cell>
        </row>
        <row r="513">
          <cell r="B513" t="str">
            <v>Sales Tax (Purchase) 0.2%</v>
          </cell>
          <cell r="H513">
            <v>1841.81</v>
          </cell>
        </row>
        <row r="514">
          <cell r="B514" t="str">
            <v>Sales Tax (Purchase) II Sale 0.5%</v>
          </cell>
          <cell r="H514">
            <v>2796.9</v>
          </cell>
        </row>
        <row r="515">
          <cell r="B515" t="str">
            <v>Local Purchase Chemicals  IInd Sale (13%)</v>
          </cell>
          <cell r="H515">
            <v>776</v>
          </cell>
        </row>
        <row r="516">
          <cell r="B516" t="str">
            <v>Local Purchase Chemicals  IInd Sale (4%)</v>
          </cell>
          <cell r="H516">
            <v>84000</v>
          </cell>
        </row>
        <row r="517">
          <cell r="B517" t="str">
            <v>Local Purchase (Others) IInd Sale (13%)</v>
          </cell>
          <cell r="H517">
            <v>1390906.44</v>
          </cell>
        </row>
        <row r="518">
          <cell r="B518" t="str">
            <v>Local Purchase (Others) IInd Sale (4%)</v>
          </cell>
          <cell r="H518">
            <v>648819.11</v>
          </cell>
        </row>
        <row r="519">
          <cell r="B519" t="str">
            <v>5.4% Sale Tax A/C</v>
          </cell>
          <cell r="H519">
            <v>1722</v>
          </cell>
        </row>
        <row r="520">
          <cell r="B520" t="str">
            <v>4% Sale Tax A/C</v>
          </cell>
          <cell r="H520">
            <v>13847.81</v>
          </cell>
        </row>
        <row r="521">
          <cell r="B521" t="str">
            <v>Central Excise Duty</v>
          </cell>
          <cell r="H521">
            <v>50</v>
          </cell>
        </row>
        <row r="522">
          <cell r="B522" t="str">
            <v>Less Sales Tax Setoff</v>
          </cell>
          <cell r="H522">
            <v>-163794</v>
          </cell>
        </row>
        <row r="523">
          <cell r="B523" t="str">
            <v xml:space="preserve">Less: Insurance claim received </v>
          </cell>
          <cell r="H523">
            <v>-335250</v>
          </cell>
        </row>
        <row r="524">
          <cell r="H524">
            <v>124354176.35000001</v>
          </cell>
        </row>
        <row r="526">
          <cell r="A526" t="str">
            <v>ACME GLOBAL</v>
          </cell>
        </row>
        <row r="527">
          <cell r="A527" t="str">
            <v>GROUPING OF SCHEDULES</v>
          </cell>
        </row>
        <row r="528">
          <cell r="H528" t="str">
            <v>Year Ended</v>
          </cell>
        </row>
        <row r="529">
          <cell r="H529" t="str">
            <v>31/03/2003</v>
          </cell>
        </row>
        <row r="530">
          <cell r="B530" t="str">
            <v>Export Sales</v>
          </cell>
        </row>
        <row r="531">
          <cell r="B531" t="str">
            <v>Chemicals &amp; Others Sale (Export)</v>
          </cell>
          <cell r="H531">
            <v>130827871.51000001</v>
          </cell>
        </row>
        <row r="532">
          <cell r="B532" t="str">
            <v>Export Freight A/C</v>
          </cell>
          <cell r="H532">
            <v>10840631.6</v>
          </cell>
        </row>
        <row r="533">
          <cell r="B533" t="str">
            <v>Export Insurance A/C</v>
          </cell>
          <cell r="H533">
            <v>1161353.07</v>
          </cell>
        </row>
        <row r="534">
          <cell r="B534" t="str">
            <v>Fabric Sale( Export)</v>
          </cell>
          <cell r="H534">
            <v>102739862.94</v>
          </cell>
        </row>
        <row r="535">
          <cell r="B535" t="str">
            <v>Foreign Exchange rate Difference</v>
          </cell>
          <cell r="H535">
            <v>649480.31000000006</v>
          </cell>
        </row>
        <row r="536">
          <cell r="H536">
            <v>246219199.43000001</v>
          </cell>
        </row>
        <row r="538">
          <cell r="B538" t="str">
            <v>Export Benefits &amp; Incentives</v>
          </cell>
        </row>
        <row r="539">
          <cell r="B539" t="str">
            <v>5.4 % Sale of Depb A/c</v>
          </cell>
          <cell r="H539">
            <v>602376</v>
          </cell>
        </row>
        <row r="540">
          <cell r="B540" t="str">
            <v>5.4% Sale of Dfrc A/c</v>
          </cell>
          <cell r="H540">
            <v>103797.31</v>
          </cell>
        </row>
        <row r="541">
          <cell r="B541" t="str">
            <v>Dutydraw Back</v>
          </cell>
          <cell r="H541">
            <v>89880</v>
          </cell>
        </row>
        <row r="542">
          <cell r="B542" t="str">
            <v>Excise Duty Recovery Charge</v>
          </cell>
          <cell r="H542">
            <v>93488</v>
          </cell>
        </row>
        <row r="543">
          <cell r="B543" t="str">
            <v>Increase in DEPB License in hand / receivable</v>
          </cell>
          <cell r="H543">
            <v>960718.84</v>
          </cell>
        </row>
        <row r="544">
          <cell r="B544" t="str">
            <v>Increase in DFRC License in hand / receivable</v>
          </cell>
          <cell r="H544">
            <v>1375496.6</v>
          </cell>
        </row>
        <row r="545">
          <cell r="B545" t="str">
            <v>Sale of Depb Licence</v>
          </cell>
          <cell r="H545">
            <v>11155084</v>
          </cell>
        </row>
        <row r="546">
          <cell r="B546" t="str">
            <v>Sale of Dfrc Licence</v>
          </cell>
          <cell r="F546" t="str">
            <v/>
          </cell>
          <cell r="H546">
            <v>2496450.69</v>
          </cell>
        </row>
        <row r="547">
          <cell r="H547">
            <v>16877291.440000001</v>
          </cell>
        </row>
        <row r="549">
          <cell r="B549" t="str">
            <v>Bank Interest</v>
          </cell>
        </row>
        <row r="550">
          <cell r="B550" t="str">
            <v>Bank Interest</v>
          </cell>
          <cell r="H550">
            <v>796421.81</v>
          </cell>
        </row>
        <row r="551">
          <cell r="B551" t="str">
            <v>Bank Interest (OD)</v>
          </cell>
          <cell r="H551">
            <v>404643.35</v>
          </cell>
        </row>
        <row r="552">
          <cell r="B552" t="str">
            <v>Bank Interest - PCL</v>
          </cell>
          <cell r="H552">
            <v>745869.69</v>
          </cell>
        </row>
        <row r="553">
          <cell r="B553" t="str">
            <v>Bank Interest - FBP/ FBD</v>
          </cell>
          <cell r="H553">
            <v>205445.04</v>
          </cell>
        </row>
        <row r="554">
          <cell r="B554" t="str">
            <v>Interest on Vehicle Loan</v>
          </cell>
          <cell r="H554">
            <v>1.66</v>
          </cell>
        </row>
        <row r="555">
          <cell r="B555" t="str">
            <v>Other Interest</v>
          </cell>
          <cell r="H555">
            <v>4266</v>
          </cell>
        </row>
        <row r="556">
          <cell r="H556">
            <v>2156647.5500000003</v>
          </cell>
        </row>
        <row r="557">
          <cell r="B557" t="str">
            <v>Less: Interest on FDR</v>
          </cell>
          <cell r="H557">
            <v>-228641.78</v>
          </cell>
        </row>
        <row r="558">
          <cell r="H558">
            <v>1928005.7700000003</v>
          </cell>
        </row>
        <row r="559">
          <cell r="B559" t="str">
            <v xml:space="preserve">Bank Charges </v>
          </cell>
        </row>
        <row r="560">
          <cell r="B560" t="str">
            <v xml:space="preserve">Bank Charges </v>
          </cell>
          <cell r="H560">
            <v>259973.7</v>
          </cell>
        </row>
        <row r="561">
          <cell r="B561" t="str">
            <v>Bank Charges (Short Forex Recd)</v>
          </cell>
          <cell r="H561">
            <v>211248.35</v>
          </cell>
        </row>
        <row r="562">
          <cell r="B562" t="str">
            <v>Processing Fees</v>
          </cell>
          <cell r="H562">
            <v>400000</v>
          </cell>
        </row>
        <row r="563">
          <cell r="B563" t="str">
            <v>Loss on Forwarded  Contract</v>
          </cell>
          <cell r="H563">
            <v>13678</v>
          </cell>
        </row>
        <row r="564">
          <cell r="H564">
            <v>884900.05</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ayments"/>
      <sheetName val="Summary Billing_Receipts"/>
      <sheetName val="Debtor IO"/>
      <sheetName val="Billwise IO"/>
      <sheetName val="Bill IO (cb)"/>
      <sheetName val="Bill IO (2)"/>
      <sheetName val="Bill IO"/>
      <sheetName val="Debtor L."/>
      <sheetName val="Billwise L."/>
      <sheetName val="Bill L. (2)"/>
      <sheetName val="Bill L."/>
      <sheetName val="Env L."/>
      <sheetName val="Rect L."/>
      <sheetName val="Sel. CC Billings"/>
      <sheetName val="Sel. L. Billings"/>
      <sheetName val="CostINPUT"/>
      <sheetName val="PROJECT INPUT"/>
      <sheetName val="TEAM &amp; CBU INPUT"/>
      <sheetName val="calander weeks"/>
    </sheetNames>
    <sheetDataSet>
      <sheetData sheetId="0" refreshError="1"/>
      <sheetData sheetId="1" refreshError="1"/>
      <sheetData sheetId="2" refreshError="1"/>
      <sheetData sheetId="3">
        <row r="1">
          <cell r="G1">
            <v>40268</v>
          </cell>
          <cell r="AO1" t="str">
            <v>FIND PROJECT</v>
          </cell>
          <cell r="AP1">
            <v>2085</v>
          </cell>
          <cell r="AR1" t="str">
            <v>PRINT INVOICE</v>
          </cell>
          <cell r="AS1" t="str">
            <v>INV-R-DK-0910-174</v>
          </cell>
          <cell r="BY1" t="str">
            <v>k</v>
          </cell>
        </row>
        <row r="2">
          <cell r="B2" t="str">
            <v>INVOICE REFERENCE</v>
          </cell>
          <cell r="C2" t="str">
            <v>PREPAYMENT REGISTER</v>
          </cell>
          <cell r="D2" t="str">
            <v>Debtor</v>
          </cell>
          <cell r="E2" t="str">
            <v>Payment period</v>
          </cell>
          <cell r="F2" t="str">
            <v>Payment date</v>
          </cell>
          <cell r="G2" t="str">
            <v>Payment term to be received</v>
          </cell>
          <cell r="H2" t="str">
            <v>Payment 1 date</v>
          </cell>
          <cell r="I2" t="str">
            <v>Payment 2 date</v>
          </cell>
          <cell r="J2" t="str">
            <v>PBU</v>
          </cell>
          <cell r="K2" t="str">
            <v>PBU date</v>
          </cell>
          <cell r="L2" t="str">
            <v>Team</v>
          </cell>
          <cell r="M2" t="str">
            <v>Team date</v>
          </cell>
          <cell r="N2" t="str">
            <v>Date ID</v>
          </cell>
          <cell r="O2" t="str">
            <v>Date selection</v>
          </cell>
          <cell r="P2" t="str">
            <v>SAMEER REF</v>
          </cell>
          <cell r="Q2" t="str">
            <v>Inv/job/suffix ID</v>
          </cell>
          <cell r="R2" t="str">
            <v>Inv/job   ID</v>
          </cell>
          <cell r="S2" t="str">
            <v>Suffix Month Inv Id</v>
          </cell>
          <cell r="T2" t="str">
            <v>Job Month Inv ID</v>
          </cell>
          <cell r="U2" t="str">
            <v>Net value - prepayment INR</v>
          </cell>
          <cell r="V2" t="str">
            <v>Value INR</v>
          </cell>
          <cell r="W2" t="str">
            <v>Job no. &amp; Suffix</v>
          </cell>
          <cell r="X2" t="str">
            <v>Invoice credit ref:</v>
          </cell>
          <cell r="Y2" t="str">
            <v>M</v>
          </cell>
          <cell r="Z2" t="str">
            <v>Y</v>
          </cell>
          <cell r="AA2" t="str">
            <v>Tax yr</v>
          </cell>
          <cell r="AB2" t="str">
            <v>Inv year ref</v>
          </cell>
          <cell r="AC2" t="str">
            <v>Inv CBU ref</v>
          </cell>
          <cell r="AD2" t="str">
            <v>Previous billed</v>
          </cell>
          <cell r="AE2" t="str">
            <v>Previous accum fee INR</v>
          </cell>
          <cell r="AF2" t="str">
            <v>Previous billed ref</v>
          </cell>
          <cell r="AG2" t="str">
            <v>Previous Billed to date</v>
          </cell>
          <cell r="AH2" t="str">
            <v>Bill Month</v>
          </cell>
          <cell r="AI2" t="str">
            <v>Payment / months</v>
          </cell>
          <cell r="AJ2" t="str">
            <v>prepayment</v>
          </cell>
          <cell r="AK2" t="str">
            <v>Invoice/Credit No.</v>
          </cell>
          <cell r="AL2" t="str">
            <v>Job ref no.</v>
          </cell>
          <cell r="AM2" t="str">
            <v>PBU / Client</v>
          </cell>
          <cell r="AN2" t="str">
            <v>INVOICE CREDIT</v>
          </cell>
          <cell r="AO2" t="str">
            <v>DATE</v>
          </cell>
          <cell r="AP2" t="str">
            <v>Job No.</v>
          </cell>
          <cell r="AQ2" t="str">
            <v>Suffix</v>
          </cell>
          <cell r="AR2" t="str">
            <v xml:space="preserve">Project Ref (1) </v>
          </cell>
          <cell r="AS2" t="str">
            <v>Project Ref (2)</v>
          </cell>
          <cell r="AT2" t="str">
            <v>Metter 1</v>
          </cell>
          <cell r="AU2" t="str">
            <v>Metter 2</v>
          </cell>
          <cell r="AV2" t="str">
            <v>Kind ATTn</v>
          </cell>
          <cell r="AW2" t="str">
            <v>Billing Name</v>
          </cell>
          <cell r="AX2" t="str">
            <v>Add1</v>
          </cell>
          <cell r="AY2" t="str">
            <v>Add2</v>
          </cell>
          <cell r="AZ2" t="str">
            <v>Add3</v>
          </cell>
          <cell r="BA2" t="str">
            <v>Add4</v>
          </cell>
          <cell r="BB2" t="str">
            <v>Currency</v>
          </cell>
          <cell r="BC2" t="str">
            <v>INR       Ex-rate</v>
          </cell>
          <cell r="BD2" t="str">
            <v>Convert Billing currency</v>
          </cell>
          <cell r="BE2" t="str">
            <v>Exchange rate</v>
          </cell>
          <cell r="BF2" t="str">
            <v>Net Invoice (Euro)</v>
          </cell>
          <cell r="BH2" t="str">
            <v>Net invoice</v>
          </cell>
          <cell r="BI2" t="str">
            <v>Rate calculation</v>
          </cell>
          <cell r="BJ2" t="str">
            <v>INR Accum fee to date</v>
          </cell>
          <cell r="BK2" t="str">
            <v>Due date</v>
          </cell>
          <cell r="BM2" t="str">
            <v>Management fee description</v>
          </cell>
          <cell r="BN2" t="str">
            <v>Management fee</v>
          </cell>
          <cell r="BO2" t="str">
            <v>RATE          Drgs / hours</v>
          </cell>
          <cell r="BP2" t="str">
            <v>TYPE TITLE</v>
          </cell>
          <cell r="BQ2" t="str">
            <v>DESCRIPTION TITLE</v>
          </cell>
          <cell r="BR2" t="str">
            <v>NO.    TITLE</v>
          </cell>
          <cell r="BS2" t="str">
            <v>RATE</v>
          </cell>
          <cell r="BT2" t="str">
            <v xml:space="preserve">TYPE (1)      Size /        Period </v>
          </cell>
          <cell r="BU2" t="str">
            <v>DESCRIPTION (1)                                             Drawing No.s /                                                                                                              Nature of Services</v>
          </cell>
          <cell r="BV2" t="str">
            <v xml:space="preserve">NO. (1)           Drgs  /      Hours </v>
          </cell>
          <cell r="BW2" t="str">
            <v xml:space="preserve">RATE (1)   Drgs /      Hours </v>
          </cell>
          <cell r="BX2" t="str">
            <v xml:space="preserve">TYPE (2)      Size /        Period </v>
          </cell>
          <cell r="BY2" t="str">
            <v>DESCRIPTION (2)                                             Drawing No.s /                                                                                                              Nature of Services</v>
          </cell>
          <cell r="BZ2" t="str">
            <v xml:space="preserve">NO. (2)           Drgs  /      Hours </v>
          </cell>
          <cell r="CA2" t="str">
            <v xml:space="preserve">RATE (2)   Drgs /      Hours </v>
          </cell>
          <cell r="CB2" t="str">
            <v xml:space="preserve">TYPE (3)      Size /        Period </v>
          </cell>
          <cell r="CC2" t="str">
            <v>DESCRIPTION (3)                                             Drawing No.s /                                                                                                              Nature of Services</v>
          </cell>
          <cell r="CD2" t="str">
            <v xml:space="preserve">NO. (3)           Drgs  /      Hours </v>
          </cell>
          <cell r="CE2" t="str">
            <v xml:space="preserve">RATE (3)   Drgs /      Hours </v>
          </cell>
          <cell r="CF2" t="str">
            <v xml:space="preserve">TYPE (4)      Size /        Period </v>
          </cell>
          <cell r="CG2" t="str">
            <v>DESCRIPTION (4)                                             Drawing No.s /                                                                                                              Nature of Services</v>
          </cell>
          <cell r="CH2" t="str">
            <v xml:space="preserve">NO. (4)           Drgs  /      Hours </v>
          </cell>
          <cell r="CI2" t="str">
            <v xml:space="preserve">RATE (4)   Drgs /      Hours </v>
          </cell>
          <cell r="CJ2" t="str">
            <v xml:space="preserve">TYPE (5)      Size /        Period </v>
          </cell>
          <cell r="CK2" t="str">
            <v>DESCRIPTION (5)                                             Drawing No.s /                                                                                                              Nature of Services</v>
          </cell>
          <cell r="CL2" t="str">
            <v xml:space="preserve">NO. (5)           Drgs  /      Hours </v>
          </cell>
          <cell r="CM2" t="str">
            <v xml:space="preserve">RATE (5)   Drgs /      Hours </v>
          </cell>
          <cell r="CN2" t="str">
            <v xml:space="preserve">TYPE (6)      Size /        Period </v>
          </cell>
          <cell r="CO2" t="str">
            <v>DESCRIPTION (6)                                             Drawing No.s /                                                                                                              Nature of Services</v>
          </cell>
          <cell r="CP2" t="str">
            <v xml:space="preserve">NO. (6)           Drgs  /      Hours </v>
          </cell>
          <cell r="CQ2" t="str">
            <v xml:space="preserve">RATE (6)   Drgs /      Hours </v>
          </cell>
          <cell r="CR2" t="str">
            <v xml:space="preserve">TYPE (7)      Size /        Period </v>
          </cell>
          <cell r="CS2" t="str">
            <v>DESCRIPTION (7)                                             Drawing No.s /                                                                                                              Nature of Services</v>
          </cell>
          <cell r="CT2" t="str">
            <v xml:space="preserve">NO. (7)           Drgs  /      Hours </v>
          </cell>
          <cell r="CU2" t="str">
            <v xml:space="preserve">RATE (7)   Drgs /      Hours </v>
          </cell>
          <cell r="CV2" t="str">
            <v xml:space="preserve">TYPE (8)      Size /        Period </v>
          </cell>
          <cell r="CW2" t="str">
            <v>DESCRIPTION (8)                                             Drawing No.s /                                                                                                              Nature of Services</v>
          </cell>
          <cell r="CX2" t="str">
            <v xml:space="preserve">NO. (8)           Drgs  /      Hours </v>
          </cell>
          <cell r="CY2" t="str">
            <v xml:space="preserve">RATE (8)   Drgs /      Hours </v>
          </cell>
          <cell r="CZ2" t="str">
            <v xml:space="preserve">TYPE (9)      Size /        Period </v>
          </cell>
          <cell r="DA2" t="str">
            <v>DESCRIPTION (9)                                             Drawing No.s /                                                                                                              Nature of Services</v>
          </cell>
          <cell r="DB2" t="str">
            <v xml:space="preserve">NO. (9)           Drgs  /      Hours </v>
          </cell>
          <cell r="DC2" t="str">
            <v xml:space="preserve">RATE (9)   Drgs /      Hours </v>
          </cell>
          <cell r="DD2" t="str">
            <v xml:space="preserve">TYPE (10)      Size /        Period </v>
          </cell>
          <cell r="DE2" t="str">
            <v>DESCRIPTION (10)                                             Drawing No.s /                                                                                                              Nature of Services</v>
          </cell>
          <cell r="DF2" t="str">
            <v xml:space="preserve">NO. (10)           Drgs  /      Hours </v>
          </cell>
          <cell r="DG2" t="str">
            <v xml:space="preserve">RATE (10)   Drgs /      Hours </v>
          </cell>
          <cell r="DH2" t="str">
            <v xml:space="preserve">TYPE (11)      Size /        Period </v>
          </cell>
          <cell r="DI2" t="str">
            <v>DESCRIPTION (11)                                             Drawing No.s /                                                                                                              Nature of Services</v>
          </cell>
          <cell r="DJ2" t="str">
            <v xml:space="preserve">NO. (11)           Drgs  /      Hours </v>
          </cell>
          <cell r="DK2" t="str">
            <v xml:space="preserve">RATE (11)   Drgs /      Hours </v>
          </cell>
          <cell r="DL2" t="str">
            <v xml:space="preserve">TYPE (12)      Size /        Period </v>
          </cell>
          <cell r="DM2" t="str">
            <v>DESCRIPTION (12)                                             Drawing No.s /                                                                                                              Nature of Services</v>
          </cell>
          <cell r="DN2" t="str">
            <v xml:space="preserve">NO. (12)           Drgs  /      Hours </v>
          </cell>
          <cell r="DO2" t="str">
            <v xml:space="preserve">RATE (12)   Drgs /      Hours </v>
          </cell>
          <cell r="DP2" t="str">
            <v xml:space="preserve">TYPE (13)      Size /        Period </v>
          </cell>
          <cell r="DQ2" t="str">
            <v>DESCRIPTION (13)                                             Drawing No.s /                                                                                                              Nature of Services</v>
          </cell>
          <cell r="DR2" t="str">
            <v xml:space="preserve">NO. (13)           Drgs  /      Hours </v>
          </cell>
          <cell r="DS2" t="str">
            <v xml:space="preserve">RATE (13)   Drgs /      Hours </v>
          </cell>
          <cell r="DT2" t="str">
            <v xml:space="preserve">TYPE (14)      Size /        Period </v>
          </cell>
          <cell r="DU2" t="str">
            <v>DESCRIPTION (14)                                             Drawing No.s /                                                                                                              Nature of Services</v>
          </cell>
          <cell r="DV2" t="str">
            <v xml:space="preserve">NO. (14)           Drgs  /      Hours </v>
          </cell>
          <cell r="DW2" t="str">
            <v xml:space="preserve">RATE (14)   Drgs /      Hours </v>
          </cell>
          <cell r="DX2" t="str">
            <v xml:space="preserve">TYPE (15)      Size /        Period </v>
          </cell>
          <cell r="DY2" t="str">
            <v>DESCRIPTION (15)                                             Drawing No.s /                                                                                                              Nature of Services</v>
          </cell>
          <cell r="DZ2" t="str">
            <v xml:space="preserve">NO. (15)           Drgs  /      Hours </v>
          </cell>
          <cell r="EA2" t="str">
            <v xml:space="preserve">RATE (15)   Drgs /      Hours </v>
          </cell>
          <cell r="EB2" t="str">
            <v xml:space="preserve">TYPE (16)      Size /        Period </v>
          </cell>
          <cell r="EC2" t="str">
            <v>DESCRIPTION (16)                                             Drawing No.s /                                                                                                              Nature of Services</v>
          </cell>
          <cell r="ED2" t="str">
            <v xml:space="preserve">NO. (16)           Drgs  /      Hours </v>
          </cell>
          <cell r="EE2" t="str">
            <v xml:space="preserve">RATE (16)   Drgs /      Hours </v>
          </cell>
          <cell r="EF2" t="str">
            <v xml:space="preserve">TYPE (17)      Size /        Period </v>
          </cell>
          <cell r="EG2" t="str">
            <v>DESCRIPTION (17)                                             Drawing No.s /                                                                                                              Nature of Services</v>
          </cell>
          <cell r="EH2" t="str">
            <v xml:space="preserve">NO. (17)           Drgs  /      Hours </v>
          </cell>
          <cell r="EI2" t="str">
            <v xml:space="preserve">RATE (17)   Drgs /      Hours </v>
          </cell>
          <cell r="EJ2" t="str">
            <v xml:space="preserve">TYPE (18)      Size /        Period </v>
          </cell>
          <cell r="EK2" t="str">
            <v>DESCRIPTION (18)                                             Drawing No.s /                                                                                                              Nature of Services</v>
          </cell>
          <cell r="EL2" t="str">
            <v xml:space="preserve">NO. (18)           Drgs  /      Hours </v>
          </cell>
          <cell r="EM2" t="str">
            <v xml:space="preserve">RATE (18)   Drgs /      Hours </v>
          </cell>
          <cell r="EN2" t="str">
            <v xml:space="preserve">TYPE (19)      Size /        Period </v>
          </cell>
          <cell r="EO2" t="str">
            <v>DESCRIPTION (19)                                             Drawing No.s /                                                                                                              Nature of Services</v>
          </cell>
          <cell r="EP2" t="str">
            <v xml:space="preserve">NO. (19)           Drgs  /      Hours </v>
          </cell>
          <cell r="EQ2" t="str">
            <v xml:space="preserve">RATE (19)   Drgs /      Hours </v>
          </cell>
        </row>
        <row r="3">
          <cell r="B3" t="str">
            <v>INV-R-GR-0910-1</v>
          </cell>
          <cell r="C3" t="str">
            <v/>
          </cell>
          <cell r="D3" t="e">
            <v>#VALUE!</v>
          </cell>
          <cell r="E3" t="str">
            <v>Apr2010</v>
          </cell>
          <cell r="F3">
            <v>40297</v>
          </cell>
          <cell r="G3" t="e">
            <v>#VALUE!</v>
          </cell>
          <cell r="H3">
            <v>1</v>
          </cell>
          <cell r="I3">
            <v>1</v>
          </cell>
          <cell r="J3">
            <v>0</v>
          </cell>
          <cell r="K3" t="str">
            <v>0Mar2010</v>
          </cell>
          <cell r="L3" t="str">
            <v>Infrastucture</v>
          </cell>
          <cell r="M3" t="str">
            <v>InfrastuctureMar2010</v>
          </cell>
          <cell r="N3">
            <v>0</v>
          </cell>
          <cell r="O3">
            <v>0</v>
          </cell>
          <cell r="Q3">
            <v>30251001</v>
          </cell>
          <cell r="R3">
            <v>302501</v>
          </cell>
          <cell r="S3" t="str">
            <v>302510Mar2010</v>
          </cell>
          <cell r="T3" t="str">
            <v>3025Mar2010</v>
          </cell>
          <cell r="U3" t="e">
            <v>#VALUE!</v>
          </cell>
          <cell r="V3" t="e">
            <v>#VALUE!</v>
          </cell>
          <cell r="W3" t="str">
            <v>302510</v>
          </cell>
          <cell r="X3" t="str">
            <v>INV-R-GR0910</v>
          </cell>
          <cell r="Y3" t="str">
            <v>Mar</v>
          </cell>
          <cell r="Z3">
            <v>2010</v>
          </cell>
          <cell r="AA3" t="str">
            <v>0910</v>
          </cell>
          <cell r="AB3" t="str">
            <v>0910-1</v>
          </cell>
          <cell r="AC3">
            <v>1</v>
          </cell>
          <cell r="AD3">
            <v>0</v>
          </cell>
          <cell r="AE3">
            <v>0</v>
          </cell>
          <cell r="AF3" t="str">
            <v/>
          </cell>
          <cell r="AG3" t="str">
            <v/>
          </cell>
          <cell r="AH3">
            <v>40238</v>
          </cell>
          <cell r="AI3">
            <v>1</v>
          </cell>
          <cell r="AK3" t="str">
            <v>INV-R-GR-0910-1</v>
          </cell>
          <cell r="AL3">
            <v>1</v>
          </cell>
          <cell r="AM3" t="str">
            <v>R-GR</v>
          </cell>
          <cell r="AN3" t="str">
            <v>INVOICE</v>
          </cell>
          <cell r="AO3">
            <v>40266</v>
          </cell>
          <cell r="AP3">
            <v>3025</v>
          </cell>
          <cell r="AQ3">
            <v>10</v>
          </cell>
          <cell r="AR3" t="str">
            <v/>
          </cell>
          <cell r="AS3" t="str">
            <v/>
          </cell>
          <cell r="AT3" t="str">
            <v/>
          </cell>
          <cell r="AU3" t="str">
            <v/>
          </cell>
          <cell r="AV3" t="str">
            <v/>
          </cell>
          <cell r="AW3" t="str">
            <v/>
          </cell>
          <cell r="AX3" t="str">
            <v/>
          </cell>
          <cell r="AY3" t="str">
            <v/>
          </cell>
          <cell r="AZ3" t="str">
            <v/>
          </cell>
          <cell r="BB3" t="str">
            <v/>
          </cell>
          <cell r="BC3" t="str">
            <v/>
          </cell>
          <cell r="BD3" t="str">
            <v>Euro</v>
          </cell>
          <cell r="BE3">
            <v>60</v>
          </cell>
          <cell r="BF3">
            <v>6270</v>
          </cell>
          <cell r="BH3">
            <v>376200</v>
          </cell>
          <cell r="BI3">
            <v>376200</v>
          </cell>
          <cell r="BJ3" t="e">
            <v>#VALUE!</v>
          </cell>
          <cell r="BK3">
            <v>40296</v>
          </cell>
          <cell r="BL3" t="str">
            <v>(EURO SIX THOUSAND TWO HUNDRED SEVENTY ONLY)</v>
          </cell>
          <cell r="BM3" t="str">
            <v>Reverse Charge Vat Nr 556133-0506-01</v>
          </cell>
          <cell r="BO3" t="str">
            <v>Hours</v>
          </cell>
          <cell r="BP3" t="str">
            <v>Period</v>
          </cell>
          <cell r="BQ3" t="str">
            <v>Nature of Services</v>
          </cell>
          <cell r="BR3" t="str">
            <v>Hours</v>
          </cell>
          <cell r="BS3" t="str">
            <v>Rate</v>
          </cell>
          <cell r="BT3">
            <v>40238</v>
          </cell>
          <cell r="BU3" t="str">
            <v>PM - Services Cecilia Orosz</v>
          </cell>
          <cell r="BV3">
            <v>27</v>
          </cell>
          <cell r="BW3">
            <v>5000</v>
          </cell>
          <cell r="BX3">
            <v>40238</v>
          </cell>
          <cell r="BY3" t="str">
            <v>Services BVD - (SEN -1)</v>
          </cell>
          <cell r="BZ3">
            <v>76</v>
          </cell>
          <cell r="CA3">
            <v>1200</v>
          </cell>
          <cell r="CB3">
            <v>40238</v>
          </cell>
          <cell r="CC3" t="str">
            <v>Services BLJ - (SEN -1)</v>
          </cell>
          <cell r="CD3">
            <v>125</v>
          </cell>
          <cell r="CE3">
            <v>1200</v>
          </cell>
        </row>
        <row r="4">
          <cell r="B4" t="str">
            <v>INV-0-0910-1</v>
          </cell>
          <cell r="C4" t="str">
            <v/>
          </cell>
          <cell r="D4" t="e">
            <v>#VALUE!</v>
          </cell>
          <cell r="E4" t="str">
            <v>Apr2010</v>
          </cell>
          <cell r="F4">
            <v>40297</v>
          </cell>
          <cell r="G4" t="e">
            <v>#VALUE!</v>
          </cell>
          <cell r="H4">
            <v>1</v>
          </cell>
          <cell r="I4">
            <v>1</v>
          </cell>
          <cell r="J4">
            <v>0</v>
          </cell>
          <cell r="K4" t="str">
            <v>0Mar2010</v>
          </cell>
          <cell r="L4" t="str">
            <v>Infrastucture</v>
          </cell>
          <cell r="M4" t="str">
            <v>InfrastuctureMar2010</v>
          </cell>
          <cell r="N4">
            <v>0</v>
          </cell>
          <cell r="O4">
            <v>0</v>
          </cell>
          <cell r="Q4">
            <v>30271001</v>
          </cell>
          <cell r="R4">
            <v>302701</v>
          </cell>
          <cell r="S4" t="str">
            <v>302710Mar2010</v>
          </cell>
          <cell r="T4" t="str">
            <v>3027Mar2010</v>
          </cell>
          <cell r="U4" t="e">
            <v>#VALUE!</v>
          </cell>
          <cell r="V4" t="e">
            <v>#VALUE!</v>
          </cell>
          <cell r="W4" t="str">
            <v>302710</v>
          </cell>
          <cell r="X4" t="str">
            <v>INV-00910</v>
          </cell>
          <cell r="Y4" t="str">
            <v>Mar</v>
          </cell>
          <cell r="Z4">
            <v>2010</v>
          </cell>
          <cell r="AA4" t="str">
            <v>0910</v>
          </cell>
          <cell r="AB4" t="str">
            <v>0910-2</v>
          </cell>
          <cell r="AC4">
            <v>1</v>
          </cell>
          <cell r="AD4">
            <v>0</v>
          </cell>
          <cell r="AE4">
            <v>0</v>
          </cell>
          <cell r="AF4" t="str">
            <v/>
          </cell>
          <cell r="AG4" t="str">
            <v/>
          </cell>
          <cell r="AH4">
            <v>40238</v>
          </cell>
          <cell r="AI4">
            <v>1</v>
          </cell>
          <cell r="AK4" t="str">
            <v>INV-0-0910-1</v>
          </cell>
          <cell r="AL4">
            <v>1</v>
          </cell>
          <cell r="AM4">
            <v>0</v>
          </cell>
          <cell r="AN4" t="str">
            <v>INVOICE</v>
          </cell>
          <cell r="AO4">
            <v>40266</v>
          </cell>
          <cell r="AP4">
            <v>3027</v>
          </cell>
          <cell r="AQ4">
            <v>10</v>
          </cell>
          <cell r="AR4" t="str">
            <v/>
          </cell>
          <cell r="AS4" t="str">
            <v/>
          </cell>
          <cell r="AT4" t="str">
            <v/>
          </cell>
          <cell r="AU4" t="str">
            <v/>
          </cell>
          <cell r="AV4" t="str">
            <v/>
          </cell>
          <cell r="AW4" t="str">
            <v/>
          </cell>
          <cell r="AX4" t="str">
            <v/>
          </cell>
          <cell r="AY4" t="str">
            <v/>
          </cell>
          <cell r="AZ4" t="str">
            <v/>
          </cell>
          <cell r="BB4" t="str">
            <v/>
          </cell>
          <cell r="BC4" t="str">
            <v/>
          </cell>
          <cell r="BD4" t="str">
            <v>Euro</v>
          </cell>
          <cell r="BE4">
            <v>60</v>
          </cell>
          <cell r="BF4">
            <v>148.78333333333333</v>
          </cell>
          <cell r="BH4">
            <v>8927</v>
          </cell>
          <cell r="BI4">
            <v>8927</v>
          </cell>
          <cell r="BJ4" t="e">
            <v>#VALUE!</v>
          </cell>
          <cell r="BK4">
            <v>40296</v>
          </cell>
          <cell r="BL4" t="str">
            <v>(EURO ONE HUNDRED FOURTY NINE ONLY)</v>
          </cell>
          <cell r="BM4" t="str">
            <v>Other Charges</v>
          </cell>
          <cell r="BN4">
            <v>8927</v>
          </cell>
          <cell r="BP4" t="str">
            <v/>
          </cell>
          <cell r="BQ4" t="str">
            <v/>
          </cell>
          <cell r="BR4" t="str">
            <v/>
          </cell>
          <cell r="BS4" t="str">
            <v/>
          </cell>
          <cell r="BU4" t="str">
            <v>Reverse Charge Vat Nr 556133-0506-01</v>
          </cell>
        </row>
        <row r="5">
          <cell r="B5" t="str">
            <v>INV-0-0910-2</v>
          </cell>
          <cell r="C5" t="str">
            <v/>
          </cell>
          <cell r="D5" t="e">
            <v>#VALUE!</v>
          </cell>
          <cell r="E5" t="str">
            <v>Apr2010</v>
          </cell>
          <cell r="F5">
            <v>40297</v>
          </cell>
          <cell r="G5" t="e">
            <v>#VALUE!</v>
          </cell>
          <cell r="H5">
            <v>1</v>
          </cell>
          <cell r="I5">
            <v>1</v>
          </cell>
          <cell r="J5">
            <v>0</v>
          </cell>
          <cell r="K5" t="str">
            <v>0Mar2010</v>
          </cell>
          <cell r="L5" t="str">
            <v>Infrastucture</v>
          </cell>
          <cell r="M5" t="str">
            <v>InfrastuctureMar2010</v>
          </cell>
          <cell r="N5">
            <v>0</v>
          </cell>
          <cell r="O5">
            <v>0</v>
          </cell>
          <cell r="Q5">
            <v>30111001</v>
          </cell>
          <cell r="R5">
            <v>301101</v>
          </cell>
          <cell r="S5" t="str">
            <v>301110Mar2010</v>
          </cell>
          <cell r="T5" t="str">
            <v>3011Mar2010</v>
          </cell>
          <cell r="U5" t="e">
            <v>#VALUE!</v>
          </cell>
          <cell r="V5" t="e">
            <v>#VALUE!</v>
          </cell>
          <cell r="W5" t="str">
            <v>301110</v>
          </cell>
          <cell r="X5" t="str">
            <v>INV-00910</v>
          </cell>
          <cell r="Y5" t="str">
            <v>Mar</v>
          </cell>
          <cell r="Z5">
            <v>2010</v>
          </cell>
          <cell r="AA5" t="str">
            <v>0910</v>
          </cell>
          <cell r="AB5" t="str">
            <v>0910-3</v>
          </cell>
          <cell r="AC5">
            <v>2</v>
          </cell>
          <cell r="AD5">
            <v>0</v>
          </cell>
          <cell r="AE5">
            <v>0</v>
          </cell>
          <cell r="AF5" t="str">
            <v/>
          </cell>
          <cell r="AG5" t="str">
            <v/>
          </cell>
          <cell r="AH5">
            <v>40238</v>
          </cell>
          <cell r="AI5">
            <v>1</v>
          </cell>
          <cell r="AK5" t="str">
            <v>INV-0-0910-2</v>
          </cell>
          <cell r="AL5">
            <v>1</v>
          </cell>
          <cell r="AM5">
            <v>0</v>
          </cell>
          <cell r="AN5" t="str">
            <v>INVOICE</v>
          </cell>
          <cell r="AO5">
            <v>40266</v>
          </cell>
          <cell r="AP5">
            <v>3011</v>
          </cell>
          <cell r="AQ5">
            <v>10</v>
          </cell>
          <cell r="AR5" t="str">
            <v/>
          </cell>
          <cell r="AS5" t="str">
            <v/>
          </cell>
          <cell r="AT5" t="str">
            <v/>
          </cell>
          <cell r="AU5" t="str">
            <v/>
          </cell>
          <cell r="AV5" t="str">
            <v/>
          </cell>
          <cell r="AW5" t="str">
            <v/>
          </cell>
          <cell r="AX5" t="str">
            <v/>
          </cell>
          <cell r="AY5" t="str">
            <v/>
          </cell>
          <cell r="AZ5" t="str">
            <v/>
          </cell>
          <cell r="BB5" t="str">
            <v/>
          </cell>
          <cell r="BC5" t="str">
            <v/>
          </cell>
          <cell r="BD5" t="str">
            <v>Euro</v>
          </cell>
          <cell r="BE5">
            <v>60</v>
          </cell>
          <cell r="BF5">
            <v>2634</v>
          </cell>
          <cell r="BH5">
            <v>158040</v>
          </cell>
          <cell r="BI5">
            <v>158040</v>
          </cell>
          <cell r="BJ5" t="e">
            <v>#VALUE!</v>
          </cell>
          <cell r="BK5">
            <v>40296</v>
          </cell>
          <cell r="BL5" t="str">
            <v>(EURO TWO THOUSAND SIX HUNDRED THIRTY FOUR ONLY)</v>
          </cell>
          <cell r="BM5" t="str">
            <v>Reverse Charge Vat Nr 556133-0506-01</v>
          </cell>
          <cell r="BO5" t="str">
            <v>Hours</v>
          </cell>
          <cell r="BP5" t="str">
            <v>Period</v>
          </cell>
          <cell r="BQ5" t="str">
            <v>Nature of Services</v>
          </cell>
          <cell r="BR5" t="str">
            <v>Hours</v>
          </cell>
          <cell r="BS5" t="str">
            <v>Rate</v>
          </cell>
          <cell r="BT5">
            <v>40238</v>
          </cell>
          <cell r="BU5" t="str">
            <v>PM - Services Cecilia Orosz</v>
          </cell>
          <cell r="BV5">
            <v>36</v>
          </cell>
          <cell r="BW5">
            <v>4390</v>
          </cell>
        </row>
        <row r="6">
          <cell r="B6" t="str">
            <v>INV-0-0910-3</v>
          </cell>
          <cell r="C6" t="str">
            <v/>
          </cell>
          <cell r="D6" t="e">
            <v>#VALUE!</v>
          </cell>
          <cell r="E6" t="str">
            <v>Apr2010</v>
          </cell>
          <cell r="F6">
            <v>40298</v>
          </cell>
          <cell r="G6" t="e">
            <v>#VALUE!</v>
          </cell>
          <cell r="H6">
            <v>1</v>
          </cell>
          <cell r="I6">
            <v>1</v>
          </cell>
          <cell r="J6">
            <v>0</v>
          </cell>
          <cell r="K6" t="str">
            <v>0Mar2010</v>
          </cell>
          <cell r="L6" t="str">
            <v>Infrastucture</v>
          </cell>
          <cell r="M6" t="str">
            <v>InfrastuctureMar2010</v>
          </cell>
          <cell r="N6">
            <v>0</v>
          </cell>
          <cell r="O6">
            <v>0</v>
          </cell>
          <cell r="Q6">
            <v>40071001</v>
          </cell>
          <cell r="R6">
            <v>400701</v>
          </cell>
          <cell r="S6" t="str">
            <v>400710Mar2010</v>
          </cell>
          <cell r="T6" t="str">
            <v>4007Mar2010</v>
          </cell>
          <cell r="U6" t="e">
            <v>#VALUE!</v>
          </cell>
          <cell r="V6" t="e">
            <v>#VALUE!</v>
          </cell>
          <cell r="W6" t="str">
            <v>400710</v>
          </cell>
          <cell r="X6" t="str">
            <v>INV-00910</v>
          </cell>
          <cell r="Y6" t="str">
            <v>Mar</v>
          </cell>
          <cell r="Z6">
            <v>2010</v>
          </cell>
          <cell r="AA6" t="str">
            <v>0910</v>
          </cell>
          <cell r="AB6" t="str">
            <v>0910-4</v>
          </cell>
          <cell r="AC6">
            <v>3</v>
          </cell>
          <cell r="AD6">
            <v>0</v>
          </cell>
          <cell r="AE6">
            <v>0</v>
          </cell>
          <cell r="AF6" t="str">
            <v/>
          </cell>
          <cell r="AG6" t="str">
            <v/>
          </cell>
          <cell r="AH6">
            <v>40238</v>
          </cell>
          <cell r="AI6">
            <v>1</v>
          </cell>
          <cell r="AK6" t="str">
            <v>INV-0-0910-3</v>
          </cell>
          <cell r="AL6">
            <v>1</v>
          </cell>
          <cell r="AM6">
            <v>0</v>
          </cell>
          <cell r="AN6" t="str">
            <v>INVOICE</v>
          </cell>
          <cell r="AO6">
            <v>40267</v>
          </cell>
          <cell r="AP6">
            <v>4007</v>
          </cell>
          <cell r="AQ6">
            <v>10</v>
          </cell>
          <cell r="AR6" t="str">
            <v>Næstved Omfartsvej. Project start-up</v>
          </cell>
          <cell r="AS6" t="str">
            <v>R-DK. Project Nr. 8427505 B.</v>
          </cell>
          <cell r="AT6" t="str">
            <v>Professional fees for Consultant Engineering Services</v>
          </cell>
          <cell r="AU6" t="str">
            <v/>
          </cell>
          <cell r="AV6" t="str">
            <v>Niels Dinesen (NID)</v>
          </cell>
          <cell r="AW6" t="str">
            <v>RAMBOLL DANMARK A/S</v>
          </cell>
          <cell r="AX6" t="str">
            <v>Bridge Department</v>
          </cell>
          <cell r="AY6" t="str">
            <v>Bredevej 2</v>
          </cell>
          <cell r="AZ6" t="str">
            <v>DK-2830 Virum</v>
          </cell>
          <cell r="BB6" t="str">
            <v/>
          </cell>
          <cell r="BC6" t="str">
            <v/>
          </cell>
          <cell r="BD6" t="str">
            <v>Euro</v>
          </cell>
          <cell r="BE6">
            <v>60</v>
          </cell>
          <cell r="BF6">
            <v>570</v>
          </cell>
          <cell r="BH6">
            <v>34200</v>
          </cell>
          <cell r="BI6">
            <v>34200</v>
          </cell>
          <cell r="BJ6" t="e">
            <v>#VALUE!</v>
          </cell>
          <cell r="BK6">
            <v>40297</v>
          </cell>
          <cell r="BL6" t="str">
            <v>(EURO FIVE HUNDRED SEVENTY ONLY)</v>
          </cell>
          <cell r="BO6" t="str">
            <v>Hours</v>
          </cell>
          <cell r="BP6" t="str">
            <v>Period</v>
          </cell>
          <cell r="BQ6" t="str">
            <v>Nature of Services</v>
          </cell>
          <cell r="BR6" t="str">
            <v>Hours</v>
          </cell>
          <cell r="BS6" t="str">
            <v>Rate</v>
          </cell>
          <cell r="BT6">
            <v>40238</v>
          </cell>
          <cell r="BU6" t="str">
            <v>PM - Services Esben Thorup</v>
          </cell>
          <cell r="BV6">
            <v>9</v>
          </cell>
          <cell r="BW6">
            <v>3800</v>
          </cell>
        </row>
        <row r="7">
          <cell r="B7" t="str">
            <v>INV-0-0910-4</v>
          </cell>
          <cell r="C7" t="str">
            <v/>
          </cell>
          <cell r="D7" t="e">
            <v>#VALUE!</v>
          </cell>
          <cell r="E7" t="str">
            <v>Apr2010</v>
          </cell>
          <cell r="F7">
            <v>40298</v>
          </cell>
          <cell r="G7" t="e">
            <v>#VALUE!</v>
          </cell>
          <cell r="H7">
            <v>1</v>
          </cell>
          <cell r="I7">
            <v>1</v>
          </cell>
          <cell r="J7">
            <v>0</v>
          </cell>
          <cell r="K7" t="str">
            <v>0Mar2010</v>
          </cell>
          <cell r="L7" t="str">
            <v>Infrastucture</v>
          </cell>
          <cell r="M7" t="str">
            <v>InfrastuctureMar2010</v>
          </cell>
          <cell r="N7">
            <v>0</v>
          </cell>
          <cell r="O7">
            <v>0</v>
          </cell>
          <cell r="Q7">
            <v>40121001</v>
          </cell>
          <cell r="R7">
            <v>401201</v>
          </cell>
          <cell r="S7" t="str">
            <v>401210Mar2010</v>
          </cell>
          <cell r="T7" t="str">
            <v>4012Mar2010</v>
          </cell>
          <cell r="U7" t="e">
            <v>#VALUE!</v>
          </cell>
          <cell r="V7" t="e">
            <v>#VALUE!</v>
          </cell>
          <cell r="W7" t="str">
            <v>401210</v>
          </cell>
          <cell r="X7" t="str">
            <v>INV-00910</v>
          </cell>
          <cell r="Y7" t="str">
            <v>Mar</v>
          </cell>
          <cell r="Z7">
            <v>2010</v>
          </cell>
          <cell r="AA7" t="str">
            <v>0910</v>
          </cell>
          <cell r="AB7" t="str">
            <v>0910-5</v>
          </cell>
          <cell r="AC7">
            <v>4</v>
          </cell>
          <cell r="AD7">
            <v>0</v>
          </cell>
          <cell r="AE7">
            <v>0</v>
          </cell>
          <cell r="AF7" t="str">
            <v/>
          </cell>
          <cell r="AG7" t="str">
            <v/>
          </cell>
          <cell r="AH7">
            <v>40238</v>
          </cell>
          <cell r="AI7">
            <v>1</v>
          </cell>
          <cell r="AK7" t="str">
            <v>INV-0-0910-4</v>
          </cell>
          <cell r="AL7">
            <v>1</v>
          </cell>
          <cell r="AM7">
            <v>0</v>
          </cell>
          <cell r="AN7" t="str">
            <v>INVOICE</v>
          </cell>
          <cell r="AO7">
            <v>40267</v>
          </cell>
          <cell r="AP7">
            <v>4012</v>
          </cell>
          <cell r="AQ7">
            <v>10</v>
          </cell>
          <cell r="AR7" t="str">
            <v/>
          </cell>
          <cell r="AS7" t="str">
            <v/>
          </cell>
          <cell r="AT7" t="str">
            <v/>
          </cell>
          <cell r="AU7" t="str">
            <v/>
          </cell>
          <cell r="AV7" t="str">
            <v/>
          </cell>
          <cell r="AW7" t="str">
            <v/>
          </cell>
          <cell r="AX7" t="str">
            <v/>
          </cell>
          <cell r="AY7" t="str">
            <v/>
          </cell>
          <cell r="AZ7" t="str">
            <v/>
          </cell>
          <cell r="BB7" t="str">
            <v/>
          </cell>
          <cell r="BC7" t="str">
            <v/>
          </cell>
          <cell r="BD7" t="str">
            <v>Euro</v>
          </cell>
          <cell r="BE7">
            <v>60</v>
          </cell>
          <cell r="BF7">
            <v>381.66666666666669</v>
          </cell>
          <cell r="BH7">
            <v>22900</v>
          </cell>
          <cell r="BI7">
            <v>22900</v>
          </cell>
          <cell r="BJ7" t="e">
            <v>#VALUE!</v>
          </cell>
          <cell r="BK7">
            <v>40297</v>
          </cell>
          <cell r="BL7" t="str">
            <v>(EURO THREE HUNDRED EIGHTY TWO ONLY)</v>
          </cell>
          <cell r="BO7" t="str">
            <v>Hours</v>
          </cell>
          <cell r="BP7" t="str">
            <v>Period</v>
          </cell>
          <cell r="BQ7" t="str">
            <v>Nature of Services</v>
          </cell>
          <cell r="BR7" t="str">
            <v>Hours</v>
          </cell>
          <cell r="BS7" t="str">
            <v>Rate</v>
          </cell>
          <cell r="BT7">
            <v>40238</v>
          </cell>
          <cell r="BU7" t="str">
            <v>PM - Services Esben Thorup</v>
          </cell>
          <cell r="BV7">
            <v>4</v>
          </cell>
          <cell r="BW7">
            <v>3800</v>
          </cell>
          <cell r="BX7">
            <v>40238</v>
          </cell>
          <cell r="BY7" t="str">
            <v>Services VSK - (ENG -2)</v>
          </cell>
          <cell r="BZ7">
            <v>5</v>
          </cell>
          <cell r="CA7">
            <v>1000</v>
          </cell>
          <cell r="CB7">
            <v>40238</v>
          </cell>
          <cell r="CC7" t="str">
            <v>Services MRG - (CAD -2)</v>
          </cell>
          <cell r="CD7">
            <v>3</v>
          </cell>
          <cell r="CE7">
            <v>900</v>
          </cell>
        </row>
        <row r="8">
          <cell r="B8" t="str">
            <v>INV-0-0910-5</v>
          </cell>
          <cell r="C8" t="str">
            <v/>
          </cell>
          <cell r="D8" t="e">
            <v>#VALUE!</v>
          </cell>
          <cell r="E8" t="str">
            <v>Apr2010</v>
          </cell>
          <cell r="F8">
            <v>40298</v>
          </cell>
          <cell r="G8" t="e">
            <v>#VALUE!</v>
          </cell>
          <cell r="H8">
            <v>1</v>
          </cell>
          <cell r="I8">
            <v>1</v>
          </cell>
          <cell r="J8">
            <v>0</v>
          </cell>
          <cell r="K8" t="str">
            <v>0Mar2010</v>
          </cell>
          <cell r="L8" t="str">
            <v>Infrastucture</v>
          </cell>
          <cell r="M8" t="str">
            <v>InfrastuctureMar2010</v>
          </cell>
          <cell r="N8">
            <v>0</v>
          </cell>
          <cell r="O8">
            <v>0</v>
          </cell>
          <cell r="Q8">
            <v>40241001</v>
          </cell>
          <cell r="R8">
            <v>402401</v>
          </cell>
          <cell r="S8" t="str">
            <v>402410Mar2010</v>
          </cell>
          <cell r="T8" t="str">
            <v>4024Mar2010</v>
          </cell>
          <cell r="U8" t="e">
            <v>#VALUE!</v>
          </cell>
          <cell r="V8" t="e">
            <v>#VALUE!</v>
          </cell>
          <cell r="W8" t="str">
            <v>402410</v>
          </cell>
          <cell r="X8" t="str">
            <v>INV-00910</v>
          </cell>
          <cell r="Y8" t="str">
            <v>Mar</v>
          </cell>
          <cell r="Z8">
            <v>2010</v>
          </cell>
          <cell r="AA8" t="str">
            <v>0910</v>
          </cell>
          <cell r="AB8" t="str">
            <v>0910-6</v>
          </cell>
          <cell r="AC8">
            <v>5</v>
          </cell>
          <cell r="AD8">
            <v>0</v>
          </cell>
          <cell r="AE8">
            <v>0</v>
          </cell>
          <cell r="AF8" t="str">
            <v/>
          </cell>
          <cell r="AG8" t="str">
            <v/>
          </cell>
          <cell r="AH8">
            <v>40238</v>
          </cell>
          <cell r="AI8">
            <v>1</v>
          </cell>
          <cell r="AK8" t="str">
            <v>INV-0-0910-5</v>
          </cell>
          <cell r="AL8">
            <v>1</v>
          </cell>
          <cell r="AM8">
            <v>0</v>
          </cell>
          <cell r="AN8" t="str">
            <v>INVOICE</v>
          </cell>
          <cell r="AO8">
            <v>40267</v>
          </cell>
          <cell r="AP8">
            <v>4024</v>
          </cell>
          <cell r="AQ8">
            <v>10</v>
          </cell>
          <cell r="AR8" t="str">
            <v/>
          </cell>
          <cell r="AS8" t="str">
            <v/>
          </cell>
          <cell r="AT8" t="str">
            <v/>
          </cell>
          <cell r="AU8" t="str">
            <v/>
          </cell>
          <cell r="AV8" t="str">
            <v/>
          </cell>
          <cell r="AW8" t="str">
            <v/>
          </cell>
          <cell r="AX8" t="str">
            <v/>
          </cell>
          <cell r="AY8" t="str">
            <v/>
          </cell>
          <cell r="AZ8" t="str">
            <v/>
          </cell>
          <cell r="BB8" t="str">
            <v/>
          </cell>
          <cell r="BC8" t="str">
            <v/>
          </cell>
          <cell r="BD8" t="str">
            <v>Euro</v>
          </cell>
          <cell r="BE8">
            <v>60</v>
          </cell>
          <cell r="BF8">
            <v>13728.333333333334</v>
          </cell>
          <cell r="BH8">
            <v>823700</v>
          </cell>
          <cell r="BI8">
            <v>823700</v>
          </cell>
          <cell r="BJ8" t="e">
            <v>#VALUE!</v>
          </cell>
          <cell r="BK8">
            <v>40297</v>
          </cell>
          <cell r="BL8" t="str">
            <v>(EURO THIRTEEN THOUSAND SEVEN HUNDRED TWENTY EIGHT ONLY)</v>
          </cell>
          <cell r="BO8" t="str">
            <v>Hours</v>
          </cell>
          <cell r="BP8" t="str">
            <v>Period</v>
          </cell>
          <cell r="BQ8" t="str">
            <v>Nature of Services</v>
          </cell>
          <cell r="BR8" t="str">
            <v>Hours</v>
          </cell>
          <cell r="BS8" t="str">
            <v>Rate</v>
          </cell>
          <cell r="BT8">
            <v>40238</v>
          </cell>
          <cell r="BU8" t="str">
            <v>PM - Services Esben Thorup</v>
          </cell>
          <cell r="BV8">
            <v>94</v>
          </cell>
          <cell r="BW8">
            <v>3800</v>
          </cell>
          <cell r="BX8">
            <v>40238</v>
          </cell>
          <cell r="BY8" t="str">
            <v>Services RBG - (ENG -1)</v>
          </cell>
          <cell r="BZ8">
            <v>64</v>
          </cell>
          <cell r="CA8">
            <v>900</v>
          </cell>
          <cell r="CB8">
            <v>40238</v>
          </cell>
          <cell r="CC8" t="str">
            <v>Services MPR - (CAD -3)</v>
          </cell>
          <cell r="CD8">
            <v>7</v>
          </cell>
          <cell r="CE8">
            <v>1050</v>
          </cell>
          <cell r="CF8">
            <v>40238</v>
          </cell>
          <cell r="CG8" t="str">
            <v>Services KPH - (SEN -2)</v>
          </cell>
          <cell r="CH8">
            <v>85</v>
          </cell>
          <cell r="CI8">
            <v>1750</v>
          </cell>
          <cell r="CJ8">
            <v>40238</v>
          </cell>
          <cell r="CK8" t="str">
            <v>Services AJI - (CAD -2)</v>
          </cell>
          <cell r="CL8">
            <v>100</v>
          </cell>
          <cell r="CM8">
            <v>900</v>
          </cell>
          <cell r="CN8">
            <v>40238</v>
          </cell>
          <cell r="CO8" t="str">
            <v>Services MRG - (CAD -2)</v>
          </cell>
          <cell r="CP8">
            <v>22</v>
          </cell>
          <cell r="CQ8">
            <v>900</v>
          </cell>
          <cell r="CR8">
            <v>40238</v>
          </cell>
          <cell r="CS8" t="str">
            <v>Services ANJ - (CAD -1)</v>
          </cell>
          <cell r="CT8">
            <v>49</v>
          </cell>
          <cell r="CU8">
            <v>600</v>
          </cell>
          <cell r="CV8">
            <v>40238</v>
          </cell>
          <cell r="CW8" t="str">
            <v>Services STR - (CAD -1)</v>
          </cell>
          <cell r="CX8">
            <v>26</v>
          </cell>
          <cell r="CY8">
            <v>600</v>
          </cell>
          <cell r="CZ8">
            <v>40238</v>
          </cell>
          <cell r="DA8" t="str">
            <v>Services KRT - (ENG -2)</v>
          </cell>
          <cell r="DB8">
            <v>98</v>
          </cell>
          <cell r="DC8">
            <v>1000</v>
          </cell>
        </row>
        <row r="9">
          <cell r="B9" t="str">
            <v>INV-0-0910-6</v>
          </cell>
          <cell r="C9" t="str">
            <v/>
          </cell>
          <cell r="D9" t="e">
            <v>#VALUE!</v>
          </cell>
          <cell r="E9" t="str">
            <v>Apr2010</v>
          </cell>
          <cell r="F9">
            <v>40298</v>
          </cell>
          <cell r="G9" t="e">
            <v>#VALUE!</v>
          </cell>
          <cell r="H9">
            <v>1</v>
          </cell>
          <cell r="I9">
            <v>1</v>
          </cell>
          <cell r="J9">
            <v>0</v>
          </cell>
          <cell r="K9" t="str">
            <v>0Mar2010</v>
          </cell>
          <cell r="L9" t="str">
            <v>Infrastucture</v>
          </cell>
          <cell r="M9" t="str">
            <v>InfrastuctureMar2010</v>
          </cell>
          <cell r="N9">
            <v>0</v>
          </cell>
          <cell r="O9">
            <v>0</v>
          </cell>
          <cell r="Q9">
            <v>40261001</v>
          </cell>
          <cell r="R9">
            <v>402601</v>
          </cell>
          <cell r="S9" t="str">
            <v>402610Mar2010</v>
          </cell>
          <cell r="T9" t="str">
            <v>4026Mar2010</v>
          </cell>
          <cell r="U9" t="e">
            <v>#VALUE!</v>
          </cell>
          <cell r="V9" t="e">
            <v>#VALUE!</v>
          </cell>
          <cell r="W9" t="str">
            <v>402610</v>
          </cell>
          <cell r="X9" t="str">
            <v>INV-00910</v>
          </cell>
          <cell r="Y9" t="str">
            <v>Mar</v>
          </cell>
          <cell r="Z9">
            <v>2010</v>
          </cell>
          <cell r="AA9" t="str">
            <v>0910</v>
          </cell>
          <cell r="AB9" t="str">
            <v>0910-7</v>
          </cell>
          <cell r="AC9">
            <v>6</v>
          </cell>
          <cell r="AD9">
            <v>0</v>
          </cell>
          <cell r="AE9">
            <v>0</v>
          </cell>
          <cell r="AF9" t="str">
            <v/>
          </cell>
          <cell r="AG9" t="str">
            <v/>
          </cell>
          <cell r="AH9">
            <v>40238</v>
          </cell>
          <cell r="AI9">
            <v>1</v>
          </cell>
          <cell r="AK9" t="str">
            <v>INV-0-0910-6</v>
          </cell>
          <cell r="AL9">
            <v>1</v>
          </cell>
          <cell r="AM9">
            <v>0</v>
          </cell>
          <cell r="AN9" t="str">
            <v>INVOICE</v>
          </cell>
          <cell r="AO9">
            <v>40267</v>
          </cell>
          <cell r="AP9">
            <v>4026</v>
          </cell>
          <cell r="AQ9">
            <v>10</v>
          </cell>
          <cell r="AR9" t="str">
            <v/>
          </cell>
          <cell r="AS9" t="str">
            <v/>
          </cell>
          <cell r="AT9" t="str">
            <v/>
          </cell>
          <cell r="AU9" t="str">
            <v/>
          </cell>
          <cell r="AV9" t="str">
            <v/>
          </cell>
          <cell r="AW9" t="str">
            <v/>
          </cell>
          <cell r="AX9" t="str">
            <v/>
          </cell>
          <cell r="AY9" t="str">
            <v/>
          </cell>
          <cell r="AZ9" t="str">
            <v/>
          </cell>
          <cell r="BB9" t="str">
            <v/>
          </cell>
          <cell r="BC9" t="str">
            <v/>
          </cell>
          <cell r="BD9" t="str">
            <v>Euro</v>
          </cell>
          <cell r="BE9">
            <v>60</v>
          </cell>
          <cell r="BF9">
            <v>823.33333333333337</v>
          </cell>
          <cell r="BH9">
            <v>49400</v>
          </cell>
          <cell r="BI9">
            <v>49400</v>
          </cell>
          <cell r="BJ9" t="e">
            <v>#VALUE!</v>
          </cell>
          <cell r="BK9">
            <v>40297</v>
          </cell>
          <cell r="BL9" t="str">
            <v>(EURO EIGHT HUNDRED TWENTY THREE ONLY)</v>
          </cell>
          <cell r="BO9" t="str">
            <v>Hours</v>
          </cell>
          <cell r="BP9" t="str">
            <v>Period</v>
          </cell>
          <cell r="BQ9" t="str">
            <v>Nature of Services</v>
          </cell>
          <cell r="BR9" t="str">
            <v>Hours</v>
          </cell>
          <cell r="BS9" t="str">
            <v>Rate</v>
          </cell>
          <cell r="BT9">
            <v>40238</v>
          </cell>
          <cell r="BU9" t="str">
            <v>PM - Services Esben Thorup</v>
          </cell>
          <cell r="BV9">
            <v>13</v>
          </cell>
          <cell r="BW9">
            <v>3800</v>
          </cell>
        </row>
        <row r="10">
          <cell r="B10" t="str">
            <v>INV-0-0910-7</v>
          </cell>
          <cell r="C10" t="str">
            <v/>
          </cell>
          <cell r="D10" t="e">
            <v>#VALUE!</v>
          </cell>
          <cell r="E10" t="str">
            <v>Apr2010</v>
          </cell>
          <cell r="F10">
            <v>40298</v>
          </cell>
          <cell r="G10" t="e">
            <v>#VALUE!</v>
          </cell>
          <cell r="H10">
            <v>1</v>
          </cell>
          <cell r="I10">
            <v>1</v>
          </cell>
          <cell r="J10">
            <v>0</v>
          </cell>
          <cell r="K10" t="str">
            <v>0Mar2010</v>
          </cell>
          <cell r="L10" t="str">
            <v>Infrastucture</v>
          </cell>
          <cell r="M10" t="str">
            <v>InfrastuctureMar2010</v>
          </cell>
          <cell r="N10">
            <v>0</v>
          </cell>
          <cell r="O10">
            <v>0</v>
          </cell>
          <cell r="Q10">
            <v>40281001</v>
          </cell>
          <cell r="R10">
            <v>402801</v>
          </cell>
          <cell r="S10" t="str">
            <v>402810Mar2010</v>
          </cell>
          <cell r="T10" t="str">
            <v>4028Mar2010</v>
          </cell>
          <cell r="U10" t="e">
            <v>#VALUE!</v>
          </cell>
          <cell r="V10" t="e">
            <v>#VALUE!</v>
          </cell>
          <cell r="W10" t="str">
            <v>402810</v>
          </cell>
          <cell r="X10" t="str">
            <v>INV-00910</v>
          </cell>
          <cell r="Y10" t="str">
            <v>Mar</v>
          </cell>
          <cell r="Z10">
            <v>2010</v>
          </cell>
          <cell r="AA10" t="str">
            <v>0910</v>
          </cell>
          <cell r="AB10" t="str">
            <v>0910-8</v>
          </cell>
          <cell r="AC10">
            <v>7</v>
          </cell>
          <cell r="AD10">
            <v>0</v>
          </cell>
          <cell r="AE10">
            <v>0</v>
          </cell>
          <cell r="AF10" t="str">
            <v/>
          </cell>
          <cell r="AG10" t="str">
            <v/>
          </cell>
          <cell r="AH10">
            <v>40238</v>
          </cell>
          <cell r="AI10">
            <v>1</v>
          </cell>
          <cell r="AK10" t="str">
            <v>INV-0-0910-7</v>
          </cell>
          <cell r="AL10">
            <v>1</v>
          </cell>
          <cell r="AM10">
            <v>0</v>
          </cell>
          <cell r="AN10" t="str">
            <v>INVOICE</v>
          </cell>
          <cell r="AO10">
            <v>40267</v>
          </cell>
          <cell r="AP10">
            <v>4028</v>
          </cell>
          <cell r="AQ10">
            <v>10</v>
          </cell>
          <cell r="AR10" t="str">
            <v/>
          </cell>
          <cell r="AS10" t="str">
            <v/>
          </cell>
          <cell r="AT10" t="str">
            <v/>
          </cell>
          <cell r="AU10" t="str">
            <v/>
          </cell>
          <cell r="AV10" t="str">
            <v/>
          </cell>
          <cell r="AW10" t="str">
            <v/>
          </cell>
          <cell r="AX10" t="str">
            <v/>
          </cell>
          <cell r="AY10" t="str">
            <v/>
          </cell>
          <cell r="AZ10" t="str">
            <v/>
          </cell>
          <cell r="BB10" t="str">
            <v/>
          </cell>
          <cell r="BC10" t="str">
            <v/>
          </cell>
          <cell r="BD10" t="str">
            <v>Euro</v>
          </cell>
          <cell r="BE10">
            <v>60</v>
          </cell>
          <cell r="BF10">
            <v>690</v>
          </cell>
          <cell r="BH10">
            <v>41400</v>
          </cell>
          <cell r="BI10">
            <v>41400</v>
          </cell>
          <cell r="BJ10" t="e">
            <v>#VALUE!</v>
          </cell>
          <cell r="BK10">
            <v>40297</v>
          </cell>
          <cell r="BL10" t="str">
            <v>(EURO SIX HUNDRED NINENTY THREE ONLY)</v>
          </cell>
          <cell r="BO10" t="str">
            <v>Hours</v>
          </cell>
          <cell r="BP10" t="str">
            <v>Period</v>
          </cell>
          <cell r="BQ10" t="str">
            <v>Nature of Services</v>
          </cell>
          <cell r="BR10" t="str">
            <v>Hours</v>
          </cell>
          <cell r="BS10" t="str">
            <v>Rate</v>
          </cell>
          <cell r="BT10">
            <v>40238</v>
          </cell>
          <cell r="BU10" t="str">
            <v>PM - Services Esben Thorup</v>
          </cell>
          <cell r="BV10">
            <v>9</v>
          </cell>
          <cell r="BW10">
            <v>3800</v>
          </cell>
          <cell r="BX10">
            <v>40238</v>
          </cell>
          <cell r="BY10" t="str">
            <v>Services MPR - (CAD -3)</v>
          </cell>
          <cell r="BZ10">
            <v>6</v>
          </cell>
          <cell r="CA10">
            <v>1050</v>
          </cell>
          <cell r="CB10">
            <v>40238</v>
          </cell>
          <cell r="CC10" t="str">
            <v>Services AJI - (CAD -2)</v>
          </cell>
          <cell r="CD10">
            <v>1</v>
          </cell>
          <cell r="CE10">
            <v>900</v>
          </cell>
        </row>
        <row r="11">
          <cell r="B11" t="str">
            <v>INV-0-0910-8</v>
          </cell>
          <cell r="C11" t="str">
            <v/>
          </cell>
          <cell r="D11" t="e">
            <v>#VALUE!</v>
          </cell>
          <cell r="E11" t="str">
            <v>Apr2010</v>
          </cell>
          <cell r="F11">
            <v>40298</v>
          </cell>
          <cell r="G11" t="e">
            <v>#VALUE!</v>
          </cell>
          <cell r="H11">
            <v>1</v>
          </cell>
          <cell r="I11">
            <v>1</v>
          </cell>
          <cell r="J11">
            <v>0</v>
          </cell>
          <cell r="K11" t="str">
            <v>0Mar2010</v>
          </cell>
          <cell r="L11" t="str">
            <v>Infrastucture</v>
          </cell>
          <cell r="M11" t="str">
            <v>InfrastuctureMar2010</v>
          </cell>
          <cell r="N11">
            <v>0</v>
          </cell>
          <cell r="O11">
            <v>0</v>
          </cell>
          <cell r="Q11">
            <v>40331001</v>
          </cell>
          <cell r="R11">
            <v>403301</v>
          </cell>
          <cell r="S11" t="str">
            <v>403310Mar2010</v>
          </cell>
          <cell r="T11" t="str">
            <v>4033Mar2010</v>
          </cell>
          <cell r="U11" t="e">
            <v>#VALUE!</v>
          </cell>
          <cell r="V11" t="e">
            <v>#VALUE!</v>
          </cell>
          <cell r="W11" t="str">
            <v>403310</v>
          </cell>
          <cell r="X11" t="str">
            <v>INV-00910</v>
          </cell>
          <cell r="Y11" t="str">
            <v>Mar</v>
          </cell>
          <cell r="Z11">
            <v>2010</v>
          </cell>
          <cell r="AA11" t="str">
            <v>0910</v>
          </cell>
          <cell r="AB11" t="str">
            <v>0910-9</v>
          </cell>
          <cell r="AC11">
            <v>8</v>
          </cell>
          <cell r="AD11">
            <v>0</v>
          </cell>
          <cell r="AE11">
            <v>0</v>
          </cell>
          <cell r="AF11" t="str">
            <v/>
          </cell>
          <cell r="AG11" t="str">
            <v/>
          </cell>
          <cell r="AH11">
            <v>40238</v>
          </cell>
          <cell r="AI11">
            <v>1</v>
          </cell>
          <cell r="AK11" t="str">
            <v>INV-0-0910-8</v>
          </cell>
          <cell r="AL11">
            <v>1</v>
          </cell>
          <cell r="AM11">
            <v>0</v>
          </cell>
          <cell r="AN11" t="str">
            <v>INVOICE</v>
          </cell>
          <cell r="AO11">
            <v>40267</v>
          </cell>
          <cell r="AP11">
            <v>4033</v>
          </cell>
          <cell r="AQ11">
            <v>10</v>
          </cell>
          <cell r="AR11" t="str">
            <v/>
          </cell>
          <cell r="AS11" t="str">
            <v/>
          </cell>
          <cell r="AT11" t="str">
            <v/>
          </cell>
          <cell r="AU11" t="str">
            <v/>
          </cell>
          <cell r="AV11" t="str">
            <v/>
          </cell>
          <cell r="AW11" t="str">
            <v/>
          </cell>
          <cell r="AX11" t="str">
            <v/>
          </cell>
          <cell r="AY11" t="str">
            <v/>
          </cell>
          <cell r="AZ11" t="str">
            <v/>
          </cell>
          <cell r="BB11" t="str">
            <v/>
          </cell>
          <cell r="BC11" t="str">
            <v/>
          </cell>
          <cell r="BD11" t="str">
            <v>Euro</v>
          </cell>
          <cell r="BE11">
            <v>60</v>
          </cell>
          <cell r="BF11">
            <v>18625.833333333332</v>
          </cell>
          <cell r="BH11">
            <v>1117550</v>
          </cell>
          <cell r="BI11">
            <v>1117550</v>
          </cell>
          <cell r="BJ11" t="e">
            <v>#VALUE!</v>
          </cell>
          <cell r="BK11">
            <v>40297</v>
          </cell>
          <cell r="BL11" t="str">
            <v>(EURO EIGHTEEN THOUSAND SIX HUNDRED TWENTY SIX ONLY)</v>
          </cell>
          <cell r="BO11" t="str">
            <v>Hours</v>
          </cell>
          <cell r="BP11" t="str">
            <v>Period</v>
          </cell>
          <cell r="BQ11" t="str">
            <v>Nature of Services</v>
          </cell>
          <cell r="BR11" t="str">
            <v>Hours</v>
          </cell>
          <cell r="BS11" t="str">
            <v>Rate</v>
          </cell>
          <cell r="BT11">
            <v>40238</v>
          </cell>
          <cell r="BU11" t="str">
            <v>PM - Services Soren Skov Bjerehuus</v>
          </cell>
          <cell r="BV11">
            <v>20</v>
          </cell>
          <cell r="BW11">
            <v>7500</v>
          </cell>
          <cell r="BX11">
            <v>40238</v>
          </cell>
          <cell r="BY11" t="str">
            <v>Services SDK - (ENG -2)</v>
          </cell>
          <cell r="BZ11">
            <v>128</v>
          </cell>
          <cell r="CA11">
            <v>1050</v>
          </cell>
          <cell r="CB11">
            <v>40238</v>
          </cell>
          <cell r="CC11" t="str">
            <v>Services SPL - (ENG -2)</v>
          </cell>
          <cell r="CD11">
            <v>145</v>
          </cell>
          <cell r="CE11">
            <v>1050</v>
          </cell>
          <cell r="CF11">
            <v>40247</v>
          </cell>
          <cell r="CG11" t="str">
            <v>Services MPR - (CAD -3)</v>
          </cell>
          <cell r="CH11">
            <v>128</v>
          </cell>
          <cell r="CI11">
            <v>1050</v>
          </cell>
          <cell r="CJ11">
            <v>40247</v>
          </cell>
          <cell r="CK11" t="str">
            <v>Services TPM - (SEN -2)</v>
          </cell>
          <cell r="CL11">
            <v>136</v>
          </cell>
          <cell r="CM11">
            <v>1750</v>
          </cell>
          <cell r="CN11">
            <v>40247</v>
          </cell>
          <cell r="CO11" t="str">
            <v>Services MRG - (CAD -2)</v>
          </cell>
          <cell r="CP11">
            <v>89</v>
          </cell>
          <cell r="CQ11">
            <v>950</v>
          </cell>
          <cell r="CR11">
            <v>40247</v>
          </cell>
          <cell r="CS11" t="str">
            <v>Services ANJ - (CAD -1)</v>
          </cell>
          <cell r="CT11">
            <v>32</v>
          </cell>
          <cell r="CU11">
            <v>600</v>
          </cell>
          <cell r="CV11">
            <v>40247</v>
          </cell>
          <cell r="CW11" t="str">
            <v>Services JRJ - (ENG -2)</v>
          </cell>
          <cell r="CX11">
            <v>70</v>
          </cell>
          <cell r="CY11">
            <v>1050</v>
          </cell>
          <cell r="CZ11">
            <v>40247</v>
          </cell>
          <cell r="DA11" t="str">
            <v>Services PML - (SEN -2)</v>
          </cell>
          <cell r="DB11">
            <v>75</v>
          </cell>
          <cell r="DC11">
            <v>1750</v>
          </cell>
        </row>
        <row r="12">
          <cell r="B12" t="str">
            <v>INV-0-0910-9</v>
          </cell>
          <cell r="C12" t="str">
            <v/>
          </cell>
          <cell r="D12" t="e">
            <v>#VALUE!</v>
          </cell>
          <cell r="E12" t="str">
            <v>Apr2010</v>
          </cell>
          <cell r="F12">
            <v>40298</v>
          </cell>
          <cell r="G12" t="e">
            <v>#VALUE!</v>
          </cell>
          <cell r="H12">
            <v>1</v>
          </cell>
          <cell r="I12">
            <v>1</v>
          </cell>
          <cell r="J12">
            <v>0</v>
          </cell>
          <cell r="K12" t="str">
            <v>0Mar2010</v>
          </cell>
          <cell r="L12" t="str">
            <v>Buildings</v>
          </cell>
          <cell r="M12" t="str">
            <v>BuildingsMar2010</v>
          </cell>
          <cell r="N12">
            <v>0</v>
          </cell>
          <cell r="O12">
            <v>0</v>
          </cell>
          <cell r="Q12">
            <v>20851001</v>
          </cell>
          <cell r="R12">
            <v>208501</v>
          </cell>
          <cell r="S12" t="str">
            <v>208510Mar2010</v>
          </cell>
          <cell r="T12" t="str">
            <v>2085Mar2010</v>
          </cell>
          <cell r="U12" t="e">
            <v>#VALUE!</v>
          </cell>
          <cell r="V12" t="e">
            <v>#VALUE!</v>
          </cell>
          <cell r="W12" t="str">
            <v>208510</v>
          </cell>
          <cell r="X12" t="str">
            <v>INV-00910</v>
          </cell>
          <cell r="Y12" t="str">
            <v>Mar</v>
          </cell>
          <cell r="Z12">
            <v>2010</v>
          </cell>
          <cell r="AA12" t="str">
            <v>0910</v>
          </cell>
          <cell r="AB12" t="str">
            <v>0910-10</v>
          </cell>
          <cell r="AC12">
            <v>9</v>
          </cell>
          <cell r="AD12">
            <v>0</v>
          </cell>
          <cell r="AE12">
            <v>0</v>
          </cell>
          <cell r="AF12" t="str">
            <v/>
          </cell>
          <cell r="AG12" t="str">
            <v/>
          </cell>
          <cell r="AH12">
            <v>40238</v>
          </cell>
          <cell r="AI12">
            <v>1</v>
          </cell>
          <cell r="AK12" t="str">
            <v>INV-0-0910-9</v>
          </cell>
          <cell r="AL12">
            <v>1</v>
          </cell>
          <cell r="AM12">
            <v>0</v>
          </cell>
          <cell r="AN12" t="str">
            <v>INVOICE</v>
          </cell>
          <cell r="AO12">
            <v>40267</v>
          </cell>
          <cell r="AP12">
            <v>2085</v>
          </cell>
          <cell r="AQ12">
            <v>10</v>
          </cell>
          <cell r="AR12" t="str">
            <v/>
          </cell>
          <cell r="AS12" t="str">
            <v/>
          </cell>
          <cell r="AT12" t="str">
            <v/>
          </cell>
          <cell r="AU12" t="str">
            <v/>
          </cell>
          <cell r="AV12" t="str">
            <v/>
          </cell>
          <cell r="AW12" t="str">
            <v/>
          </cell>
          <cell r="AX12" t="str">
            <v/>
          </cell>
          <cell r="AY12" t="str">
            <v/>
          </cell>
          <cell r="AZ12" t="str">
            <v/>
          </cell>
          <cell r="BB12" t="str">
            <v>DKK</v>
          </cell>
          <cell r="BC12" t="str">
            <v/>
          </cell>
          <cell r="BF12" t="str">
            <v/>
          </cell>
          <cell r="BH12">
            <v>47000</v>
          </cell>
          <cell r="BI12">
            <v>47000</v>
          </cell>
          <cell r="BJ12" t="e">
            <v>#VALUE!</v>
          </cell>
          <cell r="BK12">
            <v>40297</v>
          </cell>
          <cell r="BL12" t="str">
            <v>(DKK FORTY SEVEN THOUSAND ONLY)</v>
          </cell>
          <cell r="BP12" t="str">
            <v/>
          </cell>
          <cell r="BQ12" t="str">
            <v/>
          </cell>
          <cell r="BR12" t="str">
            <v/>
          </cell>
          <cell r="BS12" t="str">
            <v/>
          </cell>
          <cell r="BT12">
            <v>40238</v>
          </cell>
          <cell r="BU12" t="str">
            <v>Revised (design &amp; drawing of Power house)</v>
          </cell>
          <cell r="BY12" t="str">
            <v xml:space="preserve">for BWSC Malta Power </v>
          </cell>
          <cell r="BZ12">
            <v>1</v>
          </cell>
          <cell r="CA12">
            <v>47000</v>
          </cell>
        </row>
        <row r="13">
          <cell r="B13" t="str">
            <v>INV-0-0910-10</v>
          </cell>
          <cell r="C13" t="str">
            <v/>
          </cell>
          <cell r="D13" t="e">
            <v>#VALUE!</v>
          </cell>
          <cell r="E13" t="str">
            <v>Apr2010</v>
          </cell>
          <cell r="F13">
            <v>40298</v>
          </cell>
          <cell r="G13" t="e">
            <v>#VALUE!</v>
          </cell>
          <cell r="H13">
            <v>1</v>
          </cell>
          <cell r="I13">
            <v>1</v>
          </cell>
          <cell r="J13">
            <v>0</v>
          </cell>
          <cell r="K13" t="str">
            <v>0Mar2010</v>
          </cell>
          <cell r="L13" t="str">
            <v>Buildings</v>
          </cell>
          <cell r="M13" t="str">
            <v>BuildingsMar2010</v>
          </cell>
          <cell r="N13">
            <v>0</v>
          </cell>
          <cell r="O13">
            <v>0</v>
          </cell>
          <cell r="Q13">
            <v>20851002</v>
          </cell>
          <cell r="R13">
            <v>208502</v>
          </cell>
          <cell r="S13" t="str">
            <v>208510Mar2010</v>
          </cell>
          <cell r="T13" t="str">
            <v>2085Mar2010</v>
          </cell>
          <cell r="U13" t="e">
            <v>#VALUE!</v>
          </cell>
          <cell r="V13" t="e">
            <v>#VALUE!</v>
          </cell>
          <cell r="W13" t="str">
            <v>208510</v>
          </cell>
          <cell r="X13" t="str">
            <v>INV-00910</v>
          </cell>
          <cell r="Y13" t="str">
            <v>Mar</v>
          </cell>
          <cell r="Z13">
            <v>2010</v>
          </cell>
          <cell r="AA13" t="str">
            <v>0910</v>
          </cell>
          <cell r="AB13" t="str">
            <v>0910-11</v>
          </cell>
          <cell r="AC13">
            <v>10</v>
          </cell>
          <cell r="AD13" t="e">
            <v>#VALUE!</v>
          </cell>
          <cell r="AE13" t="e">
            <v>#VALUE!</v>
          </cell>
          <cell r="AF13" t="str">
            <v>INV-0-0910-9</v>
          </cell>
          <cell r="AG13">
            <v>2085</v>
          </cell>
          <cell r="AH13">
            <v>40238</v>
          </cell>
          <cell r="AI13">
            <v>1</v>
          </cell>
          <cell r="AK13" t="str">
            <v>INV-0-0910-10</v>
          </cell>
          <cell r="AL13">
            <v>2</v>
          </cell>
          <cell r="AM13">
            <v>0</v>
          </cell>
          <cell r="AN13" t="str">
            <v>INVOICE</v>
          </cell>
          <cell r="AO13">
            <v>40267</v>
          </cell>
          <cell r="AP13">
            <v>2085</v>
          </cell>
          <cell r="AQ13">
            <v>10</v>
          </cell>
          <cell r="AR13" t="str">
            <v/>
          </cell>
          <cell r="AS13" t="str">
            <v/>
          </cell>
          <cell r="AT13" t="str">
            <v/>
          </cell>
          <cell r="AU13" t="str">
            <v/>
          </cell>
          <cell r="AV13" t="str">
            <v/>
          </cell>
          <cell r="AW13" t="str">
            <v/>
          </cell>
          <cell r="AX13" t="str">
            <v/>
          </cell>
          <cell r="AY13" t="str">
            <v/>
          </cell>
          <cell r="AZ13" t="str">
            <v/>
          </cell>
          <cell r="BB13" t="str">
            <v>DKK</v>
          </cell>
          <cell r="BC13" t="str">
            <v/>
          </cell>
          <cell r="BF13" t="str">
            <v/>
          </cell>
          <cell r="BH13">
            <v>67400</v>
          </cell>
          <cell r="BI13">
            <v>67400</v>
          </cell>
          <cell r="BJ13" t="e">
            <v>#VALUE!</v>
          </cell>
          <cell r="BK13">
            <v>40297</v>
          </cell>
          <cell r="BL13" t="str">
            <v>(DKK SIXTY SEVEN THOUSAND FOUR HUNDRED ONLY)</v>
          </cell>
          <cell r="BP13" t="str">
            <v/>
          </cell>
          <cell r="BQ13" t="str">
            <v/>
          </cell>
          <cell r="BR13" t="str">
            <v/>
          </cell>
          <cell r="BS13" t="str">
            <v/>
          </cell>
          <cell r="BT13">
            <v>40238</v>
          </cell>
          <cell r="BU13" t="str">
            <v>Revised (design &amp; drawing of annexture building)</v>
          </cell>
          <cell r="BY13" t="str">
            <v xml:space="preserve">for BWSC Malta Power </v>
          </cell>
          <cell r="BZ13">
            <v>1</v>
          </cell>
          <cell r="CA13">
            <v>67400</v>
          </cell>
        </row>
        <row r="14">
          <cell r="B14" t="str">
            <v>INV-0-0910-11</v>
          </cell>
          <cell r="C14" t="str">
            <v/>
          </cell>
          <cell r="D14" t="e">
            <v>#VALUE!</v>
          </cell>
          <cell r="E14" t="str">
            <v>Apr2010</v>
          </cell>
          <cell r="F14">
            <v>40298</v>
          </cell>
          <cell r="G14">
            <v>13000</v>
          </cell>
          <cell r="H14">
            <v>1</v>
          </cell>
          <cell r="I14">
            <v>1</v>
          </cell>
          <cell r="J14">
            <v>0</v>
          </cell>
          <cell r="K14" t="str">
            <v>0Mar2010</v>
          </cell>
          <cell r="L14" t="str">
            <v>Buildings</v>
          </cell>
          <cell r="M14" t="str">
            <v>BuildingsMar2010</v>
          </cell>
          <cell r="N14">
            <v>0</v>
          </cell>
          <cell r="O14">
            <v>0</v>
          </cell>
          <cell r="Q14">
            <v>20921001</v>
          </cell>
          <cell r="R14">
            <v>209201</v>
          </cell>
          <cell r="S14" t="str">
            <v>209210Mar2010</v>
          </cell>
          <cell r="T14" t="str">
            <v>2092Mar2010</v>
          </cell>
          <cell r="U14">
            <v>13000</v>
          </cell>
          <cell r="V14">
            <v>13000</v>
          </cell>
          <cell r="W14" t="str">
            <v>209210</v>
          </cell>
          <cell r="X14" t="str">
            <v>INV-00910</v>
          </cell>
          <cell r="Y14" t="str">
            <v>Mar</v>
          </cell>
          <cell r="Z14">
            <v>2010</v>
          </cell>
          <cell r="AA14" t="str">
            <v>0910</v>
          </cell>
          <cell r="AB14" t="str">
            <v>0910-12</v>
          </cell>
          <cell r="AC14">
            <v>11</v>
          </cell>
          <cell r="AD14">
            <v>0</v>
          </cell>
          <cell r="AE14">
            <v>0</v>
          </cell>
          <cell r="AF14" t="str">
            <v/>
          </cell>
          <cell r="AG14" t="str">
            <v/>
          </cell>
          <cell r="AH14">
            <v>40238</v>
          </cell>
          <cell r="AI14">
            <v>1</v>
          </cell>
          <cell r="AK14" t="str">
            <v>INV-0-0910-11</v>
          </cell>
          <cell r="AL14">
            <v>1</v>
          </cell>
          <cell r="AM14">
            <v>0</v>
          </cell>
          <cell r="AN14" t="str">
            <v>INVOICE</v>
          </cell>
          <cell r="AO14">
            <v>40267</v>
          </cell>
          <cell r="AP14">
            <v>2092</v>
          </cell>
          <cell r="AQ14">
            <v>10</v>
          </cell>
          <cell r="AR14" t="str">
            <v>Afdeling 18</v>
          </cell>
          <cell r="AS14" t="str">
            <v xml:space="preserve">R-DK Project Nr. </v>
          </cell>
          <cell r="AT14" t="str">
            <v>Professional fees for Consultant Engineering Services</v>
          </cell>
          <cell r="AU14" t="str">
            <v/>
          </cell>
          <cell r="AV14" t="str">
            <v>Käthe Kjær Rosenholm Mathiasen</v>
          </cell>
          <cell r="AW14" t="str">
            <v>RAMBOLL DANMARK A/S</v>
          </cell>
          <cell r="AX14" t="str">
            <v>Danmarks gade 2A</v>
          </cell>
          <cell r="AY14" t="str">
            <v>7000 Fredricia</v>
          </cell>
          <cell r="AZ14" t="str">
            <v>DK</v>
          </cell>
          <cell r="BB14" t="str">
            <v>DKK</v>
          </cell>
          <cell r="BC14">
            <v>1</v>
          </cell>
          <cell r="BF14" t="str">
            <v/>
          </cell>
          <cell r="BH14">
            <v>13000</v>
          </cell>
          <cell r="BI14">
            <v>13000</v>
          </cell>
          <cell r="BJ14">
            <v>13000</v>
          </cell>
          <cell r="BK14">
            <v>40297</v>
          </cell>
          <cell r="BL14" t="str">
            <v>(DKK THIRTEEN THOUSAND ONLY)</v>
          </cell>
          <cell r="BP14" t="str">
            <v/>
          </cell>
          <cell r="BQ14" t="str">
            <v/>
          </cell>
          <cell r="BR14" t="str">
            <v/>
          </cell>
          <cell r="BS14" t="str">
            <v/>
          </cell>
          <cell r="BT14">
            <v>40238</v>
          </cell>
          <cell r="BU14" t="str">
            <v>Start Up Cost</v>
          </cell>
          <cell r="BV14">
            <v>1</v>
          </cell>
          <cell r="BW14">
            <v>10000</v>
          </cell>
          <cell r="BX14">
            <v>40238</v>
          </cell>
          <cell r="BY14" t="str">
            <v>Drawing Charges (3 A4 Size)</v>
          </cell>
          <cell r="BZ14">
            <v>3</v>
          </cell>
          <cell r="CA14">
            <v>1000</v>
          </cell>
        </row>
        <row r="15">
          <cell r="B15" t="str">
            <v>INV-0-0910-12</v>
          </cell>
          <cell r="C15" t="str">
            <v/>
          </cell>
          <cell r="D15" t="e">
            <v>#VALUE!</v>
          </cell>
          <cell r="E15" t="str">
            <v>Apr2010</v>
          </cell>
          <cell r="F15">
            <v>40298</v>
          </cell>
          <cell r="G15">
            <v>138450</v>
          </cell>
          <cell r="H15">
            <v>1</v>
          </cell>
          <cell r="I15">
            <v>1</v>
          </cell>
          <cell r="J15">
            <v>0</v>
          </cell>
          <cell r="K15" t="str">
            <v>0Mar2010</v>
          </cell>
          <cell r="L15" t="str">
            <v>Infrastucture</v>
          </cell>
          <cell r="M15" t="str">
            <v>InfrastuctureMar2010</v>
          </cell>
          <cell r="N15">
            <v>0</v>
          </cell>
          <cell r="O15">
            <v>0</v>
          </cell>
          <cell r="Q15">
            <v>40371001</v>
          </cell>
          <cell r="R15">
            <v>403701</v>
          </cell>
          <cell r="S15" t="str">
            <v>403710Mar2010</v>
          </cell>
          <cell r="T15" t="str">
            <v>4037Mar2010</v>
          </cell>
          <cell r="U15">
            <v>138450</v>
          </cell>
          <cell r="V15">
            <v>138450</v>
          </cell>
          <cell r="W15" t="str">
            <v>403710</v>
          </cell>
          <cell r="X15" t="str">
            <v>INV-00910</v>
          </cell>
          <cell r="Y15" t="str">
            <v>Mar</v>
          </cell>
          <cell r="Z15">
            <v>2010</v>
          </cell>
          <cell r="AA15" t="str">
            <v>0910</v>
          </cell>
          <cell r="AB15" t="str">
            <v>0910-13</v>
          </cell>
          <cell r="AC15">
            <v>12</v>
          </cell>
          <cell r="AD15">
            <v>0</v>
          </cell>
          <cell r="AE15">
            <v>0</v>
          </cell>
          <cell r="AF15" t="str">
            <v/>
          </cell>
          <cell r="AG15" t="str">
            <v/>
          </cell>
          <cell r="AH15">
            <v>40238</v>
          </cell>
          <cell r="AI15">
            <v>1</v>
          </cell>
          <cell r="AK15" t="str">
            <v>INV-0-0910-12</v>
          </cell>
          <cell r="AL15">
            <v>1</v>
          </cell>
          <cell r="AM15">
            <v>0</v>
          </cell>
          <cell r="AN15" t="str">
            <v>INVOICE</v>
          </cell>
          <cell r="AO15">
            <v>40267</v>
          </cell>
          <cell r="AP15">
            <v>4037</v>
          </cell>
          <cell r="AQ15">
            <v>10</v>
          </cell>
          <cell r="AR15" t="str">
            <v>Bredsten Vandel, redesign;</v>
          </cell>
          <cell r="AS15" t="str">
            <v xml:space="preserve">R-DK Project Nr. </v>
          </cell>
          <cell r="AT15" t="str">
            <v>Professional fees for Consultant Engineering Services</v>
          </cell>
          <cell r="AU15" t="str">
            <v/>
          </cell>
          <cell r="AV15" t="str">
            <v xml:space="preserve">Claus Modvig Nissen (CMN), </v>
          </cell>
          <cell r="AW15" t="str">
            <v>RAMBOLL DANMARK A/S</v>
          </cell>
          <cell r="AX15" t="str">
            <v>Bridge Department</v>
          </cell>
          <cell r="AY15" t="str">
            <v>Bredevej 2</v>
          </cell>
          <cell r="AZ15" t="str">
            <v>DK-2830 Virum</v>
          </cell>
          <cell r="BB15" t="str">
            <v>INR</v>
          </cell>
          <cell r="BC15">
            <v>1</v>
          </cell>
          <cell r="BD15" t="str">
            <v>Euro</v>
          </cell>
          <cell r="BE15">
            <v>60</v>
          </cell>
          <cell r="BF15">
            <v>2307.5</v>
          </cell>
          <cell r="BH15">
            <v>138450</v>
          </cell>
          <cell r="BI15">
            <v>138450</v>
          </cell>
          <cell r="BJ15">
            <v>138450</v>
          </cell>
          <cell r="BK15">
            <v>40297</v>
          </cell>
          <cell r="BL15" t="str">
            <v>(EURO TWO THOUSAND THREE HUNDRED EIGHT ONLY)</v>
          </cell>
          <cell r="BO15" t="str">
            <v>Hours</v>
          </cell>
          <cell r="BP15" t="str">
            <v>Period</v>
          </cell>
          <cell r="BQ15" t="str">
            <v>Nature of Services</v>
          </cell>
          <cell r="BR15" t="str">
            <v>Hours</v>
          </cell>
          <cell r="BS15" t="str">
            <v>Rate</v>
          </cell>
          <cell r="BT15">
            <v>40238</v>
          </cell>
          <cell r="BU15" t="str">
            <v>PM - Services Esben Thorup</v>
          </cell>
          <cell r="BV15">
            <v>9</v>
          </cell>
          <cell r="BW15">
            <v>3800</v>
          </cell>
          <cell r="BX15">
            <v>40238</v>
          </cell>
          <cell r="BY15" t="str">
            <v>Services KPH - (SEN -2)</v>
          </cell>
          <cell r="BZ15">
            <v>25</v>
          </cell>
          <cell r="CA15">
            <v>1750</v>
          </cell>
          <cell r="CB15">
            <v>40238</v>
          </cell>
          <cell r="CC15" t="str">
            <v>Services AJI - (CAD -2)</v>
          </cell>
          <cell r="CD15">
            <v>25</v>
          </cell>
          <cell r="CE15">
            <v>900</v>
          </cell>
          <cell r="CF15">
            <v>40238</v>
          </cell>
          <cell r="CG15" t="str">
            <v>Services VSK - (ENG -2)</v>
          </cell>
          <cell r="CH15">
            <v>38</v>
          </cell>
          <cell r="CI15">
            <v>1000</v>
          </cell>
        </row>
        <row r="16">
          <cell r="B16" t="str">
            <v>INV-0-0910-13</v>
          </cell>
          <cell r="C16" t="str">
            <v/>
          </cell>
          <cell r="D16" t="e">
            <v>#VALUE!</v>
          </cell>
          <cell r="E16" t="str">
            <v>Apr2010</v>
          </cell>
          <cell r="F16">
            <v>40298</v>
          </cell>
          <cell r="G16">
            <v>34200</v>
          </cell>
          <cell r="H16">
            <v>1</v>
          </cell>
          <cell r="I16">
            <v>1</v>
          </cell>
          <cell r="J16">
            <v>0</v>
          </cell>
          <cell r="K16" t="str">
            <v>0Mar2010</v>
          </cell>
          <cell r="L16" t="str">
            <v>Infrastucture</v>
          </cell>
          <cell r="M16" t="str">
            <v>InfrastuctureMar2010</v>
          </cell>
          <cell r="N16">
            <v>0</v>
          </cell>
          <cell r="O16">
            <v>0</v>
          </cell>
          <cell r="Q16">
            <v>40381001</v>
          </cell>
          <cell r="R16">
            <v>403801</v>
          </cell>
          <cell r="S16" t="str">
            <v>403810Mar2010</v>
          </cell>
          <cell r="T16" t="str">
            <v>4038Mar2010</v>
          </cell>
          <cell r="U16">
            <v>34200</v>
          </cell>
          <cell r="V16">
            <v>34200</v>
          </cell>
          <cell r="W16" t="str">
            <v>403810</v>
          </cell>
          <cell r="X16" t="str">
            <v>INV-00910</v>
          </cell>
          <cell r="Y16" t="str">
            <v>Mar</v>
          </cell>
          <cell r="Z16">
            <v>2010</v>
          </cell>
          <cell r="AA16" t="str">
            <v>0910</v>
          </cell>
          <cell r="AB16" t="str">
            <v>0910-14</v>
          </cell>
          <cell r="AC16">
            <v>13</v>
          </cell>
          <cell r="AD16">
            <v>0</v>
          </cell>
          <cell r="AE16">
            <v>0</v>
          </cell>
          <cell r="AF16" t="str">
            <v/>
          </cell>
          <cell r="AG16" t="str">
            <v/>
          </cell>
          <cell r="AH16">
            <v>40238</v>
          </cell>
          <cell r="AI16">
            <v>1</v>
          </cell>
          <cell r="AK16" t="str">
            <v>INV-0-0910-13</v>
          </cell>
          <cell r="AL16">
            <v>1</v>
          </cell>
          <cell r="AM16">
            <v>0</v>
          </cell>
          <cell r="AN16" t="str">
            <v>INVOICE</v>
          </cell>
          <cell r="AO16">
            <v>40267</v>
          </cell>
          <cell r="AP16">
            <v>4038</v>
          </cell>
          <cell r="AQ16">
            <v>10</v>
          </cell>
          <cell r="AR16" t="str">
            <v>Næstved Omfartsvej. Project start-up</v>
          </cell>
          <cell r="AS16" t="str">
            <v>R-DK. Project Nr. 8427505 B.</v>
          </cell>
          <cell r="AT16" t="str">
            <v>Professional fees for Consultant Engineering Services</v>
          </cell>
          <cell r="AU16" t="str">
            <v/>
          </cell>
          <cell r="AV16" t="str">
            <v>Niels Dinesen (NID)</v>
          </cell>
          <cell r="AW16" t="str">
            <v>RAMBOLL DANMARK A/S</v>
          </cell>
          <cell r="AX16" t="str">
            <v>Bridge Department</v>
          </cell>
          <cell r="AY16" t="str">
            <v>Bredevej 2</v>
          </cell>
          <cell r="AZ16" t="str">
            <v>DK-2830 Virum</v>
          </cell>
          <cell r="BB16" t="str">
            <v>INR</v>
          </cell>
          <cell r="BC16">
            <v>1</v>
          </cell>
          <cell r="BD16" t="str">
            <v>Euro</v>
          </cell>
          <cell r="BE16">
            <v>60</v>
          </cell>
          <cell r="BF16">
            <v>570</v>
          </cell>
          <cell r="BH16">
            <v>34200</v>
          </cell>
          <cell r="BI16">
            <v>34200</v>
          </cell>
          <cell r="BJ16">
            <v>34200</v>
          </cell>
          <cell r="BK16">
            <v>40297</v>
          </cell>
          <cell r="BL16" t="str">
            <v>(EURO FIVE HUNDRED SEVENTY ONLY)</v>
          </cell>
          <cell r="BO16" t="str">
            <v>Hours</v>
          </cell>
          <cell r="BP16" t="str">
            <v>Period</v>
          </cell>
          <cell r="BQ16" t="str">
            <v>Nature of Services</v>
          </cell>
          <cell r="BR16" t="str">
            <v>Hours</v>
          </cell>
          <cell r="BS16" t="str">
            <v>Rate</v>
          </cell>
          <cell r="BT16">
            <v>40238</v>
          </cell>
          <cell r="BU16" t="str">
            <v>PM - Services Esben Thorup</v>
          </cell>
          <cell r="BV16">
            <v>9</v>
          </cell>
          <cell r="BW16">
            <v>3800</v>
          </cell>
        </row>
        <row r="17">
          <cell r="B17" t="str">
            <v>INV-0-0910-14</v>
          </cell>
          <cell r="C17" t="str">
            <v/>
          </cell>
          <cell r="D17" t="e">
            <v>#VALUE!</v>
          </cell>
          <cell r="E17" t="str">
            <v>Apr2010</v>
          </cell>
          <cell r="F17">
            <v>40298</v>
          </cell>
          <cell r="G17" t="e">
            <v>#VALUE!</v>
          </cell>
          <cell r="H17">
            <v>1</v>
          </cell>
          <cell r="I17">
            <v>1</v>
          </cell>
          <cell r="J17">
            <v>0</v>
          </cell>
          <cell r="K17" t="str">
            <v>0Mar2010</v>
          </cell>
          <cell r="L17" t="str">
            <v>Buildings</v>
          </cell>
          <cell r="M17" t="str">
            <v>BuildingsMar2010</v>
          </cell>
          <cell r="N17">
            <v>0</v>
          </cell>
          <cell r="O17">
            <v>0</v>
          </cell>
          <cell r="Q17">
            <v>20891001</v>
          </cell>
          <cell r="R17">
            <v>208901</v>
          </cell>
          <cell r="S17" t="str">
            <v>208910Mar2010</v>
          </cell>
          <cell r="T17" t="str">
            <v>2089Mar2010</v>
          </cell>
          <cell r="U17" t="e">
            <v>#VALUE!</v>
          </cell>
          <cell r="V17" t="e">
            <v>#VALUE!</v>
          </cell>
          <cell r="W17" t="str">
            <v>208910</v>
          </cell>
          <cell r="X17" t="str">
            <v>INV-00910</v>
          </cell>
          <cell r="Y17" t="str">
            <v>Mar</v>
          </cell>
          <cell r="Z17">
            <v>2010</v>
          </cell>
          <cell r="AA17" t="str">
            <v>0910</v>
          </cell>
          <cell r="AB17" t="str">
            <v>0910-15</v>
          </cell>
          <cell r="AC17">
            <v>14</v>
          </cell>
          <cell r="AD17">
            <v>0</v>
          </cell>
          <cell r="AE17">
            <v>0</v>
          </cell>
          <cell r="AF17" t="str">
            <v/>
          </cell>
          <cell r="AG17" t="str">
            <v/>
          </cell>
          <cell r="AH17">
            <v>40238</v>
          </cell>
          <cell r="AI17">
            <v>1</v>
          </cell>
          <cell r="AK17" t="str">
            <v>INV-0-0910-14</v>
          </cell>
          <cell r="AL17">
            <v>1</v>
          </cell>
          <cell r="AM17">
            <v>0</v>
          </cell>
          <cell r="AN17" t="str">
            <v>INVOICE</v>
          </cell>
          <cell r="AO17">
            <v>40267</v>
          </cell>
          <cell r="AP17">
            <v>2089</v>
          </cell>
          <cell r="AQ17">
            <v>10</v>
          </cell>
          <cell r="AR17" t="str">
            <v/>
          </cell>
          <cell r="AS17" t="str">
            <v/>
          </cell>
          <cell r="AT17" t="str">
            <v/>
          </cell>
          <cell r="AU17" t="str">
            <v/>
          </cell>
          <cell r="AV17" t="str">
            <v/>
          </cell>
          <cell r="AW17" t="str">
            <v/>
          </cell>
          <cell r="AX17" t="str">
            <v/>
          </cell>
          <cell r="AY17" t="str">
            <v/>
          </cell>
          <cell r="AZ17" t="str">
            <v/>
          </cell>
          <cell r="BB17" t="str">
            <v/>
          </cell>
          <cell r="BC17" t="str">
            <v/>
          </cell>
          <cell r="BF17" t="str">
            <v/>
          </cell>
          <cell r="BH17">
            <v>4000</v>
          </cell>
          <cell r="BI17">
            <v>4000</v>
          </cell>
          <cell r="BJ17" t="e">
            <v>#VALUE!</v>
          </cell>
          <cell r="BK17">
            <v>40297</v>
          </cell>
          <cell r="BL17" t="str">
            <v>(GREAT BRITAIN POUNDS FOUR THOUSAND ONLY)</v>
          </cell>
          <cell r="BO17" t="str">
            <v>Drgs</v>
          </cell>
          <cell r="BP17" t="str">
            <v>Drgs size</v>
          </cell>
          <cell r="BQ17" t="str">
            <v>Drawing Nos</v>
          </cell>
          <cell r="BR17" t="str">
            <v>Drgs</v>
          </cell>
          <cell r="BS17" t="str">
            <v>Rate</v>
          </cell>
          <cell r="BT17" t="str">
            <v>(A1 Size)</v>
          </cell>
          <cell r="BU17" t="str">
            <v xml:space="preserve">701, 702, 703, 712, 713, 735, 736, 737, 738, 739, </v>
          </cell>
          <cell r="BV17">
            <v>25</v>
          </cell>
          <cell r="BW17">
            <v>160</v>
          </cell>
          <cell r="BY17" t="str">
            <v xml:space="preserve">706, 715, 716, 720, 721, 726, 745,  722, 705, </v>
          </cell>
          <cell r="CC17" t="str">
            <v>723, 724, 725, 727, 732, 746</v>
          </cell>
        </row>
        <row r="18">
          <cell r="B18" t="str">
            <v>INV-0-0910-15</v>
          </cell>
          <cell r="C18" t="str">
            <v/>
          </cell>
          <cell r="D18" t="e">
            <v>#VALUE!</v>
          </cell>
          <cell r="E18" t="str">
            <v>Apr2010</v>
          </cell>
          <cell r="F18">
            <v>40298</v>
          </cell>
          <cell r="G18">
            <v>26250</v>
          </cell>
          <cell r="H18">
            <v>1</v>
          </cell>
          <cell r="I18">
            <v>1</v>
          </cell>
          <cell r="J18">
            <v>0</v>
          </cell>
          <cell r="K18" t="str">
            <v>0Mar2010</v>
          </cell>
          <cell r="L18" t="str">
            <v>Buildings</v>
          </cell>
          <cell r="M18" t="str">
            <v>BuildingsMar2010</v>
          </cell>
          <cell r="N18">
            <v>0</v>
          </cell>
          <cell r="O18">
            <v>0</v>
          </cell>
          <cell r="Q18">
            <v>20901001</v>
          </cell>
          <cell r="R18">
            <v>209001</v>
          </cell>
          <cell r="S18" t="str">
            <v>209010Mar2010</v>
          </cell>
          <cell r="T18" t="str">
            <v>2090Mar2010</v>
          </cell>
          <cell r="U18">
            <v>26250</v>
          </cell>
          <cell r="V18">
            <v>26250</v>
          </cell>
          <cell r="W18" t="str">
            <v>209010</v>
          </cell>
          <cell r="X18" t="str">
            <v>INV-00910</v>
          </cell>
          <cell r="Y18" t="str">
            <v>Mar</v>
          </cell>
          <cell r="Z18">
            <v>2010</v>
          </cell>
          <cell r="AA18" t="str">
            <v>0910</v>
          </cell>
          <cell r="AB18" t="str">
            <v>0910-16</v>
          </cell>
          <cell r="AC18">
            <v>15</v>
          </cell>
          <cell r="AD18">
            <v>0</v>
          </cell>
          <cell r="AE18">
            <v>0</v>
          </cell>
          <cell r="AF18" t="str">
            <v/>
          </cell>
          <cell r="AG18" t="str">
            <v/>
          </cell>
          <cell r="AH18">
            <v>40238</v>
          </cell>
          <cell r="AI18">
            <v>1</v>
          </cell>
          <cell r="AK18" t="str">
            <v>INV-0-0910-15</v>
          </cell>
          <cell r="AL18">
            <v>1</v>
          </cell>
          <cell r="AM18">
            <v>0</v>
          </cell>
          <cell r="AN18" t="str">
            <v>INVOICE</v>
          </cell>
          <cell r="AO18">
            <v>40267</v>
          </cell>
          <cell r="AP18">
            <v>2090</v>
          </cell>
          <cell r="AQ18">
            <v>10</v>
          </cell>
          <cell r="AR18" t="str">
            <v xml:space="preserve">Stowe Visitor Center </v>
          </cell>
          <cell r="AS18">
            <v>5117</v>
          </cell>
          <cell r="AT18" t="str">
            <v>Professional fees for reinforced concrete drawings – as per details below</v>
          </cell>
          <cell r="AU18" t="str">
            <v/>
          </cell>
          <cell r="AV18" t="str">
            <v>Tim Bushell</v>
          </cell>
          <cell r="AW18" t="str">
            <v>RAMBOLL UK LIMITED,</v>
          </cell>
          <cell r="AX18" t="str">
            <v>Twenty Station Road</v>
          </cell>
          <cell r="AY18" t="str">
            <v>Cambridge CB1 2JD</v>
          </cell>
          <cell r="AZ18" t="str">
            <v>United Kingdom</v>
          </cell>
          <cell r="BB18" t="str">
            <v>GBP</v>
          </cell>
          <cell r="BC18">
            <v>75</v>
          </cell>
          <cell r="BF18" t="str">
            <v/>
          </cell>
          <cell r="BH18">
            <v>350</v>
          </cell>
          <cell r="BI18">
            <v>350</v>
          </cell>
          <cell r="BJ18">
            <v>26250</v>
          </cell>
          <cell r="BK18">
            <v>40297</v>
          </cell>
          <cell r="BL18" t="str">
            <v>(GREAT BRITAIN POUNDS THREE HUNDRED FIFTY ONLY)</v>
          </cell>
          <cell r="BO18" t="str">
            <v>Drgs</v>
          </cell>
          <cell r="BP18" t="str">
            <v>Drgs size</v>
          </cell>
          <cell r="BQ18" t="str">
            <v>Drawing Nos</v>
          </cell>
          <cell r="BR18" t="str">
            <v>Drgs</v>
          </cell>
          <cell r="BS18" t="str">
            <v>Rate</v>
          </cell>
          <cell r="BT18" t="str">
            <v>(A1 Size)</v>
          </cell>
          <cell r="BU18" t="str">
            <v>700, 702</v>
          </cell>
          <cell r="BV18">
            <v>2</v>
          </cell>
          <cell r="BW18">
            <v>175</v>
          </cell>
        </row>
        <row r="19">
          <cell r="B19" t="str">
            <v>INV--9900-1</v>
          </cell>
          <cell r="C19" t="str">
            <v/>
          </cell>
          <cell r="D19" t="e">
            <v>#VALUE!</v>
          </cell>
          <cell r="E19" t="str">
            <v>Jan1900</v>
          </cell>
          <cell r="F19">
            <v>31</v>
          </cell>
          <cell r="G19" t="e">
            <v>#VALUE!</v>
          </cell>
          <cell r="H19">
            <v>1</v>
          </cell>
          <cell r="I19">
            <v>1</v>
          </cell>
          <cell r="J19">
            <v>0</v>
          </cell>
          <cell r="K19" t="str">
            <v>0Jan1900</v>
          </cell>
          <cell r="L19" t="str">
            <v>Buildings</v>
          </cell>
          <cell r="M19" t="str">
            <v>BuildingsJan1900</v>
          </cell>
          <cell r="N19">
            <v>0</v>
          </cell>
          <cell r="O19">
            <v>0</v>
          </cell>
          <cell r="Q19" t="e">
            <v>#VALUE!</v>
          </cell>
          <cell r="R19">
            <v>0</v>
          </cell>
          <cell r="S19" t="str">
            <v>Jan1900</v>
          </cell>
          <cell r="T19" t="str">
            <v>Jan1900</v>
          </cell>
          <cell r="U19" t="e">
            <v>#VALUE!</v>
          </cell>
          <cell r="V19" t="e">
            <v>#VALUE!</v>
          </cell>
          <cell r="W19" t="str">
            <v/>
          </cell>
          <cell r="X19" t="str">
            <v>INV-9900</v>
          </cell>
          <cell r="Y19" t="str">
            <v>Jan</v>
          </cell>
          <cell r="Z19">
            <v>1900</v>
          </cell>
          <cell r="AA19" t="str">
            <v>9900</v>
          </cell>
          <cell r="AB19" t="str">
            <v>9900-1</v>
          </cell>
          <cell r="AC19">
            <v>1</v>
          </cell>
          <cell r="AD19">
            <v>0</v>
          </cell>
          <cell r="AE19">
            <v>0</v>
          </cell>
          <cell r="AF19" t="str">
            <v/>
          </cell>
          <cell r="AG19" t="str">
            <v/>
          </cell>
          <cell r="AH19">
            <v>1</v>
          </cell>
          <cell r="AI19">
            <v>1</v>
          </cell>
          <cell r="AK19" t="str">
            <v>INV--9900-1</v>
          </cell>
          <cell r="AL19">
            <v>0</v>
          </cell>
          <cell r="AN19" t="str">
            <v>INVOICE</v>
          </cell>
          <cell r="AR19" t="str">
            <v/>
          </cell>
          <cell r="AS19" t="str">
            <v/>
          </cell>
          <cell r="AT19" t="str">
            <v/>
          </cell>
          <cell r="AU19" t="str">
            <v/>
          </cell>
          <cell r="AV19" t="str">
            <v/>
          </cell>
          <cell r="AW19" t="str">
            <v/>
          </cell>
          <cell r="AX19" t="str">
            <v/>
          </cell>
          <cell r="AY19" t="str">
            <v/>
          </cell>
          <cell r="AZ19" t="str">
            <v/>
          </cell>
          <cell r="BB19" t="str">
            <v/>
          </cell>
          <cell r="BC19" t="str">
            <v/>
          </cell>
          <cell r="BF19" t="str">
            <v/>
          </cell>
          <cell r="BI19">
            <v>0</v>
          </cell>
          <cell r="BJ19">
            <v>0</v>
          </cell>
          <cell r="BK19">
            <v>30</v>
          </cell>
          <cell r="BP19" t="str">
            <v/>
          </cell>
          <cell r="BQ19" t="str">
            <v/>
          </cell>
          <cell r="BR19" t="str">
            <v/>
          </cell>
          <cell r="BS19" t="str">
            <v/>
          </cell>
        </row>
        <row r="20">
          <cell r="B20" t="str">
            <v>INV--9900-2</v>
          </cell>
          <cell r="C20" t="str">
            <v/>
          </cell>
          <cell r="D20" t="e">
            <v>#VALUE!</v>
          </cell>
          <cell r="E20" t="str">
            <v>Jan1900</v>
          </cell>
          <cell r="F20">
            <v>31</v>
          </cell>
          <cell r="G20" t="e">
            <v>#VALUE!</v>
          </cell>
          <cell r="H20">
            <v>1</v>
          </cell>
          <cell r="I20">
            <v>1</v>
          </cell>
          <cell r="J20">
            <v>0</v>
          </cell>
          <cell r="K20" t="str">
            <v>0Jan1900</v>
          </cell>
          <cell r="L20" t="str">
            <v>Buildings</v>
          </cell>
          <cell r="M20" t="str">
            <v>BuildingsJan1900</v>
          </cell>
          <cell r="N20">
            <v>0</v>
          </cell>
          <cell r="O20">
            <v>0</v>
          </cell>
          <cell r="Q20" t="e">
            <v>#VALUE!</v>
          </cell>
          <cell r="R20">
            <v>0</v>
          </cell>
          <cell r="S20" t="str">
            <v>Jan1900</v>
          </cell>
          <cell r="T20" t="str">
            <v>Jan1900</v>
          </cell>
          <cell r="U20" t="e">
            <v>#VALUE!</v>
          </cell>
          <cell r="V20" t="e">
            <v>#VALUE!</v>
          </cell>
          <cell r="W20" t="str">
            <v/>
          </cell>
          <cell r="X20" t="str">
            <v>INV-9900</v>
          </cell>
          <cell r="Y20" t="str">
            <v>Jan</v>
          </cell>
          <cell r="Z20">
            <v>1900</v>
          </cell>
          <cell r="AA20" t="str">
            <v>9900</v>
          </cell>
          <cell r="AB20" t="str">
            <v>9900-2</v>
          </cell>
          <cell r="AC20">
            <v>2</v>
          </cell>
          <cell r="AD20">
            <v>0</v>
          </cell>
          <cell r="AE20">
            <v>0</v>
          </cell>
          <cell r="AF20" t="str">
            <v/>
          </cell>
          <cell r="AG20" t="str">
            <v/>
          </cell>
          <cell r="AH20">
            <v>1</v>
          </cell>
          <cell r="AI20">
            <v>1</v>
          </cell>
          <cell r="AK20" t="str">
            <v>INV--9900-2</v>
          </cell>
          <cell r="AL20">
            <v>0</v>
          </cell>
          <cell r="AN20" t="str">
            <v>INVOICE</v>
          </cell>
          <cell r="AR20" t="str">
            <v/>
          </cell>
          <cell r="AS20" t="str">
            <v/>
          </cell>
          <cell r="AT20" t="str">
            <v/>
          </cell>
          <cell r="AU20" t="str">
            <v/>
          </cell>
          <cell r="AV20" t="str">
            <v/>
          </cell>
          <cell r="AW20" t="str">
            <v/>
          </cell>
          <cell r="AX20" t="str">
            <v/>
          </cell>
          <cell r="AY20" t="str">
            <v/>
          </cell>
          <cell r="AZ20" t="str">
            <v/>
          </cell>
          <cell r="BB20" t="str">
            <v/>
          </cell>
          <cell r="BC20" t="str">
            <v/>
          </cell>
          <cell r="BF20" t="str">
            <v/>
          </cell>
          <cell r="BI20">
            <v>0</v>
          </cell>
          <cell r="BJ20">
            <v>0</v>
          </cell>
          <cell r="BK20">
            <v>30</v>
          </cell>
          <cell r="BP20" t="str">
            <v/>
          </cell>
          <cell r="BQ20" t="str">
            <v/>
          </cell>
          <cell r="BR20" t="str">
            <v/>
          </cell>
          <cell r="BS20" t="str">
            <v/>
          </cell>
        </row>
        <row r="21">
          <cell r="B21" t="str">
            <v>INV--9900-3</v>
          </cell>
          <cell r="C21" t="str">
            <v/>
          </cell>
          <cell r="D21" t="e">
            <v>#VALUE!</v>
          </cell>
          <cell r="E21" t="str">
            <v>Jan1900</v>
          </cell>
          <cell r="F21">
            <v>31</v>
          </cell>
          <cell r="G21" t="e">
            <v>#VALUE!</v>
          </cell>
          <cell r="H21">
            <v>1</v>
          </cell>
          <cell r="I21">
            <v>1</v>
          </cell>
          <cell r="J21">
            <v>0</v>
          </cell>
          <cell r="K21" t="str">
            <v>0Jan1900</v>
          </cell>
          <cell r="L21" t="str">
            <v>Buildings</v>
          </cell>
          <cell r="M21" t="str">
            <v>BuildingsJan1900</v>
          </cell>
          <cell r="N21">
            <v>0</v>
          </cell>
          <cell r="O21">
            <v>0</v>
          </cell>
          <cell r="Q21" t="e">
            <v>#VALUE!</v>
          </cell>
          <cell r="R21">
            <v>0</v>
          </cell>
          <cell r="S21" t="str">
            <v>Jan1900</v>
          </cell>
          <cell r="T21" t="str">
            <v>Jan1900</v>
          </cell>
          <cell r="U21" t="e">
            <v>#VALUE!</v>
          </cell>
          <cell r="V21" t="e">
            <v>#VALUE!</v>
          </cell>
          <cell r="W21" t="str">
            <v/>
          </cell>
          <cell r="X21" t="str">
            <v>INV-9900</v>
          </cell>
          <cell r="Y21" t="str">
            <v>Jan</v>
          </cell>
          <cell r="Z21">
            <v>1900</v>
          </cell>
          <cell r="AA21" t="str">
            <v>9900</v>
          </cell>
          <cell r="AB21" t="str">
            <v>9900-3</v>
          </cell>
          <cell r="AC21">
            <v>3</v>
          </cell>
          <cell r="AD21">
            <v>0</v>
          </cell>
          <cell r="AE21">
            <v>0</v>
          </cell>
          <cell r="AF21" t="str">
            <v/>
          </cell>
          <cell r="AG21" t="str">
            <v/>
          </cell>
          <cell r="AH21">
            <v>1</v>
          </cell>
          <cell r="AI21">
            <v>1</v>
          </cell>
          <cell r="AK21" t="str">
            <v>INV--9900-3</v>
          </cell>
          <cell r="AL21">
            <v>0</v>
          </cell>
          <cell r="AN21" t="str">
            <v>INVOICE</v>
          </cell>
          <cell r="AR21" t="str">
            <v/>
          </cell>
          <cell r="AS21" t="str">
            <v/>
          </cell>
          <cell r="AT21" t="str">
            <v/>
          </cell>
          <cell r="AU21" t="str">
            <v/>
          </cell>
          <cell r="AV21" t="str">
            <v/>
          </cell>
          <cell r="AW21" t="str">
            <v/>
          </cell>
          <cell r="AX21" t="str">
            <v/>
          </cell>
          <cell r="AY21" t="str">
            <v/>
          </cell>
          <cell r="AZ21" t="str">
            <v/>
          </cell>
          <cell r="BB21" t="str">
            <v/>
          </cell>
          <cell r="BC21" t="str">
            <v/>
          </cell>
          <cell r="BF21" t="str">
            <v/>
          </cell>
          <cell r="BI21">
            <v>0</v>
          </cell>
          <cell r="BJ21">
            <v>0</v>
          </cell>
          <cell r="BK21">
            <v>30</v>
          </cell>
          <cell r="BP21" t="str">
            <v/>
          </cell>
          <cell r="BQ21" t="str">
            <v/>
          </cell>
          <cell r="BR21" t="str">
            <v/>
          </cell>
          <cell r="BS21" t="str">
            <v/>
          </cell>
        </row>
        <row r="22">
          <cell r="B22" t="str">
            <v>INV--9900-4</v>
          </cell>
          <cell r="C22" t="str">
            <v/>
          </cell>
          <cell r="D22" t="e">
            <v>#VALUE!</v>
          </cell>
          <cell r="E22" t="str">
            <v>Jan1900</v>
          </cell>
          <cell r="F22">
            <v>31</v>
          </cell>
          <cell r="G22" t="e">
            <v>#VALUE!</v>
          </cell>
          <cell r="H22">
            <v>1</v>
          </cell>
          <cell r="I22">
            <v>1</v>
          </cell>
          <cell r="J22">
            <v>0</v>
          </cell>
          <cell r="K22" t="str">
            <v>0Jan1900</v>
          </cell>
          <cell r="L22" t="str">
            <v>Buildings</v>
          </cell>
          <cell r="M22" t="str">
            <v>BuildingsJan1900</v>
          </cell>
          <cell r="N22">
            <v>0</v>
          </cell>
          <cell r="O22">
            <v>0</v>
          </cell>
          <cell r="Q22" t="e">
            <v>#VALUE!</v>
          </cell>
          <cell r="R22">
            <v>0</v>
          </cell>
          <cell r="S22" t="str">
            <v>Jan1900</v>
          </cell>
          <cell r="T22" t="str">
            <v>Jan1900</v>
          </cell>
          <cell r="U22" t="e">
            <v>#VALUE!</v>
          </cell>
          <cell r="V22" t="e">
            <v>#VALUE!</v>
          </cell>
          <cell r="W22" t="str">
            <v/>
          </cell>
          <cell r="X22" t="str">
            <v>INV-9900</v>
          </cell>
          <cell r="Y22" t="str">
            <v>Jan</v>
          </cell>
          <cell r="Z22">
            <v>1900</v>
          </cell>
          <cell r="AA22" t="str">
            <v>9900</v>
          </cell>
          <cell r="AB22" t="str">
            <v>9900-4</v>
          </cell>
          <cell r="AC22">
            <v>4</v>
          </cell>
          <cell r="AD22">
            <v>0</v>
          </cell>
          <cell r="AE22">
            <v>0</v>
          </cell>
          <cell r="AF22" t="str">
            <v/>
          </cell>
          <cell r="AG22" t="str">
            <v/>
          </cell>
          <cell r="AH22">
            <v>1</v>
          </cell>
          <cell r="AI22">
            <v>1</v>
          </cell>
          <cell r="AK22" t="str">
            <v>INV--9900-4</v>
          </cell>
          <cell r="AL22">
            <v>0</v>
          </cell>
          <cell r="AN22" t="str">
            <v>INVOICE</v>
          </cell>
          <cell r="AR22" t="str">
            <v/>
          </cell>
          <cell r="AS22" t="str">
            <v/>
          </cell>
          <cell r="AT22" t="str">
            <v/>
          </cell>
          <cell r="AU22" t="str">
            <v/>
          </cell>
          <cell r="AV22" t="str">
            <v/>
          </cell>
          <cell r="AW22" t="str">
            <v/>
          </cell>
          <cell r="AX22" t="str">
            <v/>
          </cell>
          <cell r="AY22" t="str">
            <v/>
          </cell>
          <cell r="AZ22" t="str">
            <v/>
          </cell>
          <cell r="BB22" t="str">
            <v/>
          </cell>
          <cell r="BC22" t="str">
            <v/>
          </cell>
          <cell r="BF22" t="str">
            <v/>
          </cell>
          <cell r="BI22">
            <v>0</v>
          </cell>
          <cell r="BJ22">
            <v>0</v>
          </cell>
          <cell r="BK22">
            <v>30</v>
          </cell>
          <cell r="BP22" t="str">
            <v/>
          </cell>
          <cell r="BQ22" t="str">
            <v/>
          </cell>
          <cell r="BR22" t="str">
            <v/>
          </cell>
          <cell r="BS22" t="str">
            <v/>
          </cell>
        </row>
        <row r="23">
          <cell r="B23" t="str">
            <v>INV--9900-5</v>
          </cell>
          <cell r="C23" t="str">
            <v/>
          </cell>
          <cell r="D23" t="e">
            <v>#VALUE!</v>
          </cell>
          <cell r="E23" t="str">
            <v>Jan1900</v>
          </cell>
          <cell r="F23">
            <v>31</v>
          </cell>
          <cell r="G23" t="e">
            <v>#VALUE!</v>
          </cell>
          <cell r="H23">
            <v>1</v>
          </cell>
          <cell r="I23">
            <v>1</v>
          </cell>
          <cell r="J23">
            <v>0</v>
          </cell>
          <cell r="K23" t="str">
            <v>0Jan1900</v>
          </cell>
          <cell r="L23" t="str">
            <v>Buildings</v>
          </cell>
          <cell r="M23" t="str">
            <v>BuildingsJan1900</v>
          </cell>
          <cell r="N23">
            <v>0</v>
          </cell>
          <cell r="O23">
            <v>0</v>
          </cell>
          <cell r="Q23" t="e">
            <v>#VALUE!</v>
          </cell>
          <cell r="R23">
            <v>0</v>
          </cell>
          <cell r="S23" t="str">
            <v>Jan1900</v>
          </cell>
          <cell r="T23" t="str">
            <v>Jan1900</v>
          </cell>
          <cell r="U23" t="e">
            <v>#VALUE!</v>
          </cell>
          <cell r="V23" t="e">
            <v>#VALUE!</v>
          </cell>
          <cell r="W23" t="str">
            <v/>
          </cell>
          <cell r="X23" t="str">
            <v>INV-9900</v>
          </cell>
          <cell r="Y23" t="str">
            <v>Jan</v>
          </cell>
          <cell r="Z23">
            <v>1900</v>
          </cell>
          <cell r="AA23" t="str">
            <v>9900</v>
          </cell>
          <cell r="AB23" t="str">
            <v>9900-5</v>
          </cell>
          <cell r="AC23">
            <v>5</v>
          </cell>
          <cell r="AD23">
            <v>0</v>
          </cell>
          <cell r="AE23">
            <v>0</v>
          </cell>
          <cell r="AF23" t="str">
            <v/>
          </cell>
          <cell r="AG23" t="str">
            <v/>
          </cell>
          <cell r="AH23">
            <v>1</v>
          </cell>
          <cell r="AI23">
            <v>1</v>
          </cell>
          <cell r="AK23" t="str">
            <v>INV--9900-5</v>
          </cell>
          <cell r="AL23">
            <v>0</v>
          </cell>
          <cell r="AN23" t="str">
            <v>INVOICE</v>
          </cell>
          <cell r="AR23" t="str">
            <v/>
          </cell>
          <cell r="AS23" t="str">
            <v/>
          </cell>
          <cell r="AT23" t="str">
            <v/>
          </cell>
          <cell r="AU23" t="str">
            <v/>
          </cell>
          <cell r="AV23" t="str">
            <v/>
          </cell>
          <cell r="AW23" t="str">
            <v/>
          </cell>
          <cell r="AX23" t="str">
            <v/>
          </cell>
          <cell r="AY23" t="str">
            <v/>
          </cell>
          <cell r="AZ23" t="str">
            <v/>
          </cell>
          <cell r="BB23" t="str">
            <v/>
          </cell>
          <cell r="BC23" t="str">
            <v/>
          </cell>
          <cell r="BF23" t="str">
            <v/>
          </cell>
          <cell r="BI23">
            <v>0</v>
          </cell>
          <cell r="BJ23">
            <v>0</v>
          </cell>
          <cell r="BK23">
            <v>30</v>
          </cell>
          <cell r="BP23" t="str">
            <v/>
          </cell>
          <cell r="BQ23" t="str">
            <v/>
          </cell>
          <cell r="BR23" t="str">
            <v/>
          </cell>
          <cell r="BS23" t="str">
            <v/>
          </cell>
        </row>
        <row r="24">
          <cell r="B24" t="str">
            <v>INV--9900-6</v>
          </cell>
          <cell r="C24" t="str">
            <v/>
          </cell>
          <cell r="D24" t="e">
            <v>#VALUE!</v>
          </cell>
          <cell r="E24" t="str">
            <v>Jan1900</v>
          </cell>
          <cell r="F24">
            <v>31</v>
          </cell>
          <cell r="G24" t="e">
            <v>#VALUE!</v>
          </cell>
          <cell r="H24">
            <v>1</v>
          </cell>
          <cell r="I24">
            <v>1</v>
          </cell>
          <cell r="J24">
            <v>0</v>
          </cell>
          <cell r="K24" t="str">
            <v>0Jan1900</v>
          </cell>
          <cell r="L24" t="str">
            <v>Buildings</v>
          </cell>
          <cell r="M24" t="str">
            <v>BuildingsJan1900</v>
          </cell>
          <cell r="N24">
            <v>0</v>
          </cell>
          <cell r="O24">
            <v>0</v>
          </cell>
          <cell r="Q24" t="e">
            <v>#VALUE!</v>
          </cell>
          <cell r="R24">
            <v>0</v>
          </cell>
          <cell r="S24" t="str">
            <v>Jan1900</v>
          </cell>
          <cell r="T24" t="str">
            <v>Jan1900</v>
          </cell>
          <cell r="U24" t="e">
            <v>#VALUE!</v>
          </cell>
          <cell r="V24" t="e">
            <v>#VALUE!</v>
          </cell>
          <cell r="W24" t="str">
            <v/>
          </cell>
          <cell r="X24" t="str">
            <v>INV-9900</v>
          </cell>
          <cell r="Y24" t="str">
            <v>Jan</v>
          </cell>
          <cell r="Z24">
            <v>1900</v>
          </cell>
          <cell r="AA24" t="str">
            <v>9900</v>
          </cell>
          <cell r="AB24" t="str">
            <v>9900-6</v>
          </cell>
          <cell r="AC24">
            <v>6</v>
          </cell>
          <cell r="AD24">
            <v>0</v>
          </cell>
          <cell r="AE24">
            <v>0</v>
          </cell>
          <cell r="AF24" t="str">
            <v/>
          </cell>
          <cell r="AG24" t="str">
            <v/>
          </cell>
          <cell r="AH24">
            <v>1</v>
          </cell>
          <cell r="AI24">
            <v>1</v>
          </cell>
          <cell r="AK24" t="str">
            <v>INV--9900-6</v>
          </cell>
          <cell r="AL24">
            <v>0</v>
          </cell>
          <cell r="AN24" t="str">
            <v>INVOICE</v>
          </cell>
          <cell r="AR24" t="str">
            <v/>
          </cell>
          <cell r="AS24" t="str">
            <v/>
          </cell>
          <cell r="AT24" t="str">
            <v/>
          </cell>
          <cell r="AU24" t="str">
            <v/>
          </cell>
          <cell r="AV24" t="str">
            <v/>
          </cell>
          <cell r="AW24" t="str">
            <v/>
          </cell>
          <cell r="AX24" t="str">
            <v/>
          </cell>
          <cell r="AY24" t="str">
            <v/>
          </cell>
          <cell r="AZ24" t="str">
            <v/>
          </cell>
          <cell r="BB24" t="str">
            <v/>
          </cell>
          <cell r="BC24" t="str">
            <v/>
          </cell>
          <cell r="BF24" t="str">
            <v/>
          </cell>
          <cell r="BI24">
            <v>0</v>
          </cell>
          <cell r="BJ24">
            <v>0</v>
          </cell>
          <cell r="BK24">
            <v>30</v>
          </cell>
          <cell r="BP24" t="str">
            <v/>
          </cell>
          <cell r="BQ24" t="str">
            <v/>
          </cell>
          <cell r="BR24" t="str">
            <v/>
          </cell>
          <cell r="BS24" t="str">
            <v/>
          </cell>
        </row>
        <row r="25">
          <cell r="B25" t="str">
            <v>INV--9900-7</v>
          </cell>
          <cell r="C25" t="str">
            <v/>
          </cell>
          <cell r="D25" t="e">
            <v>#VALUE!</v>
          </cell>
          <cell r="E25" t="str">
            <v>Jan1900</v>
          </cell>
          <cell r="F25">
            <v>31</v>
          </cell>
          <cell r="G25" t="e">
            <v>#VALUE!</v>
          </cell>
          <cell r="H25">
            <v>1</v>
          </cell>
          <cell r="I25">
            <v>1</v>
          </cell>
          <cell r="J25">
            <v>0</v>
          </cell>
          <cell r="K25" t="str">
            <v>0Jan1900</v>
          </cell>
          <cell r="L25" t="str">
            <v>Buildings</v>
          </cell>
          <cell r="M25" t="str">
            <v>BuildingsJan1900</v>
          </cell>
          <cell r="N25">
            <v>0</v>
          </cell>
          <cell r="O25">
            <v>0</v>
          </cell>
          <cell r="Q25" t="e">
            <v>#VALUE!</v>
          </cell>
          <cell r="R25">
            <v>0</v>
          </cell>
          <cell r="S25" t="str">
            <v>Jan1900</v>
          </cell>
          <cell r="T25" t="str">
            <v>Jan1900</v>
          </cell>
          <cell r="U25" t="e">
            <v>#VALUE!</v>
          </cell>
          <cell r="V25" t="e">
            <v>#VALUE!</v>
          </cell>
          <cell r="W25" t="str">
            <v/>
          </cell>
          <cell r="X25" t="str">
            <v>INV-9900</v>
          </cell>
          <cell r="Y25" t="str">
            <v>Jan</v>
          </cell>
          <cell r="Z25">
            <v>1900</v>
          </cell>
          <cell r="AA25" t="str">
            <v>9900</v>
          </cell>
          <cell r="AB25" t="str">
            <v>9900-7</v>
          </cell>
          <cell r="AC25">
            <v>7</v>
          </cell>
          <cell r="AD25">
            <v>0</v>
          </cell>
          <cell r="AE25">
            <v>0</v>
          </cell>
          <cell r="AF25" t="str">
            <v/>
          </cell>
          <cell r="AG25" t="str">
            <v/>
          </cell>
          <cell r="AH25">
            <v>1</v>
          </cell>
          <cell r="AI25">
            <v>1</v>
          </cell>
          <cell r="AK25" t="str">
            <v>INV--9900-7</v>
          </cell>
          <cell r="AL25">
            <v>0</v>
          </cell>
          <cell r="AN25" t="str">
            <v>INVOICE</v>
          </cell>
          <cell r="AR25" t="str">
            <v/>
          </cell>
          <cell r="AS25" t="str">
            <v/>
          </cell>
          <cell r="AT25" t="str">
            <v/>
          </cell>
          <cell r="AU25" t="str">
            <v/>
          </cell>
          <cell r="AV25" t="str">
            <v/>
          </cell>
          <cell r="AW25" t="str">
            <v/>
          </cell>
          <cell r="AX25" t="str">
            <v/>
          </cell>
          <cell r="AY25" t="str">
            <v/>
          </cell>
          <cell r="AZ25" t="str">
            <v/>
          </cell>
          <cell r="BB25" t="str">
            <v/>
          </cell>
          <cell r="BC25" t="str">
            <v/>
          </cell>
          <cell r="BF25" t="str">
            <v/>
          </cell>
          <cell r="BI25">
            <v>0</v>
          </cell>
          <cell r="BJ25">
            <v>0</v>
          </cell>
          <cell r="BK25">
            <v>30</v>
          </cell>
          <cell r="BP25" t="str">
            <v/>
          </cell>
          <cell r="BQ25" t="str">
            <v/>
          </cell>
          <cell r="BR25" t="str">
            <v/>
          </cell>
          <cell r="BS25" t="str">
            <v/>
          </cell>
        </row>
        <row r="26">
          <cell r="B26" t="str">
            <v>INV--9900-8</v>
          </cell>
          <cell r="C26" t="str">
            <v/>
          </cell>
          <cell r="D26" t="e">
            <v>#VALUE!</v>
          </cell>
          <cell r="E26" t="str">
            <v>Jan1900</v>
          </cell>
          <cell r="F26">
            <v>31</v>
          </cell>
          <cell r="G26" t="e">
            <v>#VALUE!</v>
          </cell>
          <cell r="H26">
            <v>1</v>
          </cell>
          <cell r="I26">
            <v>1</v>
          </cell>
          <cell r="J26">
            <v>0</v>
          </cell>
          <cell r="K26" t="str">
            <v>0Jan1900</v>
          </cell>
          <cell r="L26" t="str">
            <v>Buildings</v>
          </cell>
          <cell r="M26" t="str">
            <v>BuildingsJan1900</v>
          </cell>
          <cell r="N26">
            <v>0</v>
          </cell>
          <cell r="O26">
            <v>0</v>
          </cell>
          <cell r="Q26" t="e">
            <v>#VALUE!</v>
          </cell>
          <cell r="R26">
            <v>0</v>
          </cell>
          <cell r="S26" t="str">
            <v>Jan1900</v>
          </cell>
          <cell r="T26" t="str">
            <v>Jan1900</v>
          </cell>
          <cell r="U26" t="e">
            <v>#VALUE!</v>
          </cell>
          <cell r="V26" t="e">
            <v>#VALUE!</v>
          </cell>
          <cell r="W26" t="str">
            <v/>
          </cell>
          <cell r="X26" t="str">
            <v>INV-9900</v>
          </cell>
          <cell r="Y26" t="str">
            <v>Jan</v>
          </cell>
          <cell r="Z26">
            <v>1900</v>
          </cell>
          <cell r="AA26" t="str">
            <v>9900</v>
          </cell>
          <cell r="AB26" t="str">
            <v>9900-8</v>
          </cell>
          <cell r="AC26">
            <v>8</v>
          </cell>
          <cell r="AD26">
            <v>0</v>
          </cell>
          <cell r="AE26">
            <v>0</v>
          </cell>
          <cell r="AF26" t="str">
            <v/>
          </cell>
          <cell r="AG26" t="str">
            <v/>
          </cell>
          <cell r="AH26">
            <v>1</v>
          </cell>
          <cell r="AI26">
            <v>1</v>
          </cell>
          <cell r="AK26" t="str">
            <v>INV--9900-8</v>
          </cell>
          <cell r="AL26">
            <v>0</v>
          </cell>
          <cell r="AN26" t="str">
            <v>INVOICE</v>
          </cell>
          <cell r="AR26" t="str">
            <v/>
          </cell>
          <cell r="AS26" t="str">
            <v/>
          </cell>
          <cell r="AT26" t="str">
            <v/>
          </cell>
          <cell r="AU26" t="str">
            <v/>
          </cell>
          <cell r="AV26" t="str">
            <v/>
          </cell>
          <cell r="AW26" t="str">
            <v/>
          </cell>
          <cell r="AX26" t="str">
            <v/>
          </cell>
          <cell r="AY26" t="str">
            <v/>
          </cell>
          <cell r="AZ26" t="str">
            <v/>
          </cell>
          <cell r="BB26" t="str">
            <v/>
          </cell>
          <cell r="BC26" t="str">
            <v/>
          </cell>
          <cell r="BF26" t="str">
            <v/>
          </cell>
          <cell r="BI26">
            <v>0</v>
          </cell>
          <cell r="BJ26">
            <v>0</v>
          </cell>
          <cell r="BK26">
            <v>30</v>
          </cell>
          <cell r="BP26" t="str">
            <v/>
          </cell>
          <cell r="BQ26" t="str">
            <v/>
          </cell>
          <cell r="BR26" t="str">
            <v/>
          </cell>
          <cell r="BS26" t="str">
            <v/>
          </cell>
        </row>
        <row r="27">
          <cell r="B27" t="str">
            <v>INV--9900-9</v>
          </cell>
          <cell r="C27" t="str">
            <v/>
          </cell>
          <cell r="D27" t="e">
            <v>#VALUE!</v>
          </cell>
          <cell r="E27" t="str">
            <v>Jan1900</v>
          </cell>
          <cell r="F27">
            <v>31</v>
          </cell>
          <cell r="G27" t="e">
            <v>#VALUE!</v>
          </cell>
          <cell r="H27">
            <v>1</v>
          </cell>
          <cell r="I27">
            <v>1</v>
          </cell>
          <cell r="J27">
            <v>0</v>
          </cell>
          <cell r="K27" t="str">
            <v>0Jan1900</v>
          </cell>
          <cell r="L27" t="str">
            <v>Buildings</v>
          </cell>
          <cell r="M27" t="str">
            <v>BuildingsJan1900</v>
          </cell>
          <cell r="N27">
            <v>0</v>
          </cell>
          <cell r="O27">
            <v>0</v>
          </cell>
          <cell r="Q27" t="e">
            <v>#VALUE!</v>
          </cell>
          <cell r="R27">
            <v>0</v>
          </cell>
          <cell r="S27" t="str">
            <v>Jan1900</v>
          </cell>
          <cell r="T27" t="str">
            <v>Jan1900</v>
          </cell>
          <cell r="U27" t="e">
            <v>#VALUE!</v>
          </cell>
          <cell r="V27" t="e">
            <v>#VALUE!</v>
          </cell>
          <cell r="W27" t="str">
            <v/>
          </cell>
          <cell r="X27" t="str">
            <v>INV-9900</v>
          </cell>
          <cell r="Y27" t="str">
            <v>Jan</v>
          </cell>
          <cell r="Z27">
            <v>1900</v>
          </cell>
          <cell r="AA27" t="str">
            <v>9900</v>
          </cell>
          <cell r="AB27" t="str">
            <v>9900-9</v>
          </cell>
          <cell r="AC27">
            <v>9</v>
          </cell>
          <cell r="AD27">
            <v>0</v>
          </cell>
          <cell r="AE27">
            <v>0</v>
          </cell>
          <cell r="AF27" t="str">
            <v/>
          </cell>
          <cell r="AG27" t="str">
            <v/>
          </cell>
          <cell r="AH27">
            <v>1</v>
          </cell>
          <cell r="AI27">
            <v>1</v>
          </cell>
          <cell r="AK27" t="str">
            <v>INV--9900-9</v>
          </cell>
          <cell r="AL27">
            <v>0</v>
          </cell>
          <cell r="AN27" t="str">
            <v>INVOICE</v>
          </cell>
          <cell r="AR27" t="str">
            <v/>
          </cell>
          <cell r="AS27" t="str">
            <v/>
          </cell>
          <cell r="AT27" t="str">
            <v/>
          </cell>
          <cell r="AU27" t="str">
            <v/>
          </cell>
          <cell r="AV27" t="str">
            <v/>
          </cell>
          <cell r="AW27" t="str">
            <v/>
          </cell>
          <cell r="AX27" t="str">
            <v/>
          </cell>
          <cell r="AY27" t="str">
            <v/>
          </cell>
          <cell r="AZ27" t="str">
            <v/>
          </cell>
          <cell r="BB27" t="str">
            <v/>
          </cell>
          <cell r="BC27" t="str">
            <v/>
          </cell>
          <cell r="BF27" t="str">
            <v/>
          </cell>
          <cell r="BI27">
            <v>0</v>
          </cell>
          <cell r="BJ27">
            <v>0</v>
          </cell>
          <cell r="BK27">
            <v>30</v>
          </cell>
          <cell r="BP27" t="str">
            <v/>
          </cell>
          <cell r="BQ27" t="str">
            <v/>
          </cell>
          <cell r="BR27" t="str">
            <v/>
          </cell>
          <cell r="BS27" t="str">
            <v/>
          </cell>
        </row>
        <row r="28">
          <cell r="B28" t="str">
            <v>INV--9900-10</v>
          </cell>
          <cell r="C28" t="str">
            <v/>
          </cell>
          <cell r="D28" t="e">
            <v>#VALUE!</v>
          </cell>
          <cell r="E28" t="str">
            <v>Jan1900</v>
          </cell>
          <cell r="F28">
            <v>31</v>
          </cell>
          <cell r="G28" t="e">
            <v>#VALUE!</v>
          </cell>
          <cell r="H28">
            <v>1</v>
          </cell>
          <cell r="I28">
            <v>1</v>
          </cell>
          <cell r="J28">
            <v>0</v>
          </cell>
          <cell r="K28" t="str">
            <v>0Jan1900</v>
          </cell>
          <cell r="L28" t="str">
            <v>Buildings</v>
          </cell>
          <cell r="M28" t="str">
            <v>BuildingsJan1900</v>
          </cell>
          <cell r="N28">
            <v>0</v>
          </cell>
          <cell r="O28">
            <v>0</v>
          </cell>
          <cell r="Q28" t="e">
            <v>#VALUE!</v>
          </cell>
          <cell r="R28">
            <v>0</v>
          </cell>
          <cell r="S28" t="str">
            <v>Jan1900</v>
          </cell>
          <cell r="T28" t="str">
            <v>Jan1900</v>
          </cell>
          <cell r="U28" t="e">
            <v>#VALUE!</v>
          </cell>
          <cell r="V28" t="e">
            <v>#VALUE!</v>
          </cell>
          <cell r="W28" t="str">
            <v/>
          </cell>
          <cell r="X28" t="str">
            <v>INV-9900</v>
          </cell>
          <cell r="Y28" t="str">
            <v>Jan</v>
          </cell>
          <cell r="Z28">
            <v>1900</v>
          </cell>
          <cell r="AA28" t="str">
            <v>9900</v>
          </cell>
          <cell r="AB28" t="str">
            <v>9900-10</v>
          </cell>
          <cell r="AC28">
            <v>10</v>
          </cell>
          <cell r="AD28">
            <v>0</v>
          </cell>
          <cell r="AE28">
            <v>0</v>
          </cell>
          <cell r="AF28" t="str">
            <v/>
          </cell>
          <cell r="AG28" t="str">
            <v/>
          </cell>
          <cell r="AH28">
            <v>1</v>
          </cell>
          <cell r="AI28">
            <v>1</v>
          </cell>
          <cell r="AK28" t="str">
            <v>INV--9900-10</v>
          </cell>
          <cell r="AL28">
            <v>0</v>
          </cell>
          <cell r="AN28" t="str">
            <v>INVOICE</v>
          </cell>
          <cell r="AR28" t="str">
            <v/>
          </cell>
          <cell r="AS28" t="str">
            <v/>
          </cell>
          <cell r="AT28" t="str">
            <v/>
          </cell>
          <cell r="AU28" t="str">
            <v/>
          </cell>
          <cell r="AV28" t="str">
            <v/>
          </cell>
          <cell r="AW28" t="str">
            <v/>
          </cell>
          <cell r="AX28" t="str">
            <v/>
          </cell>
          <cell r="AY28" t="str">
            <v/>
          </cell>
          <cell r="AZ28" t="str">
            <v/>
          </cell>
          <cell r="BB28" t="str">
            <v/>
          </cell>
          <cell r="BC28" t="str">
            <v/>
          </cell>
          <cell r="BF28" t="str">
            <v/>
          </cell>
          <cell r="BI28">
            <v>0</v>
          </cell>
          <cell r="BJ28">
            <v>0</v>
          </cell>
          <cell r="BK28">
            <v>30</v>
          </cell>
          <cell r="BP28" t="str">
            <v/>
          </cell>
          <cell r="BQ28" t="str">
            <v/>
          </cell>
          <cell r="BR28" t="str">
            <v/>
          </cell>
          <cell r="BS28" t="str">
            <v/>
          </cell>
        </row>
        <row r="29">
          <cell r="B29" t="str">
            <v>INV--9900-11</v>
          </cell>
          <cell r="C29" t="str">
            <v/>
          </cell>
          <cell r="D29" t="e">
            <v>#VALUE!</v>
          </cell>
          <cell r="E29" t="str">
            <v>Jan1900</v>
          </cell>
          <cell r="F29">
            <v>31</v>
          </cell>
          <cell r="G29" t="e">
            <v>#VALUE!</v>
          </cell>
          <cell r="H29">
            <v>1</v>
          </cell>
          <cell r="I29">
            <v>1</v>
          </cell>
          <cell r="J29">
            <v>0</v>
          </cell>
          <cell r="K29" t="str">
            <v>0Jan1900</v>
          </cell>
          <cell r="L29" t="str">
            <v>Buildings</v>
          </cell>
          <cell r="M29" t="str">
            <v>BuildingsJan1900</v>
          </cell>
          <cell r="N29">
            <v>0</v>
          </cell>
          <cell r="O29">
            <v>0</v>
          </cell>
          <cell r="Q29" t="e">
            <v>#VALUE!</v>
          </cell>
          <cell r="R29">
            <v>0</v>
          </cell>
          <cell r="S29" t="str">
            <v>Jan1900</v>
          </cell>
          <cell r="T29" t="str">
            <v>Jan1900</v>
          </cell>
          <cell r="U29" t="e">
            <v>#VALUE!</v>
          </cell>
          <cell r="V29" t="e">
            <v>#VALUE!</v>
          </cell>
          <cell r="W29" t="str">
            <v/>
          </cell>
          <cell r="X29" t="str">
            <v>INV-9900</v>
          </cell>
          <cell r="Y29" t="str">
            <v>Jan</v>
          </cell>
          <cell r="Z29">
            <v>1900</v>
          </cell>
          <cell r="AA29" t="str">
            <v>9900</v>
          </cell>
          <cell r="AB29" t="str">
            <v>9900-11</v>
          </cell>
          <cell r="AC29">
            <v>11</v>
          </cell>
          <cell r="AD29">
            <v>0</v>
          </cell>
          <cell r="AE29">
            <v>0</v>
          </cell>
          <cell r="AF29" t="str">
            <v/>
          </cell>
          <cell r="AG29" t="str">
            <v/>
          </cell>
          <cell r="AH29">
            <v>1</v>
          </cell>
          <cell r="AI29">
            <v>1</v>
          </cell>
          <cell r="AK29" t="str">
            <v>INV--9900-11</v>
          </cell>
          <cell r="AL29">
            <v>0</v>
          </cell>
          <cell r="AN29" t="str">
            <v>INVOICE</v>
          </cell>
          <cell r="AR29" t="str">
            <v/>
          </cell>
          <cell r="AS29" t="str">
            <v/>
          </cell>
          <cell r="AT29" t="str">
            <v/>
          </cell>
          <cell r="AU29" t="str">
            <v/>
          </cell>
          <cell r="AV29" t="str">
            <v/>
          </cell>
          <cell r="AW29" t="str">
            <v/>
          </cell>
          <cell r="AX29" t="str">
            <v/>
          </cell>
          <cell r="AY29" t="str">
            <v/>
          </cell>
          <cell r="AZ29" t="str">
            <v/>
          </cell>
          <cell r="BB29" t="str">
            <v/>
          </cell>
          <cell r="BC29" t="str">
            <v/>
          </cell>
          <cell r="BF29" t="str">
            <v/>
          </cell>
          <cell r="BI29">
            <v>0</v>
          </cell>
          <cell r="BJ29">
            <v>0</v>
          </cell>
          <cell r="BK29">
            <v>30</v>
          </cell>
          <cell r="BP29" t="str">
            <v/>
          </cell>
          <cell r="BQ29" t="str">
            <v/>
          </cell>
          <cell r="BR29" t="str">
            <v/>
          </cell>
          <cell r="BS29" t="str">
            <v/>
          </cell>
        </row>
        <row r="30">
          <cell r="B30" t="str">
            <v>INV--9900-12</v>
          </cell>
          <cell r="C30" t="str">
            <v/>
          </cell>
          <cell r="D30" t="e">
            <v>#VALUE!</v>
          </cell>
          <cell r="E30" t="str">
            <v>Jan1900</v>
          </cell>
          <cell r="F30">
            <v>31</v>
          </cell>
          <cell r="G30" t="e">
            <v>#VALUE!</v>
          </cell>
          <cell r="H30">
            <v>1</v>
          </cell>
          <cell r="I30">
            <v>1</v>
          </cell>
          <cell r="J30">
            <v>0</v>
          </cell>
          <cell r="K30" t="str">
            <v>0Jan1900</v>
          </cell>
          <cell r="L30" t="str">
            <v>Buildings</v>
          </cell>
          <cell r="M30" t="str">
            <v>BuildingsJan1900</v>
          </cell>
          <cell r="N30">
            <v>0</v>
          </cell>
          <cell r="O30">
            <v>0</v>
          </cell>
          <cell r="Q30" t="e">
            <v>#VALUE!</v>
          </cell>
          <cell r="R30">
            <v>0</v>
          </cell>
          <cell r="S30" t="str">
            <v>Jan1900</v>
          </cell>
          <cell r="T30" t="str">
            <v>Jan1900</v>
          </cell>
          <cell r="U30" t="e">
            <v>#VALUE!</v>
          </cell>
          <cell r="V30" t="e">
            <v>#VALUE!</v>
          </cell>
          <cell r="W30" t="str">
            <v/>
          </cell>
          <cell r="X30" t="str">
            <v>INV-9900</v>
          </cell>
          <cell r="Y30" t="str">
            <v>Jan</v>
          </cell>
          <cell r="Z30">
            <v>1900</v>
          </cell>
          <cell r="AA30" t="str">
            <v>9900</v>
          </cell>
          <cell r="AB30" t="str">
            <v>9900-12</v>
          </cell>
          <cell r="AC30">
            <v>12</v>
          </cell>
          <cell r="AD30">
            <v>0</v>
          </cell>
          <cell r="AE30">
            <v>0</v>
          </cell>
          <cell r="AF30" t="str">
            <v/>
          </cell>
          <cell r="AG30" t="str">
            <v/>
          </cell>
          <cell r="AH30">
            <v>1</v>
          </cell>
          <cell r="AI30">
            <v>1</v>
          </cell>
          <cell r="AK30" t="str">
            <v>INV--9900-12</v>
          </cell>
          <cell r="AL30">
            <v>0</v>
          </cell>
          <cell r="AN30" t="str">
            <v>INVOICE</v>
          </cell>
          <cell r="AR30" t="str">
            <v/>
          </cell>
          <cell r="AS30" t="str">
            <v/>
          </cell>
          <cell r="AT30" t="str">
            <v/>
          </cell>
          <cell r="AU30" t="str">
            <v/>
          </cell>
          <cell r="AV30" t="str">
            <v/>
          </cell>
          <cell r="AW30" t="str">
            <v/>
          </cell>
          <cell r="AX30" t="str">
            <v/>
          </cell>
          <cell r="AY30" t="str">
            <v/>
          </cell>
          <cell r="AZ30" t="str">
            <v/>
          </cell>
          <cell r="BB30" t="str">
            <v/>
          </cell>
          <cell r="BC30" t="str">
            <v/>
          </cell>
          <cell r="BF30" t="str">
            <v/>
          </cell>
          <cell r="BI30">
            <v>0</v>
          </cell>
          <cell r="BJ30">
            <v>0</v>
          </cell>
          <cell r="BK30">
            <v>30</v>
          </cell>
          <cell r="BP30" t="str">
            <v/>
          </cell>
          <cell r="BQ30" t="str">
            <v/>
          </cell>
          <cell r="BR30" t="str">
            <v/>
          </cell>
          <cell r="BS30" t="str">
            <v/>
          </cell>
        </row>
        <row r="31">
          <cell r="B31" t="str">
            <v>INV--9900-13</v>
          </cell>
          <cell r="C31" t="str">
            <v/>
          </cell>
          <cell r="D31" t="e">
            <v>#VALUE!</v>
          </cell>
          <cell r="E31" t="str">
            <v>Jan1900</v>
          </cell>
          <cell r="F31">
            <v>31</v>
          </cell>
          <cell r="G31" t="e">
            <v>#VALUE!</v>
          </cell>
          <cell r="H31">
            <v>1</v>
          </cell>
          <cell r="I31">
            <v>1</v>
          </cell>
          <cell r="J31">
            <v>0</v>
          </cell>
          <cell r="K31" t="str">
            <v>0Jan1900</v>
          </cell>
          <cell r="L31" t="str">
            <v>Buildings</v>
          </cell>
          <cell r="M31" t="str">
            <v>BuildingsJan1900</v>
          </cell>
          <cell r="N31">
            <v>0</v>
          </cell>
          <cell r="O31">
            <v>0</v>
          </cell>
          <cell r="Q31" t="e">
            <v>#VALUE!</v>
          </cell>
          <cell r="R31">
            <v>0</v>
          </cell>
          <cell r="S31" t="str">
            <v>Jan1900</v>
          </cell>
          <cell r="T31" t="str">
            <v>Jan1900</v>
          </cell>
          <cell r="U31" t="e">
            <v>#VALUE!</v>
          </cell>
          <cell r="V31" t="e">
            <v>#VALUE!</v>
          </cell>
          <cell r="W31" t="str">
            <v/>
          </cell>
          <cell r="X31" t="str">
            <v>INV-9900</v>
          </cell>
          <cell r="Y31" t="str">
            <v>Jan</v>
          </cell>
          <cell r="Z31">
            <v>1900</v>
          </cell>
          <cell r="AA31" t="str">
            <v>9900</v>
          </cell>
          <cell r="AB31" t="str">
            <v>9900-13</v>
          </cell>
          <cell r="AC31">
            <v>13</v>
          </cell>
          <cell r="AD31">
            <v>0</v>
          </cell>
          <cell r="AE31">
            <v>0</v>
          </cell>
          <cell r="AF31" t="str">
            <v/>
          </cell>
          <cell r="AG31" t="str">
            <v/>
          </cell>
          <cell r="AH31">
            <v>1</v>
          </cell>
          <cell r="AI31">
            <v>1</v>
          </cell>
          <cell r="AK31" t="str">
            <v>INV--9900-13</v>
          </cell>
          <cell r="AL31">
            <v>0</v>
          </cell>
          <cell r="AN31" t="str">
            <v>INVOICE</v>
          </cell>
          <cell r="AR31" t="str">
            <v/>
          </cell>
          <cell r="AS31" t="str">
            <v/>
          </cell>
          <cell r="AT31" t="str">
            <v/>
          </cell>
          <cell r="AU31" t="str">
            <v/>
          </cell>
          <cell r="AV31" t="str">
            <v/>
          </cell>
          <cell r="AW31" t="str">
            <v/>
          </cell>
          <cell r="AX31" t="str">
            <v/>
          </cell>
          <cell r="AY31" t="str">
            <v/>
          </cell>
          <cell r="AZ31" t="str">
            <v/>
          </cell>
          <cell r="BB31" t="str">
            <v/>
          </cell>
          <cell r="BC31" t="str">
            <v/>
          </cell>
          <cell r="BF31" t="str">
            <v/>
          </cell>
          <cell r="BI31">
            <v>0</v>
          </cell>
          <cell r="BJ31">
            <v>0</v>
          </cell>
          <cell r="BK31">
            <v>30</v>
          </cell>
          <cell r="BP31" t="str">
            <v/>
          </cell>
          <cell r="BQ31" t="str">
            <v/>
          </cell>
          <cell r="BR31" t="str">
            <v/>
          </cell>
          <cell r="BS31" t="str">
            <v/>
          </cell>
        </row>
        <row r="32">
          <cell r="B32" t="str">
            <v>INV--9900-14</v>
          </cell>
          <cell r="C32" t="str">
            <v/>
          </cell>
          <cell r="D32" t="e">
            <v>#VALUE!</v>
          </cell>
          <cell r="E32" t="str">
            <v>Jan1900</v>
          </cell>
          <cell r="F32">
            <v>31</v>
          </cell>
          <cell r="G32" t="e">
            <v>#VALUE!</v>
          </cell>
          <cell r="H32">
            <v>1</v>
          </cell>
          <cell r="I32">
            <v>1</v>
          </cell>
          <cell r="J32">
            <v>0</v>
          </cell>
          <cell r="K32" t="str">
            <v>0Jan1900</v>
          </cell>
          <cell r="L32" t="str">
            <v>Buildings</v>
          </cell>
          <cell r="M32" t="str">
            <v>BuildingsJan1900</v>
          </cell>
          <cell r="N32">
            <v>0</v>
          </cell>
          <cell r="O32">
            <v>0</v>
          </cell>
          <cell r="Q32" t="e">
            <v>#VALUE!</v>
          </cell>
          <cell r="R32">
            <v>0</v>
          </cell>
          <cell r="S32" t="str">
            <v>Jan1900</v>
          </cell>
          <cell r="T32" t="str">
            <v>Jan1900</v>
          </cell>
          <cell r="U32" t="e">
            <v>#VALUE!</v>
          </cell>
          <cell r="V32" t="e">
            <v>#VALUE!</v>
          </cell>
          <cell r="W32" t="str">
            <v/>
          </cell>
          <cell r="X32" t="str">
            <v>INV-9900</v>
          </cell>
          <cell r="Y32" t="str">
            <v>Jan</v>
          </cell>
          <cell r="Z32">
            <v>1900</v>
          </cell>
          <cell r="AA32" t="str">
            <v>9900</v>
          </cell>
          <cell r="AB32" t="str">
            <v>9900-14</v>
          </cell>
          <cell r="AC32">
            <v>14</v>
          </cell>
          <cell r="AD32">
            <v>0</v>
          </cell>
          <cell r="AE32">
            <v>0</v>
          </cell>
          <cell r="AF32" t="str">
            <v/>
          </cell>
          <cell r="AG32" t="str">
            <v/>
          </cell>
          <cell r="AH32">
            <v>1</v>
          </cell>
          <cell r="AI32">
            <v>1</v>
          </cell>
          <cell r="AK32" t="str">
            <v>INV--9900-14</v>
          </cell>
          <cell r="AL32">
            <v>0</v>
          </cell>
          <cell r="AN32" t="str">
            <v>INVOICE</v>
          </cell>
          <cell r="AR32" t="str">
            <v/>
          </cell>
          <cell r="AS32" t="str">
            <v/>
          </cell>
          <cell r="AT32" t="str">
            <v/>
          </cell>
          <cell r="AU32" t="str">
            <v/>
          </cell>
          <cell r="AV32" t="str">
            <v/>
          </cell>
          <cell r="AW32" t="str">
            <v/>
          </cell>
          <cell r="AX32" t="str">
            <v/>
          </cell>
          <cell r="AY32" t="str">
            <v/>
          </cell>
          <cell r="AZ32" t="str">
            <v/>
          </cell>
          <cell r="BB32" t="str">
            <v/>
          </cell>
          <cell r="BC32" t="str">
            <v/>
          </cell>
          <cell r="BF32" t="str">
            <v/>
          </cell>
          <cell r="BI32">
            <v>0</v>
          </cell>
          <cell r="BJ32">
            <v>0</v>
          </cell>
          <cell r="BK32">
            <v>30</v>
          </cell>
          <cell r="BP32" t="str">
            <v/>
          </cell>
          <cell r="BQ32" t="str">
            <v/>
          </cell>
          <cell r="BR32" t="str">
            <v/>
          </cell>
          <cell r="BS32" t="str">
            <v/>
          </cell>
        </row>
        <row r="33">
          <cell r="B33" t="str">
            <v>INV--9900-15</v>
          </cell>
          <cell r="C33" t="str">
            <v/>
          </cell>
          <cell r="D33" t="e">
            <v>#VALUE!</v>
          </cell>
          <cell r="E33" t="str">
            <v>Jan1900</v>
          </cell>
          <cell r="F33">
            <v>31</v>
          </cell>
          <cell r="G33" t="e">
            <v>#VALUE!</v>
          </cell>
          <cell r="H33">
            <v>1</v>
          </cell>
          <cell r="I33">
            <v>1</v>
          </cell>
          <cell r="J33">
            <v>0</v>
          </cell>
          <cell r="K33" t="str">
            <v>0Jan1900</v>
          </cell>
          <cell r="L33" t="str">
            <v>Buildings</v>
          </cell>
          <cell r="M33" t="str">
            <v>BuildingsJan1900</v>
          </cell>
          <cell r="N33">
            <v>0</v>
          </cell>
          <cell r="O33">
            <v>0</v>
          </cell>
          <cell r="Q33" t="e">
            <v>#VALUE!</v>
          </cell>
          <cell r="R33">
            <v>0</v>
          </cell>
          <cell r="S33" t="str">
            <v>Jan1900</v>
          </cell>
          <cell r="T33" t="str">
            <v>Jan1900</v>
          </cell>
          <cell r="U33" t="e">
            <v>#VALUE!</v>
          </cell>
          <cell r="V33" t="e">
            <v>#VALUE!</v>
          </cell>
          <cell r="W33" t="str">
            <v/>
          </cell>
          <cell r="X33" t="str">
            <v>INV-9900</v>
          </cell>
          <cell r="Y33" t="str">
            <v>Jan</v>
          </cell>
          <cell r="Z33">
            <v>1900</v>
          </cell>
          <cell r="AA33" t="str">
            <v>9900</v>
          </cell>
          <cell r="AB33" t="str">
            <v>9900-15</v>
          </cell>
          <cell r="AC33">
            <v>15</v>
          </cell>
          <cell r="AD33">
            <v>0</v>
          </cell>
          <cell r="AE33">
            <v>0</v>
          </cell>
          <cell r="AF33" t="str">
            <v/>
          </cell>
          <cell r="AG33" t="str">
            <v/>
          </cell>
          <cell r="AH33">
            <v>1</v>
          </cell>
          <cell r="AI33">
            <v>1</v>
          </cell>
          <cell r="AK33" t="str">
            <v>INV--9900-15</v>
          </cell>
          <cell r="AL33">
            <v>0</v>
          </cell>
          <cell r="AN33" t="str">
            <v>INVOICE</v>
          </cell>
          <cell r="AR33" t="str">
            <v/>
          </cell>
          <cell r="AS33" t="str">
            <v/>
          </cell>
          <cell r="AT33" t="str">
            <v/>
          </cell>
          <cell r="AU33" t="str">
            <v/>
          </cell>
          <cell r="AV33" t="str">
            <v/>
          </cell>
          <cell r="AW33" t="str">
            <v/>
          </cell>
          <cell r="AX33" t="str">
            <v/>
          </cell>
          <cell r="AY33" t="str">
            <v/>
          </cell>
          <cell r="AZ33" t="str">
            <v/>
          </cell>
          <cell r="BB33" t="str">
            <v/>
          </cell>
          <cell r="BC33" t="str">
            <v/>
          </cell>
          <cell r="BF33" t="str">
            <v/>
          </cell>
          <cell r="BI33">
            <v>0</v>
          </cell>
          <cell r="BJ33">
            <v>0</v>
          </cell>
          <cell r="BK33">
            <v>30</v>
          </cell>
          <cell r="BP33" t="str">
            <v/>
          </cell>
          <cell r="BQ33" t="str">
            <v/>
          </cell>
          <cell r="BR33" t="str">
            <v/>
          </cell>
          <cell r="BS33" t="str">
            <v/>
          </cell>
        </row>
        <row r="34">
          <cell r="B34" t="str">
            <v>INV--9900-16</v>
          </cell>
          <cell r="C34" t="str">
            <v/>
          </cell>
          <cell r="D34" t="e">
            <v>#VALUE!</v>
          </cell>
          <cell r="E34" t="str">
            <v>Jan1900</v>
          </cell>
          <cell r="F34">
            <v>31</v>
          </cell>
          <cell r="G34" t="e">
            <v>#VALUE!</v>
          </cell>
          <cell r="H34">
            <v>1</v>
          </cell>
          <cell r="I34">
            <v>1</v>
          </cell>
          <cell r="J34">
            <v>0</v>
          </cell>
          <cell r="K34" t="str">
            <v>0Jan1900</v>
          </cell>
          <cell r="L34" t="str">
            <v>Buildings</v>
          </cell>
          <cell r="M34" t="str">
            <v>BuildingsJan1900</v>
          </cell>
          <cell r="N34">
            <v>0</v>
          </cell>
          <cell r="O34">
            <v>0</v>
          </cell>
          <cell r="Q34" t="e">
            <v>#VALUE!</v>
          </cell>
          <cell r="R34">
            <v>0</v>
          </cell>
          <cell r="S34" t="str">
            <v>Jan1900</v>
          </cell>
          <cell r="T34" t="str">
            <v>Jan1900</v>
          </cell>
          <cell r="U34" t="e">
            <v>#VALUE!</v>
          </cell>
          <cell r="V34" t="e">
            <v>#VALUE!</v>
          </cell>
          <cell r="W34" t="str">
            <v/>
          </cell>
          <cell r="X34" t="str">
            <v>INV-9900</v>
          </cell>
          <cell r="Y34" t="str">
            <v>Jan</v>
          </cell>
          <cell r="Z34">
            <v>1900</v>
          </cell>
          <cell r="AA34" t="str">
            <v>9900</v>
          </cell>
          <cell r="AB34" t="str">
            <v>9900-16</v>
          </cell>
          <cell r="AC34">
            <v>16</v>
          </cell>
          <cell r="AD34">
            <v>0</v>
          </cell>
          <cell r="AE34">
            <v>0</v>
          </cell>
          <cell r="AF34" t="str">
            <v/>
          </cell>
          <cell r="AG34" t="str">
            <v/>
          </cell>
          <cell r="AH34">
            <v>1</v>
          </cell>
          <cell r="AI34">
            <v>1</v>
          </cell>
          <cell r="AK34" t="str">
            <v>INV--9900-16</v>
          </cell>
          <cell r="AL34">
            <v>0</v>
          </cell>
          <cell r="AN34" t="str">
            <v>INVOICE</v>
          </cell>
          <cell r="AR34" t="str">
            <v/>
          </cell>
          <cell r="AS34" t="str">
            <v/>
          </cell>
          <cell r="AT34" t="str">
            <v/>
          </cell>
          <cell r="AU34" t="str">
            <v/>
          </cell>
          <cell r="AV34" t="str">
            <v/>
          </cell>
          <cell r="AW34" t="str">
            <v/>
          </cell>
          <cell r="AX34" t="str">
            <v/>
          </cell>
          <cell r="AY34" t="str">
            <v/>
          </cell>
          <cell r="AZ34" t="str">
            <v/>
          </cell>
          <cell r="BB34" t="str">
            <v/>
          </cell>
          <cell r="BC34" t="str">
            <v/>
          </cell>
          <cell r="BF34" t="str">
            <v/>
          </cell>
          <cell r="BI34">
            <v>0</v>
          </cell>
          <cell r="BJ34">
            <v>0</v>
          </cell>
          <cell r="BK34">
            <v>30</v>
          </cell>
          <cell r="BP34" t="str">
            <v/>
          </cell>
          <cell r="BQ34" t="str">
            <v/>
          </cell>
          <cell r="BR34" t="str">
            <v/>
          </cell>
          <cell r="BS34" t="str">
            <v/>
          </cell>
        </row>
        <row r="35">
          <cell r="B35" t="str">
            <v>INV--9900-17</v>
          </cell>
          <cell r="C35" t="str">
            <v/>
          </cell>
          <cell r="D35" t="e">
            <v>#VALUE!</v>
          </cell>
          <cell r="E35" t="str">
            <v>Jan1900</v>
          </cell>
          <cell r="F35">
            <v>31</v>
          </cell>
          <cell r="G35" t="e">
            <v>#VALUE!</v>
          </cell>
          <cell r="H35">
            <v>1</v>
          </cell>
          <cell r="I35">
            <v>1</v>
          </cell>
          <cell r="J35">
            <v>0</v>
          </cell>
          <cell r="K35" t="str">
            <v>0Jan1900</v>
          </cell>
          <cell r="L35" t="str">
            <v>Buildings</v>
          </cell>
          <cell r="M35" t="str">
            <v>BuildingsJan1900</v>
          </cell>
          <cell r="N35">
            <v>0</v>
          </cell>
          <cell r="O35">
            <v>0</v>
          </cell>
          <cell r="Q35" t="e">
            <v>#VALUE!</v>
          </cell>
          <cell r="R35">
            <v>0</v>
          </cell>
          <cell r="S35" t="str">
            <v>Jan1900</v>
          </cell>
          <cell r="T35" t="str">
            <v>Jan1900</v>
          </cell>
          <cell r="U35" t="e">
            <v>#VALUE!</v>
          </cell>
          <cell r="V35" t="e">
            <v>#VALUE!</v>
          </cell>
          <cell r="W35" t="str">
            <v/>
          </cell>
          <cell r="X35" t="str">
            <v>INV-9900</v>
          </cell>
          <cell r="Y35" t="str">
            <v>Jan</v>
          </cell>
          <cell r="Z35">
            <v>1900</v>
          </cell>
          <cell r="AA35" t="str">
            <v>9900</v>
          </cell>
          <cell r="AB35" t="str">
            <v>9900-17</v>
          </cell>
          <cell r="AC35">
            <v>17</v>
          </cell>
          <cell r="AD35">
            <v>0</v>
          </cell>
          <cell r="AE35">
            <v>0</v>
          </cell>
          <cell r="AF35" t="str">
            <v/>
          </cell>
          <cell r="AG35" t="str">
            <v/>
          </cell>
          <cell r="AH35">
            <v>1</v>
          </cell>
          <cell r="AI35">
            <v>1</v>
          </cell>
          <cell r="AK35" t="str">
            <v>INV--9900-17</v>
          </cell>
          <cell r="AL35">
            <v>0</v>
          </cell>
          <cell r="AN35" t="str">
            <v>INVOICE</v>
          </cell>
          <cell r="AR35" t="str">
            <v/>
          </cell>
          <cell r="AS35" t="str">
            <v/>
          </cell>
          <cell r="AT35" t="str">
            <v/>
          </cell>
          <cell r="AU35" t="str">
            <v/>
          </cell>
          <cell r="AV35" t="str">
            <v/>
          </cell>
          <cell r="AW35" t="str">
            <v/>
          </cell>
          <cell r="AX35" t="str">
            <v/>
          </cell>
          <cell r="AY35" t="str">
            <v/>
          </cell>
          <cell r="AZ35" t="str">
            <v/>
          </cell>
          <cell r="BB35" t="str">
            <v/>
          </cell>
          <cell r="BC35" t="str">
            <v/>
          </cell>
          <cell r="BF35" t="str">
            <v/>
          </cell>
          <cell r="BI35">
            <v>0</v>
          </cell>
          <cell r="BJ35">
            <v>0</v>
          </cell>
          <cell r="BK35">
            <v>30</v>
          </cell>
          <cell r="BP35" t="str">
            <v/>
          </cell>
          <cell r="BQ35" t="str">
            <v/>
          </cell>
          <cell r="BR35" t="str">
            <v/>
          </cell>
          <cell r="BS35" t="str">
            <v/>
          </cell>
        </row>
        <row r="36">
          <cell r="B36" t="str">
            <v>INV--9900-18</v>
          </cell>
          <cell r="C36" t="str">
            <v/>
          </cell>
          <cell r="D36" t="e">
            <v>#VALUE!</v>
          </cell>
          <cell r="E36" t="str">
            <v>Jan1900</v>
          </cell>
          <cell r="F36">
            <v>31</v>
          </cell>
          <cell r="G36" t="e">
            <v>#VALUE!</v>
          </cell>
          <cell r="H36">
            <v>1</v>
          </cell>
          <cell r="I36">
            <v>1</v>
          </cell>
          <cell r="J36">
            <v>0</v>
          </cell>
          <cell r="K36" t="str">
            <v>0Jan1900</v>
          </cell>
          <cell r="L36" t="str">
            <v>Buildings</v>
          </cell>
          <cell r="M36" t="str">
            <v>BuildingsJan1900</v>
          </cell>
          <cell r="N36">
            <v>0</v>
          </cell>
          <cell r="O36">
            <v>0</v>
          </cell>
          <cell r="Q36" t="e">
            <v>#VALUE!</v>
          </cell>
          <cell r="R36">
            <v>0</v>
          </cell>
          <cell r="S36" t="str">
            <v>Jan1900</v>
          </cell>
          <cell r="T36" t="str">
            <v>Jan1900</v>
          </cell>
          <cell r="U36" t="e">
            <v>#VALUE!</v>
          </cell>
          <cell r="V36" t="e">
            <v>#VALUE!</v>
          </cell>
          <cell r="W36" t="str">
            <v/>
          </cell>
          <cell r="X36" t="str">
            <v>INV-9900</v>
          </cell>
          <cell r="Y36" t="str">
            <v>Jan</v>
          </cell>
          <cell r="Z36">
            <v>1900</v>
          </cell>
          <cell r="AA36" t="str">
            <v>9900</v>
          </cell>
          <cell r="AB36" t="str">
            <v>9900-18</v>
          </cell>
          <cell r="AC36">
            <v>18</v>
          </cell>
          <cell r="AD36">
            <v>0</v>
          </cell>
          <cell r="AE36">
            <v>0</v>
          </cell>
          <cell r="AF36" t="str">
            <v/>
          </cell>
          <cell r="AG36" t="str">
            <v/>
          </cell>
          <cell r="AH36">
            <v>1</v>
          </cell>
          <cell r="AI36">
            <v>1</v>
          </cell>
          <cell r="AK36" t="str">
            <v>INV--9900-18</v>
          </cell>
          <cell r="AL36">
            <v>0</v>
          </cell>
          <cell r="AN36" t="str">
            <v>INVOICE</v>
          </cell>
          <cell r="AR36" t="str">
            <v/>
          </cell>
          <cell r="AS36" t="str">
            <v/>
          </cell>
          <cell r="AT36" t="str">
            <v/>
          </cell>
          <cell r="AU36" t="str">
            <v/>
          </cell>
          <cell r="AV36" t="str">
            <v/>
          </cell>
          <cell r="AW36" t="str">
            <v/>
          </cell>
          <cell r="AX36" t="str">
            <v/>
          </cell>
          <cell r="AY36" t="str">
            <v/>
          </cell>
          <cell r="AZ36" t="str">
            <v/>
          </cell>
          <cell r="BB36" t="str">
            <v/>
          </cell>
          <cell r="BC36" t="str">
            <v/>
          </cell>
          <cell r="BF36" t="str">
            <v/>
          </cell>
          <cell r="BI36">
            <v>0</v>
          </cell>
          <cell r="BJ36">
            <v>0</v>
          </cell>
          <cell r="BK36">
            <v>30</v>
          </cell>
          <cell r="BP36" t="str">
            <v/>
          </cell>
          <cell r="BQ36" t="str">
            <v/>
          </cell>
          <cell r="BR36" t="str">
            <v/>
          </cell>
          <cell r="BS36" t="str">
            <v/>
          </cell>
        </row>
        <row r="37">
          <cell r="B37" t="str">
            <v>INV--9900-19</v>
          </cell>
          <cell r="C37" t="str">
            <v/>
          </cell>
          <cell r="D37" t="e">
            <v>#VALUE!</v>
          </cell>
          <cell r="E37" t="str">
            <v>Jan1900</v>
          </cell>
          <cell r="F37">
            <v>31</v>
          </cell>
          <cell r="G37" t="e">
            <v>#VALUE!</v>
          </cell>
          <cell r="H37">
            <v>1</v>
          </cell>
          <cell r="I37">
            <v>1</v>
          </cell>
          <cell r="J37">
            <v>0</v>
          </cell>
          <cell r="K37" t="str">
            <v>0Jan1900</v>
          </cell>
          <cell r="L37" t="str">
            <v>Buildings</v>
          </cell>
          <cell r="M37" t="str">
            <v>BuildingsJan1900</v>
          </cell>
          <cell r="N37">
            <v>0</v>
          </cell>
          <cell r="O37">
            <v>0</v>
          </cell>
          <cell r="Q37" t="e">
            <v>#VALUE!</v>
          </cell>
          <cell r="R37">
            <v>0</v>
          </cell>
          <cell r="S37" t="str">
            <v>Jan1900</v>
          </cell>
          <cell r="T37" t="str">
            <v>Jan1900</v>
          </cell>
          <cell r="U37" t="e">
            <v>#VALUE!</v>
          </cell>
          <cell r="V37" t="e">
            <v>#VALUE!</v>
          </cell>
          <cell r="W37" t="str">
            <v/>
          </cell>
          <cell r="X37" t="str">
            <v>INV-9900</v>
          </cell>
          <cell r="Y37" t="str">
            <v>Jan</v>
          </cell>
          <cell r="Z37">
            <v>1900</v>
          </cell>
          <cell r="AA37" t="str">
            <v>9900</v>
          </cell>
          <cell r="AB37" t="str">
            <v>9900-19</v>
          </cell>
          <cell r="AC37">
            <v>19</v>
          </cell>
          <cell r="AD37">
            <v>0</v>
          </cell>
          <cell r="AE37">
            <v>0</v>
          </cell>
          <cell r="AF37" t="str">
            <v/>
          </cell>
          <cell r="AG37" t="str">
            <v/>
          </cell>
          <cell r="AH37">
            <v>1</v>
          </cell>
          <cell r="AI37">
            <v>1</v>
          </cell>
          <cell r="AK37" t="str">
            <v>INV--9900-19</v>
          </cell>
          <cell r="AL37">
            <v>0</v>
          </cell>
          <cell r="AN37" t="str">
            <v>INVOICE</v>
          </cell>
          <cell r="AR37" t="str">
            <v/>
          </cell>
          <cell r="AS37" t="str">
            <v/>
          </cell>
          <cell r="AT37" t="str">
            <v/>
          </cell>
          <cell r="AU37" t="str">
            <v/>
          </cell>
          <cell r="AV37" t="str">
            <v/>
          </cell>
          <cell r="AW37" t="str">
            <v/>
          </cell>
          <cell r="AX37" t="str">
            <v/>
          </cell>
          <cell r="AY37" t="str">
            <v/>
          </cell>
          <cell r="AZ37" t="str">
            <v/>
          </cell>
          <cell r="BB37" t="str">
            <v/>
          </cell>
          <cell r="BC37" t="str">
            <v/>
          </cell>
          <cell r="BF37" t="str">
            <v/>
          </cell>
          <cell r="BI37">
            <v>0</v>
          </cell>
          <cell r="BJ37">
            <v>0</v>
          </cell>
          <cell r="BK37">
            <v>30</v>
          </cell>
          <cell r="BP37" t="str">
            <v/>
          </cell>
          <cell r="BQ37" t="str">
            <v/>
          </cell>
          <cell r="BR37" t="str">
            <v/>
          </cell>
          <cell r="BS37" t="str">
            <v/>
          </cell>
        </row>
        <row r="38">
          <cell r="B38" t="str">
            <v>INV--9900-20</v>
          </cell>
          <cell r="C38" t="str">
            <v/>
          </cell>
          <cell r="D38" t="e">
            <v>#VALUE!</v>
          </cell>
          <cell r="E38" t="str">
            <v>Jan1900</v>
          </cell>
          <cell r="F38">
            <v>31</v>
          </cell>
          <cell r="G38" t="e">
            <v>#VALUE!</v>
          </cell>
          <cell r="H38">
            <v>1</v>
          </cell>
          <cell r="I38">
            <v>1</v>
          </cell>
          <cell r="J38">
            <v>0</v>
          </cell>
          <cell r="K38" t="str">
            <v>0Jan1900</v>
          </cell>
          <cell r="L38" t="str">
            <v>Buildings</v>
          </cell>
          <cell r="M38" t="str">
            <v>BuildingsJan1900</v>
          </cell>
          <cell r="N38">
            <v>0</v>
          </cell>
          <cell r="O38">
            <v>0</v>
          </cell>
          <cell r="Q38" t="e">
            <v>#VALUE!</v>
          </cell>
          <cell r="R38">
            <v>0</v>
          </cell>
          <cell r="S38" t="str">
            <v>Jan1900</v>
          </cell>
          <cell r="T38" t="str">
            <v>Jan1900</v>
          </cell>
          <cell r="U38" t="e">
            <v>#VALUE!</v>
          </cell>
          <cell r="V38" t="e">
            <v>#VALUE!</v>
          </cell>
          <cell r="W38" t="str">
            <v/>
          </cell>
          <cell r="X38" t="str">
            <v>INV-9900</v>
          </cell>
          <cell r="Y38" t="str">
            <v>Jan</v>
          </cell>
          <cell r="Z38">
            <v>1900</v>
          </cell>
          <cell r="AA38" t="str">
            <v>9900</v>
          </cell>
          <cell r="AB38" t="str">
            <v>9900-20</v>
          </cell>
          <cell r="AC38">
            <v>20</v>
          </cell>
          <cell r="AD38">
            <v>0</v>
          </cell>
          <cell r="AE38">
            <v>0</v>
          </cell>
          <cell r="AF38" t="str">
            <v/>
          </cell>
          <cell r="AG38" t="str">
            <v/>
          </cell>
          <cell r="AH38">
            <v>1</v>
          </cell>
          <cell r="AI38">
            <v>1</v>
          </cell>
          <cell r="AK38" t="str">
            <v>INV--9900-20</v>
          </cell>
          <cell r="AL38">
            <v>0</v>
          </cell>
          <cell r="AN38" t="str">
            <v>INVOICE</v>
          </cell>
          <cell r="AR38" t="str">
            <v/>
          </cell>
          <cell r="AS38" t="str">
            <v/>
          </cell>
          <cell r="AT38" t="str">
            <v/>
          </cell>
          <cell r="AU38" t="str">
            <v/>
          </cell>
          <cell r="AV38" t="str">
            <v/>
          </cell>
          <cell r="AW38" t="str">
            <v/>
          </cell>
          <cell r="AX38" t="str">
            <v/>
          </cell>
          <cell r="AY38" t="str">
            <v/>
          </cell>
          <cell r="AZ38" t="str">
            <v/>
          </cell>
          <cell r="BB38" t="str">
            <v/>
          </cell>
          <cell r="BC38" t="str">
            <v/>
          </cell>
          <cell r="BF38" t="str">
            <v/>
          </cell>
          <cell r="BI38">
            <v>0</v>
          </cell>
          <cell r="BJ38">
            <v>0</v>
          </cell>
          <cell r="BK38">
            <v>30</v>
          </cell>
          <cell r="BP38" t="str">
            <v/>
          </cell>
          <cell r="BQ38" t="str">
            <v/>
          </cell>
          <cell r="BR38" t="str">
            <v/>
          </cell>
          <cell r="BS38" t="str">
            <v/>
          </cell>
        </row>
        <row r="39">
          <cell r="B39" t="str">
            <v>INV--9900-21</v>
          </cell>
          <cell r="C39" t="str">
            <v/>
          </cell>
          <cell r="D39" t="e">
            <v>#VALUE!</v>
          </cell>
          <cell r="E39" t="str">
            <v>Jan1900</v>
          </cell>
          <cell r="F39">
            <v>31</v>
          </cell>
          <cell r="G39" t="e">
            <v>#VALUE!</v>
          </cell>
          <cell r="H39">
            <v>1</v>
          </cell>
          <cell r="I39">
            <v>1</v>
          </cell>
          <cell r="J39">
            <v>0</v>
          </cell>
          <cell r="K39" t="str">
            <v>0Jan1900</v>
          </cell>
          <cell r="L39" t="str">
            <v>Buildings</v>
          </cell>
          <cell r="M39" t="str">
            <v>BuildingsJan1900</v>
          </cell>
          <cell r="N39">
            <v>0</v>
          </cell>
          <cell r="O39">
            <v>0</v>
          </cell>
          <cell r="Q39" t="e">
            <v>#VALUE!</v>
          </cell>
          <cell r="R39">
            <v>0</v>
          </cell>
          <cell r="S39" t="str">
            <v>Jan1900</v>
          </cell>
          <cell r="T39" t="str">
            <v>Jan1900</v>
          </cell>
          <cell r="U39" t="e">
            <v>#VALUE!</v>
          </cell>
          <cell r="V39" t="e">
            <v>#VALUE!</v>
          </cell>
          <cell r="W39" t="str">
            <v/>
          </cell>
          <cell r="X39" t="str">
            <v>INV-9900</v>
          </cell>
          <cell r="Y39" t="str">
            <v>Jan</v>
          </cell>
          <cell r="Z39">
            <v>1900</v>
          </cell>
          <cell r="AA39" t="str">
            <v>9900</v>
          </cell>
          <cell r="AB39" t="str">
            <v>9900-21</v>
          </cell>
          <cell r="AC39">
            <v>21</v>
          </cell>
          <cell r="AD39">
            <v>0</v>
          </cell>
          <cell r="AE39">
            <v>0</v>
          </cell>
          <cell r="AF39" t="str">
            <v/>
          </cell>
          <cell r="AG39" t="str">
            <v/>
          </cell>
          <cell r="AH39">
            <v>1</v>
          </cell>
          <cell r="AI39">
            <v>1</v>
          </cell>
          <cell r="AK39" t="str">
            <v>INV--9900-21</v>
          </cell>
          <cell r="AL39">
            <v>0</v>
          </cell>
          <cell r="AN39" t="str">
            <v>INVOICE</v>
          </cell>
          <cell r="AR39" t="str">
            <v/>
          </cell>
          <cell r="AS39" t="str">
            <v/>
          </cell>
          <cell r="AT39" t="str">
            <v/>
          </cell>
          <cell r="AU39" t="str">
            <v/>
          </cell>
          <cell r="AV39" t="str">
            <v/>
          </cell>
          <cell r="AW39" t="str">
            <v/>
          </cell>
          <cell r="AX39" t="str">
            <v/>
          </cell>
          <cell r="AY39" t="str">
            <v/>
          </cell>
          <cell r="AZ39" t="str">
            <v/>
          </cell>
          <cell r="BB39" t="str">
            <v/>
          </cell>
          <cell r="BC39" t="str">
            <v/>
          </cell>
          <cell r="BF39" t="str">
            <v/>
          </cell>
          <cell r="BI39">
            <v>0</v>
          </cell>
          <cell r="BJ39">
            <v>0</v>
          </cell>
          <cell r="BK39">
            <v>30</v>
          </cell>
          <cell r="BP39" t="str">
            <v/>
          </cell>
          <cell r="BQ39" t="str">
            <v/>
          </cell>
          <cell r="BR39" t="str">
            <v/>
          </cell>
          <cell r="BS39" t="str">
            <v/>
          </cell>
        </row>
        <row r="40">
          <cell r="B40" t="str">
            <v>INV--9900-22</v>
          </cell>
          <cell r="C40" t="str">
            <v/>
          </cell>
          <cell r="D40" t="e">
            <v>#VALUE!</v>
          </cell>
          <cell r="E40" t="str">
            <v>Jan1900</v>
          </cell>
          <cell r="F40">
            <v>31</v>
          </cell>
          <cell r="G40" t="e">
            <v>#VALUE!</v>
          </cell>
          <cell r="H40">
            <v>1</v>
          </cell>
          <cell r="I40">
            <v>1</v>
          </cell>
          <cell r="J40">
            <v>0</v>
          </cell>
          <cell r="K40" t="str">
            <v>0Jan1900</v>
          </cell>
          <cell r="L40" t="str">
            <v>Buildings</v>
          </cell>
          <cell r="M40" t="str">
            <v>BuildingsJan1900</v>
          </cell>
          <cell r="N40">
            <v>0</v>
          </cell>
          <cell r="O40">
            <v>0</v>
          </cell>
          <cell r="Q40" t="e">
            <v>#VALUE!</v>
          </cell>
          <cell r="R40">
            <v>0</v>
          </cell>
          <cell r="S40" t="str">
            <v>Jan1900</v>
          </cell>
          <cell r="T40" t="str">
            <v>Jan1900</v>
          </cell>
          <cell r="U40" t="e">
            <v>#VALUE!</v>
          </cell>
          <cell r="V40" t="e">
            <v>#VALUE!</v>
          </cell>
          <cell r="W40" t="str">
            <v/>
          </cell>
          <cell r="X40" t="str">
            <v>INV-9900</v>
          </cell>
          <cell r="Y40" t="str">
            <v>Jan</v>
          </cell>
          <cell r="Z40">
            <v>1900</v>
          </cell>
          <cell r="AA40" t="str">
            <v>9900</v>
          </cell>
          <cell r="AB40" t="str">
            <v>9900-22</v>
          </cell>
          <cell r="AC40">
            <v>22</v>
          </cell>
          <cell r="AD40">
            <v>0</v>
          </cell>
          <cell r="AE40">
            <v>0</v>
          </cell>
          <cell r="AF40" t="str">
            <v/>
          </cell>
          <cell r="AG40" t="str">
            <v/>
          </cell>
          <cell r="AH40">
            <v>1</v>
          </cell>
          <cell r="AI40">
            <v>1</v>
          </cell>
          <cell r="AK40" t="str">
            <v>INV--9900-22</v>
          </cell>
          <cell r="AL40">
            <v>0</v>
          </cell>
          <cell r="AN40" t="str">
            <v>INVOICE</v>
          </cell>
          <cell r="AR40" t="str">
            <v/>
          </cell>
          <cell r="AS40" t="str">
            <v/>
          </cell>
          <cell r="AT40" t="str">
            <v/>
          </cell>
          <cell r="AU40" t="str">
            <v/>
          </cell>
          <cell r="AV40" t="str">
            <v/>
          </cell>
          <cell r="AW40" t="str">
            <v/>
          </cell>
          <cell r="AX40" t="str">
            <v/>
          </cell>
          <cell r="AY40" t="str">
            <v/>
          </cell>
          <cell r="AZ40" t="str">
            <v/>
          </cell>
          <cell r="BB40" t="str">
            <v/>
          </cell>
          <cell r="BC40" t="str">
            <v/>
          </cell>
          <cell r="BF40" t="str">
            <v/>
          </cell>
          <cell r="BI40">
            <v>0</v>
          </cell>
          <cell r="BJ40">
            <v>0</v>
          </cell>
          <cell r="BK40">
            <v>30</v>
          </cell>
          <cell r="BP40" t="str">
            <v/>
          </cell>
          <cell r="BQ40" t="str">
            <v/>
          </cell>
          <cell r="BR40" t="str">
            <v/>
          </cell>
          <cell r="BS40" t="str">
            <v/>
          </cell>
        </row>
        <row r="41">
          <cell r="B41" t="str">
            <v>INV--9900-23</v>
          </cell>
          <cell r="C41" t="str">
            <v/>
          </cell>
          <cell r="D41" t="e">
            <v>#VALUE!</v>
          </cell>
          <cell r="E41" t="str">
            <v>Jan1900</v>
          </cell>
          <cell r="F41">
            <v>31</v>
          </cell>
          <cell r="G41" t="e">
            <v>#VALUE!</v>
          </cell>
          <cell r="H41">
            <v>1</v>
          </cell>
          <cell r="I41">
            <v>1</v>
          </cell>
          <cell r="J41">
            <v>0</v>
          </cell>
          <cell r="K41" t="str">
            <v>0Jan1900</v>
          </cell>
          <cell r="L41" t="str">
            <v>Buildings</v>
          </cell>
          <cell r="M41" t="str">
            <v>BuildingsJan1900</v>
          </cell>
          <cell r="N41">
            <v>0</v>
          </cell>
          <cell r="O41">
            <v>0</v>
          </cell>
          <cell r="Q41" t="e">
            <v>#VALUE!</v>
          </cell>
          <cell r="R41">
            <v>0</v>
          </cell>
          <cell r="S41" t="str">
            <v>Jan1900</v>
          </cell>
          <cell r="T41" t="str">
            <v>Jan1900</v>
          </cell>
          <cell r="U41" t="e">
            <v>#VALUE!</v>
          </cell>
          <cell r="V41" t="e">
            <v>#VALUE!</v>
          </cell>
          <cell r="W41" t="str">
            <v/>
          </cell>
          <cell r="X41" t="str">
            <v>INV-9900</v>
          </cell>
          <cell r="Y41" t="str">
            <v>Jan</v>
          </cell>
          <cell r="Z41">
            <v>1900</v>
          </cell>
          <cell r="AA41" t="str">
            <v>9900</v>
          </cell>
          <cell r="AB41" t="str">
            <v>9900-23</v>
          </cell>
          <cell r="AC41">
            <v>23</v>
          </cell>
          <cell r="AD41">
            <v>0</v>
          </cell>
          <cell r="AE41">
            <v>0</v>
          </cell>
          <cell r="AF41" t="str">
            <v/>
          </cell>
          <cell r="AG41" t="str">
            <v/>
          </cell>
          <cell r="AH41">
            <v>1</v>
          </cell>
          <cell r="AI41">
            <v>1</v>
          </cell>
          <cell r="AK41" t="str">
            <v>INV--9900-23</v>
          </cell>
          <cell r="AL41">
            <v>0</v>
          </cell>
          <cell r="AN41" t="str">
            <v>INVOICE</v>
          </cell>
          <cell r="AR41" t="str">
            <v/>
          </cell>
          <cell r="AS41" t="str">
            <v/>
          </cell>
          <cell r="AT41" t="str">
            <v/>
          </cell>
          <cell r="AU41" t="str">
            <v/>
          </cell>
          <cell r="AV41" t="str">
            <v/>
          </cell>
          <cell r="AW41" t="str">
            <v/>
          </cell>
          <cell r="AX41" t="str">
            <v/>
          </cell>
          <cell r="AY41" t="str">
            <v/>
          </cell>
          <cell r="AZ41" t="str">
            <v/>
          </cell>
          <cell r="BB41" t="str">
            <v/>
          </cell>
          <cell r="BC41" t="str">
            <v/>
          </cell>
          <cell r="BF41" t="str">
            <v/>
          </cell>
          <cell r="BI41">
            <v>0</v>
          </cell>
          <cell r="BJ41">
            <v>0</v>
          </cell>
          <cell r="BK41">
            <v>30</v>
          </cell>
          <cell r="BP41" t="str">
            <v/>
          </cell>
          <cell r="BQ41" t="str">
            <v/>
          </cell>
          <cell r="BR41" t="str">
            <v/>
          </cell>
          <cell r="BS41" t="str">
            <v/>
          </cell>
        </row>
        <row r="42">
          <cell r="B42" t="str">
            <v>INV--9900-24</v>
          </cell>
          <cell r="C42" t="str">
            <v/>
          </cell>
          <cell r="D42" t="e">
            <v>#VALUE!</v>
          </cell>
          <cell r="E42" t="str">
            <v>Jan1900</v>
          </cell>
          <cell r="F42">
            <v>31</v>
          </cell>
          <cell r="G42" t="e">
            <v>#VALUE!</v>
          </cell>
          <cell r="H42">
            <v>1</v>
          </cell>
          <cell r="I42">
            <v>1</v>
          </cell>
          <cell r="J42">
            <v>0</v>
          </cell>
          <cell r="K42" t="str">
            <v>0Jan1900</v>
          </cell>
          <cell r="L42" t="str">
            <v>Buildings</v>
          </cell>
          <cell r="M42" t="str">
            <v>BuildingsJan1900</v>
          </cell>
          <cell r="N42">
            <v>0</v>
          </cell>
          <cell r="O42">
            <v>0</v>
          </cell>
          <cell r="Q42" t="e">
            <v>#VALUE!</v>
          </cell>
          <cell r="R42">
            <v>0</v>
          </cell>
          <cell r="S42" t="str">
            <v>Jan1900</v>
          </cell>
          <cell r="T42" t="str">
            <v>Jan1900</v>
          </cell>
          <cell r="U42" t="e">
            <v>#VALUE!</v>
          </cell>
          <cell r="V42" t="e">
            <v>#VALUE!</v>
          </cell>
          <cell r="W42" t="str">
            <v/>
          </cell>
          <cell r="X42" t="str">
            <v>INV-9900</v>
          </cell>
          <cell r="Y42" t="str">
            <v>Jan</v>
          </cell>
          <cell r="Z42">
            <v>1900</v>
          </cell>
          <cell r="AA42" t="str">
            <v>9900</v>
          </cell>
          <cell r="AB42" t="str">
            <v>9900-24</v>
          </cell>
          <cell r="AC42">
            <v>24</v>
          </cell>
          <cell r="AD42">
            <v>0</v>
          </cell>
          <cell r="AE42">
            <v>0</v>
          </cell>
          <cell r="AF42" t="str">
            <v/>
          </cell>
          <cell r="AG42" t="str">
            <v/>
          </cell>
          <cell r="AH42">
            <v>1</v>
          </cell>
          <cell r="AI42">
            <v>1</v>
          </cell>
          <cell r="AK42" t="str">
            <v>INV--9900-24</v>
          </cell>
          <cell r="AL42">
            <v>0</v>
          </cell>
          <cell r="AN42" t="str">
            <v>INVOICE</v>
          </cell>
          <cell r="AR42" t="str">
            <v/>
          </cell>
          <cell r="AS42" t="str">
            <v/>
          </cell>
          <cell r="AT42" t="str">
            <v/>
          </cell>
          <cell r="AU42" t="str">
            <v/>
          </cell>
          <cell r="AV42" t="str">
            <v/>
          </cell>
          <cell r="AW42" t="str">
            <v/>
          </cell>
          <cell r="AX42" t="str">
            <v/>
          </cell>
          <cell r="AY42" t="str">
            <v/>
          </cell>
          <cell r="AZ42" t="str">
            <v/>
          </cell>
          <cell r="BB42" t="str">
            <v/>
          </cell>
          <cell r="BC42" t="str">
            <v/>
          </cell>
          <cell r="BF42" t="str">
            <v/>
          </cell>
          <cell r="BI42">
            <v>0</v>
          </cell>
          <cell r="BJ42">
            <v>0</v>
          </cell>
          <cell r="BK42">
            <v>30</v>
          </cell>
          <cell r="BP42" t="str">
            <v/>
          </cell>
          <cell r="BQ42" t="str">
            <v/>
          </cell>
          <cell r="BR42" t="str">
            <v/>
          </cell>
          <cell r="BS42" t="str">
            <v/>
          </cell>
        </row>
        <row r="43">
          <cell r="B43" t="str">
            <v>INV--9900-25</v>
          </cell>
          <cell r="C43" t="str">
            <v/>
          </cell>
          <cell r="D43" t="e">
            <v>#VALUE!</v>
          </cell>
          <cell r="E43" t="str">
            <v>Jan1900</v>
          </cell>
          <cell r="F43">
            <v>31</v>
          </cell>
          <cell r="G43" t="e">
            <v>#VALUE!</v>
          </cell>
          <cell r="H43">
            <v>1</v>
          </cell>
          <cell r="I43">
            <v>1</v>
          </cell>
          <cell r="J43">
            <v>0</v>
          </cell>
          <cell r="K43" t="str">
            <v>0Jan1900</v>
          </cell>
          <cell r="L43" t="str">
            <v>Buildings</v>
          </cell>
          <cell r="M43" t="str">
            <v>BuildingsJan1900</v>
          </cell>
          <cell r="N43">
            <v>0</v>
          </cell>
          <cell r="O43">
            <v>0</v>
          </cell>
          <cell r="Q43" t="e">
            <v>#VALUE!</v>
          </cell>
          <cell r="R43">
            <v>0</v>
          </cell>
          <cell r="S43" t="str">
            <v>Jan1900</v>
          </cell>
          <cell r="T43" t="str">
            <v>Jan1900</v>
          </cell>
          <cell r="U43" t="e">
            <v>#VALUE!</v>
          </cell>
          <cell r="V43" t="e">
            <v>#VALUE!</v>
          </cell>
          <cell r="W43" t="str">
            <v/>
          </cell>
          <cell r="X43" t="str">
            <v>INV-9900</v>
          </cell>
          <cell r="Y43" t="str">
            <v>Jan</v>
          </cell>
          <cell r="Z43">
            <v>1900</v>
          </cell>
          <cell r="AA43" t="str">
            <v>9900</v>
          </cell>
          <cell r="AB43" t="str">
            <v>9900-25</v>
          </cell>
          <cell r="AC43">
            <v>25</v>
          </cell>
          <cell r="AD43">
            <v>0</v>
          </cell>
          <cell r="AE43">
            <v>0</v>
          </cell>
          <cell r="AF43" t="str">
            <v/>
          </cell>
          <cell r="AG43" t="str">
            <v/>
          </cell>
          <cell r="AH43">
            <v>1</v>
          </cell>
          <cell r="AI43">
            <v>1</v>
          </cell>
          <cell r="AK43" t="str">
            <v>INV--9900-25</v>
          </cell>
          <cell r="AL43">
            <v>0</v>
          </cell>
          <cell r="AN43" t="str">
            <v>INVOICE</v>
          </cell>
          <cell r="AR43" t="str">
            <v/>
          </cell>
          <cell r="AS43" t="str">
            <v/>
          </cell>
          <cell r="AT43" t="str">
            <v/>
          </cell>
          <cell r="AU43" t="str">
            <v/>
          </cell>
          <cell r="AV43" t="str">
            <v/>
          </cell>
          <cell r="AW43" t="str">
            <v/>
          </cell>
          <cell r="AX43" t="str">
            <v/>
          </cell>
          <cell r="AY43" t="str">
            <v/>
          </cell>
          <cell r="AZ43" t="str">
            <v/>
          </cell>
          <cell r="BB43" t="str">
            <v/>
          </cell>
          <cell r="BC43" t="str">
            <v/>
          </cell>
          <cell r="BF43" t="str">
            <v/>
          </cell>
          <cell r="BI43">
            <v>0</v>
          </cell>
          <cell r="BJ43">
            <v>0</v>
          </cell>
          <cell r="BK43">
            <v>30</v>
          </cell>
          <cell r="BP43" t="str">
            <v/>
          </cell>
          <cell r="BQ43" t="str">
            <v/>
          </cell>
          <cell r="BR43" t="str">
            <v/>
          </cell>
          <cell r="BS43" t="str">
            <v/>
          </cell>
        </row>
        <row r="44">
          <cell r="B44" t="str">
            <v>INV--9900-26</v>
          </cell>
          <cell r="C44" t="str">
            <v/>
          </cell>
          <cell r="D44" t="e">
            <v>#VALUE!</v>
          </cell>
          <cell r="E44" t="str">
            <v>Jan1900</v>
          </cell>
          <cell r="F44">
            <v>31</v>
          </cell>
          <cell r="G44" t="e">
            <v>#VALUE!</v>
          </cell>
          <cell r="H44">
            <v>1</v>
          </cell>
          <cell r="I44">
            <v>1</v>
          </cell>
          <cell r="J44">
            <v>0</v>
          </cell>
          <cell r="K44" t="str">
            <v>0Jan1900</v>
          </cell>
          <cell r="L44" t="str">
            <v>Buildings</v>
          </cell>
          <cell r="M44" t="str">
            <v>BuildingsJan1900</v>
          </cell>
          <cell r="N44">
            <v>0</v>
          </cell>
          <cell r="O44">
            <v>0</v>
          </cell>
          <cell r="Q44" t="e">
            <v>#VALUE!</v>
          </cell>
          <cell r="R44">
            <v>0</v>
          </cell>
          <cell r="S44" t="str">
            <v>Jan1900</v>
          </cell>
          <cell r="T44" t="str">
            <v>Jan1900</v>
          </cell>
          <cell r="U44" t="e">
            <v>#VALUE!</v>
          </cell>
          <cell r="V44" t="e">
            <v>#VALUE!</v>
          </cell>
          <cell r="W44" t="str">
            <v/>
          </cell>
          <cell r="X44" t="str">
            <v>INV-9900</v>
          </cell>
          <cell r="Y44" t="str">
            <v>Jan</v>
          </cell>
          <cell r="Z44">
            <v>1900</v>
          </cell>
          <cell r="AA44" t="str">
            <v>9900</v>
          </cell>
          <cell r="AB44" t="str">
            <v>9900-26</v>
          </cell>
          <cell r="AC44">
            <v>26</v>
          </cell>
          <cell r="AD44">
            <v>0</v>
          </cell>
          <cell r="AE44">
            <v>0</v>
          </cell>
          <cell r="AF44" t="str">
            <v/>
          </cell>
          <cell r="AG44" t="str">
            <v/>
          </cell>
          <cell r="AH44">
            <v>1</v>
          </cell>
          <cell r="AI44">
            <v>1</v>
          </cell>
          <cell r="AK44" t="str">
            <v>INV--9900-26</v>
          </cell>
          <cell r="AL44">
            <v>0</v>
          </cell>
          <cell r="AN44" t="str">
            <v>INVOICE</v>
          </cell>
          <cell r="AR44" t="str">
            <v/>
          </cell>
          <cell r="AS44" t="str">
            <v/>
          </cell>
          <cell r="AT44" t="str">
            <v/>
          </cell>
          <cell r="AU44" t="str">
            <v/>
          </cell>
          <cell r="AV44" t="str">
            <v/>
          </cell>
          <cell r="AW44" t="str">
            <v/>
          </cell>
          <cell r="AX44" t="str">
            <v/>
          </cell>
          <cell r="AY44" t="str">
            <v/>
          </cell>
          <cell r="AZ44" t="str">
            <v/>
          </cell>
          <cell r="BB44" t="str">
            <v/>
          </cell>
          <cell r="BC44" t="str">
            <v/>
          </cell>
          <cell r="BF44" t="str">
            <v/>
          </cell>
          <cell r="BI44">
            <v>0</v>
          </cell>
          <cell r="BJ44">
            <v>0</v>
          </cell>
          <cell r="BK44">
            <v>30</v>
          </cell>
          <cell r="BP44" t="str">
            <v/>
          </cell>
          <cell r="BQ44" t="str">
            <v/>
          </cell>
          <cell r="BR44" t="str">
            <v/>
          </cell>
          <cell r="BS44" t="str">
            <v/>
          </cell>
        </row>
        <row r="45">
          <cell r="B45" t="str">
            <v>INV--9900-27</v>
          </cell>
          <cell r="C45" t="str">
            <v/>
          </cell>
          <cell r="D45" t="e">
            <v>#VALUE!</v>
          </cell>
          <cell r="E45" t="str">
            <v>Jan1900</v>
          </cell>
          <cell r="F45">
            <v>31</v>
          </cell>
          <cell r="G45" t="e">
            <v>#VALUE!</v>
          </cell>
          <cell r="H45">
            <v>1</v>
          </cell>
          <cell r="I45">
            <v>1</v>
          </cell>
          <cell r="J45">
            <v>0</v>
          </cell>
          <cell r="K45" t="str">
            <v>0Jan1900</v>
          </cell>
          <cell r="L45" t="str">
            <v>Buildings</v>
          </cell>
          <cell r="M45" t="str">
            <v>BuildingsJan1900</v>
          </cell>
          <cell r="N45">
            <v>0</v>
          </cell>
          <cell r="O45">
            <v>0</v>
          </cell>
          <cell r="Q45" t="e">
            <v>#VALUE!</v>
          </cell>
          <cell r="R45">
            <v>0</v>
          </cell>
          <cell r="S45" t="str">
            <v>Jan1900</v>
          </cell>
          <cell r="T45" t="str">
            <v>Jan1900</v>
          </cell>
          <cell r="U45" t="e">
            <v>#VALUE!</v>
          </cell>
          <cell r="V45" t="e">
            <v>#VALUE!</v>
          </cell>
          <cell r="W45" t="str">
            <v/>
          </cell>
          <cell r="X45" t="str">
            <v>INV-9900</v>
          </cell>
          <cell r="Y45" t="str">
            <v>Jan</v>
          </cell>
          <cell r="Z45">
            <v>1900</v>
          </cell>
          <cell r="AA45" t="str">
            <v>9900</v>
          </cell>
          <cell r="AB45" t="str">
            <v>9900-27</v>
          </cell>
          <cell r="AC45">
            <v>27</v>
          </cell>
          <cell r="AD45">
            <v>0</v>
          </cell>
          <cell r="AE45">
            <v>0</v>
          </cell>
          <cell r="AF45" t="str">
            <v/>
          </cell>
          <cell r="AG45" t="str">
            <v/>
          </cell>
          <cell r="AH45">
            <v>1</v>
          </cell>
          <cell r="AI45">
            <v>1</v>
          </cell>
          <cell r="AK45" t="str">
            <v>INV--9900-27</v>
          </cell>
          <cell r="AL45">
            <v>0</v>
          </cell>
          <cell r="AN45" t="str">
            <v>INVOICE</v>
          </cell>
          <cell r="AR45" t="str">
            <v/>
          </cell>
          <cell r="AS45" t="str">
            <v/>
          </cell>
          <cell r="AT45" t="str">
            <v/>
          </cell>
          <cell r="AU45" t="str">
            <v/>
          </cell>
          <cell r="AV45" t="str">
            <v/>
          </cell>
          <cell r="AW45" t="str">
            <v/>
          </cell>
          <cell r="AX45" t="str">
            <v/>
          </cell>
          <cell r="AY45" t="str">
            <v/>
          </cell>
          <cell r="AZ45" t="str">
            <v/>
          </cell>
          <cell r="BB45" t="str">
            <v/>
          </cell>
          <cell r="BC45" t="str">
            <v/>
          </cell>
          <cell r="BF45" t="str">
            <v/>
          </cell>
          <cell r="BI45">
            <v>0</v>
          </cell>
          <cell r="BJ45">
            <v>0</v>
          </cell>
          <cell r="BK45">
            <v>30</v>
          </cell>
          <cell r="BP45" t="str">
            <v/>
          </cell>
          <cell r="BQ45" t="str">
            <v/>
          </cell>
          <cell r="BR45" t="str">
            <v/>
          </cell>
          <cell r="BS45" t="str">
            <v/>
          </cell>
        </row>
        <row r="46">
          <cell r="B46" t="str">
            <v>INV--9900-28</v>
          </cell>
          <cell r="C46" t="str">
            <v/>
          </cell>
          <cell r="D46" t="e">
            <v>#VALUE!</v>
          </cell>
          <cell r="E46" t="str">
            <v>Jan1900</v>
          </cell>
          <cell r="F46">
            <v>31</v>
          </cell>
          <cell r="G46" t="e">
            <v>#VALUE!</v>
          </cell>
          <cell r="H46">
            <v>1</v>
          </cell>
          <cell r="I46">
            <v>1</v>
          </cell>
          <cell r="J46">
            <v>0</v>
          </cell>
          <cell r="K46" t="str">
            <v>0Jan1900</v>
          </cell>
          <cell r="L46" t="str">
            <v>Buildings</v>
          </cell>
          <cell r="M46" t="str">
            <v>BuildingsJan1900</v>
          </cell>
          <cell r="N46">
            <v>0</v>
          </cell>
          <cell r="O46">
            <v>0</v>
          </cell>
          <cell r="Q46" t="e">
            <v>#VALUE!</v>
          </cell>
          <cell r="R46">
            <v>0</v>
          </cell>
          <cell r="S46" t="str">
            <v>Jan1900</v>
          </cell>
          <cell r="T46" t="str">
            <v>Jan1900</v>
          </cell>
          <cell r="U46" t="e">
            <v>#VALUE!</v>
          </cell>
          <cell r="V46" t="e">
            <v>#VALUE!</v>
          </cell>
          <cell r="W46" t="str">
            <v/>
          </cell>
          <cell r="X46" t="str">
            <v>INV-9900</v>
          </cell>
          <cell r="Y46" t="str">
            <v>Jan</v>
          </cell>
          <cell r="Z46">
            <v>1900</v>
          </cell>
          <cell r="AA46" t="str">
            <v>9900</v>
          </cell>
          <cell r="AB46" t="str">
            <v>9900-28</v>
          </cell>
          <cell r="AC46">
            <v>28</v>
          </cell>
          <cell r="AD46">
            <v>0</v>
          </cell>
          <cell r="AE46">
            <v>0</v>
          </cell>
          <cell r="AF46" t="str">
            <v/>
          </cell>
          <cell r="AG46" t="str">
            <v/>
          </cell>
          <cell r="AH46">
            <v>1</v>
          </cell>
          <cell r="AI46">
            <v>1</v>
          </cell>
          <cell r="AK46" t="str">
            <v>INV--9900-28</v>
          </cell>
          <cell r="AL46">
            <v>0</v>
          </cell>
          <cell r="AN46" t="str">
            <v>INVOICE</v>
          </cell>
          <cell r="AR46" t="str">
            <v/>
          </cell>
          <cell r="AS46" t="str">
            <v/>
          </cell>
          <cell r="AT46" t="str">
            <v/>
          </cell>
          <cell r="AU46" t="str">
            <v/>
          </cell>
          <cell r="AV46" t="str">
            <v/>
          </cell>
          <cell r="AW46" t="str">
            <v/>
          </cell>
          <cell r="AX46" t="str">
            <v/>
          </cell>
          <cell r="AY46" t="str">
            <v/>
          </cell>
          <cell r="AZ46" t="str">
            <v/>
          </cell>
          <cell r="BB46" t="str">
            <v/>
          </cell>
          <cell r="BC46" t="str">
            <v/>
          </cell>
          <cell r="BF46" t="str">
            <v/>
          </cell>
          <cell r="BI46">
            <v>0</v>
          </cell>
          <cell r="BJ46">
            <v>0</v>
          </cell>
          <cell r="BK46">
            <v>30</v>
          </cell>
          <cell r="BP46" t="str">
            <v/>
          </cell>
          <cell r="BQ46" t="str">
            <v/>
          </cell>
          <cell r="BR46" t="str">
            <v/>
          </cell>
          <cell r="BS46" t="str">
            <v/>
          </cell>
        </row>
        <row r="47">
          <cell r="B47" t="str">
            <v>INV--9900-29</v>
          </cell>
          <cell r="C47" t="str">
            <v/>
          </cell>
          <cell r="D47" t="e">
            <v>#VALUE!</v>
          </cell>
          <cell r="E47" t="str">
            <v>Jan1900</v>
          </cell>
          <cell r="F47">
            <v>31</v>
          </cell>
          <cell r="G47" t="e">
            <v>#VALUE!</v>
          </cell>
          <cell r="H47">
            <v>1</v>
          </cell>
          <cell r="I47">
            <v>1</v>
          </cell>
          <cell r="J47">
            <v>0</v>
          </cell>
          <cell r="K47" t="str">
            <v>0Jan1900</v>
          </cell>
          <cell r="L47" t="str">
            <v>Buildings</v>
          </cell>
          <cell r="M47" t="str">
            <v>BuildingsJan1900</v>
          </cell>
          <cell r="N47">
            <v>0</v>
          </cell>
          <cell r="O47">
            <v>0</v>
          </cell>
          <cell r="Q47" t="e">
            <v>#VALUE!</v>
          </cell>
          <cell r="R47">
            <v>0</v>
          </cell>
          <cell r="S47" t="str">
            <v>Jan1900</v>
          </cell>
          <cell r="T47" t="str">
            <v>Jan1900</v>
          </cell>
          <cell r="U47" t="e">
            <v>#VALUE!</v>
          </cell>
          <cell r="V47" t="e">
            <v>#VALUE!</v>
          </cell>
          <cell r="W47" t="str">
            <v/>
          </cell>
          <cell r="X47" t="str">
            <v>INV-9900</v>
          </cell>
          <cell r="Y47" t="str">
            <v>Jan</v>
          </cell>
          <cell r="Z47">
            <v>1900</v>
          </cell>
          <cell r="AA47" t="str">
            <v>9900</v>
          </cell>
          <cell r="AB47" t="str">
            <v>9900-29</v>
          </cell>
          <cell r="AC47">
            <v>29</v>
          </cell>
          <cell r="AD47">
            <v>0</v>
          </cell>
          <cell r="AE47">
            <v>0</v>
          </cell>
          <cell r="AF47" t="str">
            <v/>
          </cell>
          <cell r="AG47" t="str">
            <v/>
          </cell>
          <cell r="AH47">
            <v>1</v>
          </cell>
          <cell r="AI47">
            <v>1</v>
          </cell>
          <cell r="AK47" t="str">
            <v>INV--9900-29</v>
          </cell>
          <cell r="AL47">
            <v>0</v>
          </cell>
          <cell r="AN47" t="str">
            <v>INVOICE</v>
          </cell>
          <cell r="AR47" t="str">
            <v/>
          </cell>
          <cell r="AS47" t="str">
            <v/>
          </cell>
          <cell r="AT47" t="str">
            <v/>
          </cell>
          <cell r="AU47" t="str">
            <v/>
          </cell>
          <cell r="AV47" t="str">
            <v/>
          </cell>
          <cell r="AW47" t="str">
            <v/>
          </cell>
          <cell r="AX47" t="str">
            <v/>
          </cell>
          <cell r="AY47" t="str">
            <v/>
          </cell>
          <cell r="AZ47" t="str">
            <v/>
          </cell>
          <cell r="BB47" t="str">
            <v/>
          </cell>
          <cell r="BC47" t="str">
            <v/>
          </cell>
          <cell r="BF47" t="str">
            <v/>
          </cell>
          <cell r="BI47">
            <v>0</v>
          </cell>
          <cell r="BJ47">
            <v>0</v>
          </cell>
          <cell r="BK47">
            <v>30</v>
          </cell>
          <cell r="BP47" t="str">
            <v/>
          </cell>
          <cell r="BQ47" t="str">
            <v/>
          </cell>
          <cell r="BR47" t="str">
            <v/>
          </cell>
          <cell r="BS47" t="str">
            <v/>
          </cell>
        </row>
        <row r="48">
          <cell r="B48" t="str">
            <v>INV--9900-30</v>
          </cell>
          <cell r="C48" t="str">
            <v/>
          </cell>
          <cell r="D48" t="e">
            <v>#VALUE!</v>
          </cell>
          <cell r="E48" t="str">
            <v>Jan1900</v>
          </cell>
          <cell r="F48">
            <v>31</v>
          </cell>
          <cell r="G48" t="e">
            <v>#VALUE!</v>
          </cell>
          <cell r="H48">
            <v>1</v>
          </cell>
          <cell r="I48">
            <v>1</v>
          </cell>
          <cell r="J48">
            <v>0</v>
          </cell>
          <cell r="K48" t="str">
            <v>0Jan1900</v>
          </cell>
          <cell r="L48" t="str">
            <v>Buildings</v>
          </cell>
          <cell r="M48" t="str">
            <v>BuildingsJan1900</v>
          </cell>
          <cell r="N48">
            <v>0</v>
          </cell>
          <cell r="O48">
            <v>0</v>
          </cell>
          <cell r="Q48" t="e">
            <v>#VALUE!</v>
          </cell>
          <cell r="R48">
            <v>0</v>
          </cell>
          <cell r="S48" t="str">
            <v>Jan1900</v>
          </cell>
          <cell r="T48" t="str">
            <v>Jan1900</v>
          </cell>
          <cell r="U48" t="e">
            <v>#VALUE!</v>
          </cell>
          <cell r="V48" t="e">
            <v>#VALUE!</v>
          </cell>
          <cell r="W48" t="str">
            <v/>
          </cell>
          <cell r="X48" t="str">
            <v>INV-9900</v>
          </cell>
          <cell r="Y48" t="str">
            <v>Jan</v>
          </cell>
          <cell r="Z48">
            <v>1900</v>
          </cell>
          <cell r="AA48" t="str">
            <v>9900</v>
          </cell>
          <cell r="AB48" t="str">
            <v>9900-30</v>
          </cell>
          <cell r="AC48">
            <v>30</v>
          </cell>
          <cell r="AD48">
            <v>0</v>
          </cell>
          <cell r="AE48">
            <v>0</v>
          </cell>
          <cell r="AF48" t="str">
            <v/>
          </cell>
          <cell r="AG48" t="str">
            <v/>
          </cell>
          <cell r="AH48">
            <v>1</v>
          </cell>
          <cell r="AI48">
            <v>1</v>
          </cell>
          <cell r="AK48" t="str">
            <v>INV--9900-30</v>
          </cell>
          <cell r="AL48">
            <v>0</v>
          </cell>
          <cell r="AN48" t="str">
            <v>INVOICE</v>
          </cell>
          <cell r="AR48" t="str">
            <v/>
          </cell>
          <cell r="AS48" t="str">
            <v/>
          </cell>
          <cell r="AT48" t="str">
            <v/>
          </cell>
          <cell r="AU48" t="str">
            <v/>
          </cell>
          <cell r="AV48" t="str">
            <v/>
          </cell>
          <cell r="AW48" t="str">
            <v/>
          </cell>
          <cell r="AX48" t="str">
            <v/>
          </cell>
          <cell r="AY48" t="str">
            <v/>
          </cell>
          <cell r="AZ48" t="str">
            <v/>
          </cell>
          <cell r="BB48" t="str">
            <v/>
          </cell>
          <cell r="BC48" t="str">
            <v/>
          </cell>
          <cell r="BF48" t="str">
            <v/>
          </cell>
          <cell r="BI48">
            <v>0</v>
          </cell>
          <cell r="BJ48">
            <v>0</v>
          </cell>
          <cell r="BK48">
            <v>30</v>
          </cell>
          <cell r="BP48" t="str">
            <v/>
          </cell>
          <cell r="BQ48" t="str">
            <v/>
          </cell>
          <cell r="BR48" t="str">
            <v/>
          </cell>
          <cell r="BS48" t="str">
            <v/>
          </cell>
        </row>
        <row r="49">
          <cell r="B49" t="str">
            <v>INV--9900-31</v>
          </cell>
          <cell r="C49" t="str">
            <v/>
          </cell>
          <cell r="D49" t="e">
            <v>#VALUE!</v>
          </cell>
          <cell r="E49" t="str">
            <v>Jan1900</v>
          </cell>
          <cell r="F49">
            <v>31</v>
          </cell>
          <cell r="G49" t="e">
            <v>#VALUE!</v>
          </cell>
          <cell r="H49">
            <v>1</v>
          </cell>
          <cell r="I49">
            <v>1</v>
          </cell>
          <cell r="J49">
            <v>0</v>
          </cell>
          <cell r="K49" t="str">
            <v>0Jan1900</v>
          </cell>
          <cell r="L49" t="str">
            <v>Buildings</v>
          </cell>
          <cell r="M49" t="str">
            <v>BuildingsJan1900</v>
          </cell>
          <cell r="N49">
            <v>0</v>
          </cell>
          <cell r="O49">
            <v>0</v>
          </cell>
          <cell r="Q49" t="e">
            <v>#VALUE!</v>
          </cell>
          <cell r="R49">
            <v>0</v>
          </cell>
          <cell r="S49" t="str">
            <v>Jan1900</v>
          </cell>
          <cell r="T49" t="str">
            <v>Jan1900</v>
          </cell>
          <cell r="U49" t="e">
            <v>#VALUE!</v>
          </cell>
          <cell r="V49" t="e">
            <v>#VALUE!</v>
          </cell>
          <cell r="W49" t="str">
            <v/>
          </cell>
          <cell r="X49" t="str">
            <v>INV-9900</v>
          </cell>
          <cell r="Y49" t="str">
            <v>Jan</v>
          </cell>
          <cell r="Z49">
            <v>1900</v>
          </cell>
          <cell r="AA49" t="str">
            <v>9900</v>
          </cell>
          <cell r="AB49" t="str">
            <v>9900-31</v>
          </cell>
          <cell r="AC49">
            <v>31</v>
          </cell>
          <cell r="AD49">
            <v>0</v>
          </cell>
          <cell r="AE49">
            <v>0</v>
          </cell>
          <cell r="AF49" t="str">
            <v/>
          </cell>
          <cell r="AG49" t="str">
            <v/>
          </cell>
          <cell r="AH49">
            <v>1</v>
          </cell>
          <cell r="AI49">
            <v>1</v>
          </cell>
          <cell r="AK49" t="str">
            <v>INV--9900-31</v>
          </cell>
          <cell r="AL49">
            <v>0</v>
          </cell>
          <cell r="AN49" t="str">
            <v>INVOICE</v>
          </cell>
          <cell r="AR49" t="str">
            <v/>
          </cell>
          <cell r="AS49" t="str">
            <v/>
          </cell>
          <cell r="AT49" t="str">
            <v/>
          </cell>
          <cell r="AU49" t="str">
            <v/>
          </cell>
          <cell r="AV49" t="str">
            <v/>
          </cell>
          <cell r="AW49" t="str">
            <v/>
          </cell>
          <cell r="AX49" t="str">
            <v/>
          </cell>
          <cell r="AY49" t="str">
            <v/>
          </cell>
          <cell r="AZ49" t="str">
            <v/>
          </cell>
          <cell r="BB49" t="str">
            <v/>
          </cell>
          <cell r="BC49" t="str">
            <v/>
          </cell>
          <cell r="BF49" t="str">
            <v/>
          </cell>
          <cell r="BI49">
            <v>0</v>
          </cell>
          <cell r="BJ49">
            <v>0</v>
          </cell>
          <cell r="BK49">
            <v>30</v>
          </cell>
          <cell r="BP49" t="str">
            <v/>
          </cell>
          <cell r="BQ49" t="str">
            <v/>
          </cell>
          <cell r="BR49" t="str">
            <v/>
          </cell>
          <cell r="BS49" t="str">
            <v/>
          </cell>
        </row>
        <row r="50">
          <cell r="B50" t="str">
            <v>INV--9900-32</v>
          </cell>
          <cell r="C50" t="str">
            <v/>
          </cell>
          <cell r="D50" t="e">
            <v>#VALUE!</v>
          </cell>
          <cell r="E50" t="str">
            <v>Jan1900</v>
          </cell>
          <cell r="F50">
            <v>31</v>
          </cell>
          <cell r="G50" t="e">
            <v>#VALUE!</v>
          </cell>
          <cell r="H50">
            <v>1</v>
          </cell>
          <cell r="I50">
            <v>1</v>
          </cell>
          <cell r="J50">
            <v>0</v>
          </cell>
          <cell r="K50" t="str">
            <v>0Jan1900</v>
          </cell>
          <cell r="L50" t="str">
            <v>Buildings</v>
          </cell>
          <cell r="M50" t="str">
            <v>BuildingsJan1900</v>
          </cell>
          <cell r="N50">
            <v>0</v>
          </cell>
          <cell r="O50">
            <v>0</v>
          </cell>
          <cell r="Q50" t="e">
            <v>#VALUE!</v>
          </cell>
          <cell r="R50">
            <v>0</v>
          </cell>
          <cell r="S50" t="str">
            <v>Jan1900</v>
          </cell>
          <cell r="T50" t="str">
            <v>Jan1900</v>
          </cell>
          <cell r="U50" t="e">
            <v>#VALUE!</v>
          </cell>
          <cell r="V50" t="e">
            <v>#VALUE!</v>
          </cell>
          <cell r="W50" t="str">
            <v/>
          </cell>
          <cell r="X50" t="str">
            <v>INV-9900</v>
          </cell>
          <cell r="Y50" t="str">
            <v>Jan</v>
          </cell>
          <cell r="Z50">
            <v>1900</v>
          </cell>
          <cell r="AA50" t="str">
            <v>9900</v>
          </cell>
          <cell r="AB50" t="str">
            <v>9900-32</v>
          </cell>
          <cell r="AC50">
            <v>32</v>
          </cell>
          <cell r="AD50">
            <v>0</v>
          </cell>
          <cell r="AE50">
            <v>0</v>
          </cell>
          <cell r="AF50" t="str">
            <v/>
          </cell>
          <cell r="AG50" t="str">
            <v/>
          </cell>
          <cell r="AH50">
            <v>1</v>
          </cell>
          <cell r="AI50">
            <v>1</v>
          </cell>
          <cell r="AK50" t="str">
            <v>INV--9900-32</v>
          </cell>
          <cell r="AL50">
            <v>0</v>
          </cell>
          <cell r="AN50" t="str">
            <v>INVOICE</v>
          </cell>
          <cell r="AR50" t="str">
            <v/>
          </cell>
          <cell r="AS50" t="str">
            <v/>
          </cell>
          <cell r="AT50" t="str">
            <v/>
          </cell>
          <cell r="AU50" t="str">
            <v/>
          </cell>
          <cell r="AV50" t="str">
            <v/>
          </cell>
          <cell r="AW50" t="str">
            <v/>
          </cell>
          <cell r="AX50" t="str">
            <v/>
          </cell>
          <cell r="AY50" t="str">
            <v/>
          </cell>
          <cell r="AZ50" t="str">
            <v/>
          </cell>
          <cell r="BB50" t="str">
            <v/>
          </cell>
          <cell r="BC50" t="str">
            <v/>
          </cell>
          <cell r="BF50" t="str">
            <v/>
          </cell>
          <cell r="BI50">
            <v>0</v>
          </cell>
          <cell r="BJ50">
            <v>0</v>
          </cell>
          <cell r="BK50">
            <v>30</v>
          </cell>
          <cell r="BP50" t="str">
            <v/>
          </cell>
          <cell r="BQ50" t="str">
            <v/>
          </cell>
          <cell r="BR50" t="str">
            <v/>
          </cell>
          <cell r="BS50" t="str">
            <v/>
          </cell>
        </row>
        <row r="51">
          <cell r="B51" t="str">
            <v>INV--9900-33</v>
          </cell>
          <cell r="C51" t="str">
            <v/>
          </cell>
          <cell r="D51" t="e">
            <v>#VALUE!</v>
          </cell>
          <cell r="E51" t="str">
            <v>Jan1900</v>
          </cell>
          <cell r="F51">
            <v>31</v>
          </cell>
          <cell r="G51" t="e">
            <v>#VALUE!</v>
          </cell>
          <cell r="H51">
            <v>1</v>
          </cell>
          <cell r="I51">
            <v>1</v>
          </cell>
          <cell r="J51">
            <v>0</v>
          </cell>
          <cell r="K51" t="str">
            <v>0Jan1900</v>
          </cell>
          <cell r="L51" t="str">
            <v>Buildings</v>
          </cell>
          <cell r="M51" t="str">
            <v>BuildingsJan1900</v>
          </cell>
          <cell r="N51">
            <v>0</v>
          </cell>
          <cell r="O51">
            <v>0</v>
          </cell>
          <cell r="Q51" t="e">
            <v>#VALUE!</v>
          </cell>
          <cell r="R51">
            <v>0</v>
          </cell>
          <cell r="S51" t="str">
            <v>Jan1900</v>
          </cell>
          <cell r="T51" t="str">
            <v>Jan1900</v>
          </cell>
          <cell r="U51" t="e">
            <v>#VALUE!</v>
          </cell>
          <cell r="V51" t="e">
            <v>#VALUE!</v>
          </cell>
          <cell r="W51" t="str">
            <v/>
          </cell>
          <cell r="X51" t="str">
            <v>INV-9900</v>
          </cell>
          <cell r="Y51" t="str">
            <v>Jan</v>
          </cell>
          <cell r="Z51">
            <v>1900</v>
          </cell>
          <cell r="AA51" t="str">
            <v>9900</v>
          </cell>
          <cell r="AB51" t="str">
            <v>9900-33</v>
          </cell>
          <cell r="AC51">
            <v>33</v>
          </cell>
          <cell r="AD51">
            <v>0</v>
          </cell>
          <cell r="AE51">
            <v>0</v>
          </cell>
          <cell r="AF51" t="str">
            <v/>
          </cell>
          <cell r="AG51" t="str">
            <v/>
          </cell>
          <cell r="AH51">
            <v>1</v>
          </cell>
          <cell r="AI51">
            <v>1</v>
          </cell>
          <cell r="AK51" t="str">
            <v>INV--9900-33</v>
          </cell>
          <cell r="AL51">
            <v>0</v>
          </cell>
          <cell r="AN51" t="str">
            <v>INVOICE</v>
          </cell>
          <cell r="AR51" t="str">
            <v/>
          </cell>
          <cell r="AS51" t="str">
            <v/>
          </cell>
          <cell r="AT51" t="str">
            <v/>
          </cell>
          <cell r="AU51" t="str">
            <v/>
          </cell>
          <cell r="AV51" t="str">
            <v/>
          </cell>
          <cell r="AW51" t="str">
            <v/>
          </cell>
          <cell r="AX51" t="str">
            <v/>
          </cell>
          <cell r="AY51" t="str">
            <v/>
          </cell>
          <cell r="AZ51" t="str">
            <v/>
          </cell>
          <cell r="BB51" t="str">
            <v/>
          </cell>
          <cell r="BC51" t="str">
            <v/>
          </cell>
          <cell r="BF51" t="str">
            <v/>
          </cell>
          <cell r="BI51">
            <v>0</v>
          </cell>
          <cell r="BJ51">
            <v>0</v>
          </cell>
          <cell r="BK51">
            <v>30</v>
          </cell>
          <cell r="BP51" t="str">
            <v/>
          </cell>
          <cell r="BQ51" t="str">
            <v/>
          </cell>
          <cell r="BR51" t="str">
            <v/>
          </cell>
          <cell r="BS51" t="str">
            <v/>
          </cell>
        </row>
        <row r="52">
          <cell r="B52" t="str">
            <v>INV--9900-34</v>
          </cell>
          <cell r="C52" t="str">
            <v/>
          </cell>
          <cell r="D52" t="e">
            <v>#VALUE!</v>
          </cell>
          <cell r="E52" t="str">
            <v>Jan1900</v>
          </cell>
          <cell r="F52">
            <v>31</v>
          </cell>
          <cell r="G52" t="e">
            <v>#VALUE!</v>
          </cell>
          <cell r="H52">
            <v>1</v>
          </cell>
          <cell r="I52">
            <v>1</v>
          </cell>
          <cell r="J52">
            <v>0</v>
          </cell>
          <cell r="K52" t="str">
            <v>0Jan1900</v>
          </cell>
          <cell r="L52" t="str">
            <v>Buildings</v>
          </cell>
          <cell r="M52" t="str">
            <v>BuildingsJan1900</v>
          </cell>
          <cell r="N52">
            <v>0</v>
          </cell>
          <cell r="O52">
            <v>0</v>
          </cell>
          <cell r="Q52" t="e">
            <v>#VALUE!</v>
          </cell>
          <cell r="R52">
            <v>0</v>
          </cell>
          <cell r="S52" t="str">
            <v>Jan1900</v>
          </cell>
          <cell r="T52" t="str">
            <v>Jan1900</v>
          </cell>
          <cell r="U52" t="e">
            <v>#VALUE!</v>
          </cell>
          <cell r="V52" t="e">
            <v>#VALUE!</v>
          </cell>
          <cell r="W52" t="str">
            <v/>
          </cell>
          <cell r="X52" t="str">
            <v>INV-9900</v>
          </cell>
          <cell r="Y52" t="str">
            <v>Jan</v>
          </cell>
          <cell r="Z52">
            <v>1900</v>
          </cell>
          <cell r="AA52" t="str">
            <v>9900</v>
          </cell>
          <cell r="AB52" t="str">
            <v>9900-34</v>
          </cell>
          <cell r="AC52">
            <v>34</v>
          </cell>
          <cell r="AD52">
            <v>0</v>
          </cell>
          <cell r="AE52">
            <v>0</v>
          </cell>
          <cell r="AF52" t="str">
            <v/>
          </cell>
          <cell r="AG52" t="str">
            <v/>
          </cell>
          <cell r="AH52">
            <v>1</v>
          </cell>
          <cell r="AI52">
            <v>1</v>
          </cell>
          <cell r="AK52" t="str">
            <v>INV--9900-34</v>
          </cell>
          <cell r="AL52">
            <v>0</v>
          </cell>
          <cell r="AN52" t="str">
            <v>INVOICE</v>
          </cell>
          <cell r="AR52" t="str">
            <v/>
          </cell>
          <cell r="AS52" t="str">
            <v/>
          </cell>
          <cell r="AT52" t="str">
            <v/>
          </cell>
          <cell r="AU52" t="str">
            <v/>
          </cell>
          <cell r="AV52" t="str">
            <v/>
          </cell>
          <cell r="AW52" t="str">
            <v/>
          </cell>
          <cell r="AX52" t="str">
            <v/>
          </cell>
          <cell r="AY52" t="str">
            <v/>
          </cell>
          <cell r="AZ52" t="str">
            <v/>
          </cell>
          <cell r="BB52" t="str">
            <v/>
          </cell>
          <cell r="BC52" t="str">
            <v/>
          </cell>
          <cell r="BF52" t="str">
            <v/>
          </cell>
          <cell r="BI52">
            <v>0</v>
          </cell>
          <cell r="BJ52">
            <v>0</v>
          </cell>
          <cell r="BK52">
            <v>30</v>
          </cell>
          <cell r="BP52" t="str">
            <v/>
          </cell>
          <cell r="BQ52" t="str">
            <v/>
          </cell>
          <cell r="BR52" t="str">
            <v/>
          </cell>
          <cell r="BS52" t="str">
            <v/>
          </cell>
        </row>
        <row r="53">
          <cell r="B53" t="str">
            <v>INV--9900-35</v>
          </cell>
          <cell r="C53" t="str">
            <v/>
          </cell>
          <cell r="D53" t="e">
            <v>#VALUE!</v>
          </cell>
          <cell r="E53" t="str">
            <v>Jan1900</v>
          </cell>
          <cell r="F53">
            <v>31</v>
          </cell>
          <cell r="G53" t="e">
            <v>#VALUE!</v>
          </cell>
          <cell r="H53">
            <v>1</v>
          </cell>
          <cell r="I53">
            <v>1</v>
          </cell>
          <cell r="J53">
            <v>0</v>
          </cell>
          <cell r="K53" t="str">
            <v>0Jan1900</v>
          </cell>
          <cell r="L53" t="str">
            <v>Buildings</v>
          </cell>
          <cell r="M53" t="str">
            <v>BuildingsJan1900</v>
          </cell>
          <cell r="N53">
            <v>0</v>
          </cell>
          <cell r="O53">
            <v>0</v>
          </cell>
          <cell r="Q53" t="e">
            <v>#VALUE!</v>
          </cell>
          <cell r="R53">
            <v>0</v>
          </cell>
          <cell r="S53" t="str">
            <v>Jan1900</v>
          </cell>
          <cell r="T53" t="str">
            <v>Jan1900</v>
          </cell>
          <cell r="U53" t="e">
            <v>#VALUE!</v>
          </cell>
          <cell r="V53" t="e">
            <v>#VALUE!</v>
          </cell>
          <cell r="W53" t="str">
            <v/>
          </cell>
          <cell r="X53" t="str">
            <v>INV-9900</v>
          </cell>
          <cell r="Y53" t="str">
            <v>Jan</v>
          </cell>
          <cell r="Z53">
            <v>1900</v>
          </cell>
          <cell r="AA53" t="str">
            <v>9900</v>
          </cell>
          <cell r="AB53" t="str">
            <v>9900-35</v>
          </cell>
          <cell r="AC53">
            <v>35</v>
          </cell>
          <cell r="AD53">
            <v>0</v>
          </cell>
          <cell r="AE53">
            <v>0</v>
          </cell>
          <cell r="AF53" t="str">
            <v/>
          </cell>
          <cell r="AG53" t="str">
            <v/>
          </cell>
          <cell r="AH53">
            <v>1</v>
          </cell>
          <cell r="AI53">
            <v>1</v>
          </cell>
          <cell r="AK53" t="str">
            <v>INV--9900-35</v>
          </cell>
          <cell r="AL53">
            <v>0</v>
          </cell>
          <cell r="AN53" t="str">
            <v>INVOICE</v>
          </cell>
          <cell r="AR53" t="str">
            <v/>
          </cell>
          <cell r="AS53" t="str">
            <v/>
          </cell>
          <cell r="AT53" t="str">
            <v/>
          </cell>
          <cell r="AU53" t="str">
            <v/>
          </cell>
          <cell r="AV53" t="str">
            <v/>
          </cell>
          <cell r="AW53" t="str">
            <v/>
          </cell>
          <cell r="AX53" t="str">
            <v/>
          </cell>
          <cell r="AY53" t="str">
            <v/>
          </cell>
          <cell r="AZ53" t="str">
            <v/>
          </cell>
          <cell r="BB53" t="str">
            <v/>
          </cell>
          <cell r="BC53" t="str">
            <v/>
          </cell>
          <cell r="BF53" t="str">
            <v/>
          </cell>
          <cell r="BI53">
            <v>0</v>
          </cell>
          <cell r="BJ53">
            <v>0</v>
          </cell>
          <cell r="BK53">
            <v>30</v>
          </cell>
          <cell r="BP53" t="str">
            <v/>
          </cell>
          <cell r="BQ53" t="str">
            <v/>
          </cell>
          <cell r="BR53" t="str">
            <v/>
          </cell>
          <cell r="BS53" t="str">
            <v/>
          </cell>
        </row>
        <row r="54">
          <cell r="B54" t="str">
            <v>INV--9900-36</v>
          </cell>
          <cell r="C54" t="str">
            <v/>
          </cell>
          <cell r="D54" t="e">
            <v>#VALUE!</v>
          </cell>
          <cell r="E54" t="str">
            <v>Jan1900</v>
          </cell>
          <cell r="F54">
            <v>31</v>
          </cell>
          <cell r="G54" t="e">
            <v>#VALUE!</v>
          </cell>
          <cell r="H54">
            <v>1</v>
          </cell>
          <cell r="I54">
            <v>1</v>
          </cell>
          <cell r="J54">
            <v>0</v>
          </cell>
          <cell r="K54" t="str">
            <v>0Jan1900</v>
          </cell>
          <cell r="L54" t="str">
            <v>Buildings</v>
          </cell>
          <cell r="M54" t="str">
            <v>BuildingsJan1900</v>
          </cell>
          <cell r="N54">
            <v>0</v>
          </cell>
          <cell r="O54">
            <v>0</v>
          </cell>
          <cell r="Q54" t="e">
            <v>#VALUE!</v>
          </cell>
          <cell r="R54">
            <v>0</v>
          </cell>
          <cell r="S54" t="str">
            <v>Jan1900</v>
          </cell>
          <cell r="T54" t="str">
            <v>Jan1900</v>
          </cell>
          <cell r="U54" t="e">
            <v>#VALUE!</v>
          </cell>
          <cell r="V54" t="e">
            <v>#VALUE!</v>
          </cell>
          <cell r="W54" t="str">
            <v/>
          </cell>
          <cell r="X54" t="str">
            <v>INV-9900</v>
          </cell>
          <cell r="Y54" t="str">
            <v>Jan</v>
          </cell>
          <cell r="Z54">
            <v>1900</v>
          </cell>
          <cell r="AA54" t="str">
            <v>9900</v>
          </cell>
          <cell r="AB54" t="str">
            <v>9900-36</v>
          </cell>
          <cell r="AC54">
            <v>36</v>
          </cell>
          <cell r="AD54">
            <v>0</v>
          </cell>
          <cell r="AE54">
            <v>0</v>
          </cell>
          <cell r="AF54" t="str">
            <v/>
          </cell>
          <cell r="AG54" t="str">
            <v/>
          </cell>
          <cell r="AH54">
            <v>1</v>
          </cell>
          <cell r="AI54">
            <v>1</v>
          </cell>
          <cell r="AK54" t="str">
            <v>INV--9900-36</v>
          </cell>
          <cell r="AL54">
            <v>0</v>
          </cell>
          <cell r="AN54" t="str">
            <v>INVOICE</v>
          </cell>
          <cell r="AR54" t="str">
            <v/>
          </cell>
          <cell r="AS54" t="str">
            <v/>
          </cell>
          <cell r="AT54" t="str">
            <v/>
          </cell>
          <cell r="AU54" t="str">
            <v/>
          </cell>
          <cell r="AV54" t="str">
            <v/>
          </cell>
          <cell r="AW54" t="str">
            <v/>
          </cell>
          <cell r="AX54" t="str">
            <v/>
          </cell>
          <cell r="AY54" t="str">
            <v/>
          </cell>
          <cell r="AZ54" t="str">
            <v/>
          </cell>
          <cell r="BB54" t="str">
            <v/>
          </cell>
          <cell r="BC54" t="str">
            <v/>
          </cell>
          <cell r="BF54" t="str">
            <v/>
          </cell>
          <cell r="BI54">
            <v>0</v>
          </cell>
          <cell r="BJ54">
            <v>0</v>
          </cell>
          <cell r="BK54">
            <v>30</v>
          </cell>
          <cell r="BP54" t="str">
            <v/>
          </cell>
          <cell r="BQ54" t="str">
            <v/>
          </cell>
          <cell r="BR54" t="str">
            <v/>
          </cell>
          <cell r="BS54" t="str">
            <v/>
          </cell>
        </row>
        <row r="55">
          <cell r="B55" t="str">
            <v>INV--9900-37</v>
          </cell>
          <cell r="C55" t="str">
            <v/>
          </cell>
          <cell r="D55" t="e">
            <v>#VALUE!</v>
          </cell>
          <cell r="E55" t="str">
            <v>Jan1900</v>
          </cell>
          <cell r="F55">
            <v>31</v>
          </cell>
          <cell r="G55" t="e">
            <v>#VALUE!</v>
          </cell>
          <cell r="H55">
            <v>1</v>
          </cell>
          <cell r="I55">
            <v>1</v>
          </cell>
          <cell r="J55">
            <v>0</v>
          </cell>
          <cell r="K55" t="str">
            <v>0Jan1900</v>
          </cell>
          <cell r="L55" t="str">
            <v>Buildings</v>
          </cell>
          <cell r="M55" t="str">
            <v>BuildingsJan1900</v>
          </cell>
          <cell r="N55">
            <v>0</v>
          </cell>
          <cell r="O55">
            <v>0</v>
          </cell>
          <cell r="Q55" t="e">
            <v>#VALUE!</v>
          </cell>
          <cell r="R55">
            <v>0</v>
          </cell>
          <cell r="S55" t="str">
            <v>Jan1900</v>
          </cell>
          <cell r="T55" t="str">
            <v>Jan1900</v>
          </cell>
          <cell r="U55" t="e">
            <v>#VALUE!</v>
          </cell>
          <cell r="V55" t="e">
            <v>#VALUE!</v>
          </cell>
          <cell r="W55" t="str">
            <v/>
          </cell>
          <cell r="X55" t="str">
            <v>INV-9900</v>
          </cell>
          <cell r="Y55" t="str">
            <v>Jan</v>
          </cell>
          <cell r="Z55">
            <v>1900</v>
          </cell>
          <cell r="AA55" t="str">
            <v>9900</v>
          </cell>
          <cell r="AB55" t="str">
            <v>9900-37</v>
          </cell>
          <cell r="AC55">
            <v>37</v>
          </cell>
          <cell r="AD55">
            <v>0</v>
          </cell>
          <cell r="AE55">
            <v>0</v>
          </cell>
          <cell r="AF55" t="str">
            <v/>
          </cell>
          <cell r="AG55" t="str">
            <v/>
          </cell>
          <cell r="AH55">
            <v>1</v>
          </cell>
          <cell r="AI55">
            <v>1</v>
          </cell>
          <cell r="AK55" t="str">
            <v>INV--9900-37</v>
          </cell>
          <cell r="AL55">
            <v>0</v>
          </cell>
          <cell r="AN55" t="str">
            <v>INVOICE</v>
          </cell>
          <cell r="AR55" t="str">
            <v/>
          </cell>
          <cell r="AS55" t="str">
            <v/>
          </cell>
          <cell r="AT55" t="str">
            <v/>
          </cell>
          <cell r="AU55" t="str">
            <v/>
          </cell>
          <cell r="AV55" t="str">
            <v/>
          </cell>
          <cell r="AW55" t="str">
            <v/>
          </cell>
          <cell r="AX55" t="str">
            <v/>
          </cell>
          <cell r="AY55" t="str">
            <v/>
          </cell>
          <cell r="AZ55" t="str">
            <v/>
          </cell>
          <cell r="BB55" t="str">
            <v/>
          </cell>
          <cell r="BC55" t="str">
            <v/>
          </cell>
          <cell r="BF55" t="str">
            <v/>
          </cell>
          <cell r="BI55">
            <v>0</v>
          </cell>
          <cell r="BJ55">
            <v>0</v>
          </cell>
          <cell r="BK55">
            <v>30</v>
          </cell>
          <cell r="BP55" t="str">
            <v/>
          </cell>
          <cell r="BQ55" t="str">
            <v/>
          </cell>
          <cell r="BR55" t="str">
            <v/>
          </cell>
          <cell r="BS55" t="str">
            <v/>
          </cell>
        </row>
        <row r="56">
          <cell r="B56" t="str">
            <v>INV--9900-38</v>
          </cell>
          <cell r="C56" t="str">
            <v/>
          </cell>
          <cell r="D56" t="e">
            <v>#VALUE!</v>
          </cell>
          <cell r="E56" t="str">
            <v>Jan1900</v>
          </cell>
          <cell r="F56">
            <v>31</v>
          </cell>
          <cell r="G56" t="e">
            <v>#VALUE!</v>
          </cell>
          <cell r="H56">
            <v>1</v>
          </cell>
          <cell r="I56">
            <v>1</v>
          </cell>
          <cell r="J56">
            <v>0</v>
          </cell>
          <cell r="K56" t="str">
            <v>0Jan1900</v>
          </cell>
          <cell r="L56" t="str">
            <v>Buildings</v>
          </cell>
          <cell r="M56" t="str">
            <v>BuildingsJan1900</v>
          </cell>
          <cell r="N56">
            <v>0</v>
          </cell>
          <cell r="O56">
            <v>0</v>
          </cell>
          <cell r="Q56" t="e">
            <v>#VALUE!</v>
          </cell>
          <cell r="R56">
            <v>0</v>
          </cell>
          <cell r="S56" t="str">
            <v>Jan1900</v>
          </cell>
          <cell r="T56" t="str">
            <v>Jan1900</v>
          </cell>
          <cell r="U56" t="e">
            <v>#VALUE!</v>
          </cell>
          <cell r="V56" t="e">
            <v>#VALUE!</v>
          </cell>
          <cell r="W56" t="str">
            <v/>
          </cell>
          <cell r="X56" t="str">
            <v>INV-9900</v>
          </cell>
          <cell r="Y56" t="str">
            <v>Jan</v>
          </cell>
          <cell r="Z56">
            <v>1900</v>
          </cell>
          <cell r="AA56" t="str">
            <v>9900</v>
          </cell>
          <cell r="AB56" t="str">
            <v>9900-38</v>
          </cell>
          <cell r="AC56">
            <v>38</v>
          </cell>
          <cell r="AD56">
            <v>0</v>
          </cell>
          <cell r="AE56">
            <v>0</v>
          </cell>
          <cell r="AF56" t="str">
            <v/>
          </cell>
          <cell r="AG56" t="str">
            <v/>
          </cell>
          <cell r="AH56">
            <v>1</v>
          </cell>
          <cell r="AI56">
            <v>1</v>
          </cell>
          <cell r="AK56" t="str">
            <v>INV--9900-38</v>
          </cell>
          <cell r="AL56">
            <v>0</v>
          </cell>
          <cell r="AN56" t="str">
            <v>INVOICE</v>
          </cell>
          <cell r="AR56" t="str">
            <v/>
          </cell>
          <cell r="AS56" t="str">
            <v/>
          </cell>
          <cell r="AT56" t="str">
            <v/>
          </cell>
          <cell r="AU56" t="str">
            <v/>
          </cell>
          <cell r="AV56" t="str">
            <v/>
          </cell>
          <cell r="AW56" t="str">
            <v/>
          </cell>
          <cell r="AX56" t="str">
            <v/>
          </cell>
          <cell r="AY56" t="str">
            <v/>
          </cell>
          <cell r="AZ56" t="str">
            <v/>
          </cell>
          <cell r="BB56" t="str">
            <v/>
          </cell>
          <cell r="BC56" t="str">
            <v/>
          </cell>
          <cell r="BF56" t="str">
            <v/>
          </cell>
          <cell r="BI56">
            <v>0</v>
          </cell>
          <cell r="BJ56">
            <v>0</v>
          </cell>
          <cell r="BK56">
            <v>30</v>
          </cell>
          <cell r="BP56" t="str">
            <v/>
          </cell>
          <cell r="BQ56" t="str">
            <v/>
          </cell>
          <cell r="BR56" t="str">
            <v/>
          </cell>
          <cell r="BS56" t="str">
            <v/>
          </cell>
        </row>
        <row r="57">
          <cell r="B57" t="str">
            <v>INV--9900-39</v>
          </cell>
          <cell r="C57" t="str">
            <v/>
          </cell>
          <cell r="D57" t="e">
            <v>#VALUE!</v>
          </cell>
          <cell r="E57" t="str">
            <v>Jan1900</v>
          </cell>
          <cell r="F57">
            <v>31</v>
          </cell>
          <cell r="G57" t="e">
            <v>#VALUE!</v>
          </cell>
          <cell r="H57">
            <v>1</v>
          </cell>
          <cell r="I57">
            <v>1</v>
          </cell>
          <cell r="J57">
            <v>0</v>
          </cell>
          <cell r="K57" t="str">
            <v>0Jan1900</v>
          </cell>
          <cell r="L57" t="str">
            <v>Buildings</v>
          </cell>
          <cell r="M57" t="str">
            <v>BuildingsJan1900</v>
          </cell>
          <cell r="N57">
            <v>0</v>
          </cell>
          <cell r="O57">
            <v>0</v>
          </cell>
          <cell r="Q57" t="e">
            <v>#VALUE!</v>
          </cell>
          <cell r="R57">
            <v>0</v>
          </cell>
          <cell r="S57" t="str">
            <v>Jan1900</v>
          </cell>
          <cell r="T57" t="str">
            <v>Jan1900</v>
          </cell>
          <cell r="U57" t="e">
            <v>#VALUE!</v>
          </cell>
          <cell r="V57" t="e">
            <v>#VALUE!</v>
          </cell>
          <cell r="W57" t="str">
            <v/>
          </cell>
          <cell r="X57" t="str">
            <v>INV-9900</v>
          </cell>
          <cell r="Y57" t="str">
            <v>Jan</v>
          </cell>
          <cell r="Z57">
            <v>1900</v>
          </cell>
          <cell r="AA57" t="str">
            <v>9900</v>
          </cell>
          <cell r="AB57" t="str">
            <v>9900-39</v>
          </cell>
          <cell r="AC57">
            <v>39</v>
          </cell>
          <cell r="AD57">
            <v>0</v>
          </cell>
          <cell r="AE57">
            <v>0</v>
          </cell>
          <cell r="AF57" t="str">
            <v/>
          </cell>
          <cell r="AG57" t="str">
            <v/>
          </cell>
          <cell r="AH57">
            <v>1</v>
          </cell>
          <cell r="AI57">
            <v>1</v>
          </cell>
          <cell r="AK57" t="str">
            <v>INV--9900-39</v>
          </cell>
          <cell r="AL57">
            <v>0</v>
          </cell>
          <cell r="AN57" t="str">
            <v>INVOICE</v>
          </cell>
          <cell r="AR57" t="str">
            <v/>
          </cell>
          <cell r="AS57" t="str">
            <v/>
          </cell>
          <cell r="AT57" t="str">
            <v/>
          </cell>
          <cell r="AU57" t="str">
            <v/>
          </cell>
          <cell r="AV57" t="str">
            <v/>
          </cell>
          <cell r="AW57" t="str">
            <v/>
          </cell>
          <cell r="AX57" t="str">
            <v/>
          </cell>
          <cell r="AY57" t="str">
            <v/>
          </cell>
          <cell r="AZ57" t="str">
            <v/>
          </cell>
          <cell r="BB57" t="str">
            <v/>
          </cell>
          <cell r="BC57" t="str">
            <v/>
          </cell>
          <cell r="BF57" t="str">
            <v/>
          </cell>
          <cell r="BI57">
            <v>0</v>
          </cell>
          <cell r="BJ57">
            <v>0</v>
          </cell>
          <cell r="BK57">
            <v>30</v>
          </cell>
          <cell r="BP57" t="str">
            <v/>
          </cell>
          <cell r="BQ57" t="str">
            <v/>
          </cell>
          <cell r="BR57" t="str">
            <v/>
          </cell>
          <cell r="BS57" t="str">
            <v/>
          </cell>
        </row>
        <row r="58">
          <cell r="B58" t="str">
            <v>INV--9900-40</v>
          </cell>
          <cell r="C58" t="str">
            <v/>
          </cell>
          <cell r="D58" t="e">
            <v>#VALUE!</v>
          </cell>
          <cell r="E58" t="str">
            <v>Jan1900</v>
          </cell>
          <cell r="F58">
            <v>31</v>
          </cell>
          <cell r="G58" t="e">
            <v>#VALUE!</v>
          </cell>
          <cell r="H58">
            <v>1</v>
          </cell>
          <cell r="I58">
            <v>1</v>
          </cell>
          <cell r="J58">
            <v>0</v>
          </cell>
          <cell r="K58" t="str">
            <v>0Jan1900</v>
          </cell>
          <cell r="L58" t="str">
            <v>Buildings</v>
          </cell>
          <cell r="M58" t="str">
            <v>BuildingsJan1900</v>
          </cell>
          <cell r="N58">
            <v>0</v>
          </cell>
          <cell r="O58">
            <v>0</v>
          </cell>
          <cell r="Q58" t="e">
            <v>#VALUE!</v>
          </cell>
          <cell r="R58">
            <v>0</v>
          </cell>
          <cell r="S58" t="str">
            <v>Jan1900</v>
          </cell>
          <cell r="T58" t="str">
            <v>Jan1900</v>
          </cell>
          <cell r="U58" t="e">
            <v>#VALUE!</v>
          </cell>
          <cell r="V58" t="e">
            <v>#VALUE!</v>
          </cell>
          <cell r="W58" t="str">
            <v/>
          </cell>
          <cell r="X58" t="str">
            <v>INV-9900</v>
          </cell>
          <cell r="Y58" t="str">
            <v>Jan</v>
          </cell>
          <cell r="Z58">
            <v>1900</v>
          </cell>
          <cell r="AA58" t="str">
            <v>9900</v>
          </cell>
          <cell r="AB58" t="str">
            <v>9900-40</v>
          </cell>
          <cell r="AC58">
            <v>40</v>
          </cell>
          <cell r="AD58">
            <v>0</v>
          </cell>
          <cell r="AE58">
            <v>0</v>
          </cell>
          <cell r="AF58" t="str">
            <v/>
          </cell>
          <cell r="AG58" t="str">
            <v/>
          </cell>
          <cell r="AH58">
            <v>1</v>
          </cell>
          <cell r="AI58">
            <v>1</v>
          </cell>
          <cell r="AK58" t="str">
            <v>INV--9900-40</v>
          </cell>
          <cell r="AL58">
            <v>0</v>
          </cell>
          <cell r="AN58" t="str">
            <v>INVOICE</v>
          </cell>
          <cell r="AR58" t="str">
            <v/>
          </cell>
          <cell r="AS58" t="str">
            <v/>
          </cell>
          <cell r="AT58" t="str">
            <v/>
          </cell>
          <cell r="AU58" t="str">
            <v/>
          </cell>
          <cell r="AV58" t="str">
            <v/>
          </cell>
          <cell r="AW58" t="str">
            <v/>
          </cell>
          <cell r="AX58" t="str">
            <v/>
          </cell>
          <cell r="AY58" t="str">
            <v/>
          </cell>
          <cell r="AZ58" t="str">
            <v/>
          </cell>
          <cell r="BB58" t="str">
            <v/>
          </cell>
          <cell r="BC58" t="str">
            <v/>
          </cell>
          <cell r="BF58" t="str">
            <v/>
          </cell>
          <cell r="BI58">
            <v>0</v>
          </cell>
          <cell r="BJ58">
            <v>0</v>
          </cell>
          <cell r="BK58">
            <v>30</v>
          </cell>
          <cell r="BP58" t="str">
            <v/>
          </cell>
          <cell r="BQ58" t="str">
            <v/>
          </cell>
          <cell r="BR58" t="str">
            <v/>
          </cell>
          <cell r="BS58" t="str">
            <v/>
          </cell>
        </row>
        <row r="59">
          <cell r="B59" t="str">
            <v>INV--9900-41</v>
          </cell>
          <cell r="C59" t="str">
            <v/>
          </cell>
          <cell r="D59" t="e">
            <v>#VALUE!</v>
          </cell>
          <cell r="E59" t="str">
            <v>Jan1900</v>
          </cell>
          <cell r="F59">
            <v>31</v>
          </cell>
          <cell r="G59" t="e">
            <v>#VALUE!</v>
          </cell>
          <cell r="H59">
            <v>1</v>
          </cell>
          <cell r="I59">
            <v>1</v>
          </cell>
          <cell r="J59">
            <v>0</v>
          </cell>
          <cell r="K59" t="str">
            <v>0Jan1900</v>
          </cell>
          <cell r="L59" t="str">
            <v>Buildings</v>
          </cell>
          <cell r="M59" t="str">
            <v>BuildingsJan1900</v>
          </cell>
          <cell r="N59">
            <v>0</v>
          </cell>
          <cell r="O59">
            <v>0</v>
          </cell>
          <cell r="Q59" t="e">
            <v>#VALUE!</v>
          </cell>
          <cell r="R59">
            <v>0</v>
          </cell>
          <cell r="S59" t="str">
            <v>Jan1900</v>
          </cell>
          <cell r="T59" t="str">
            <v>Jan1900</v>
          </cell>
          <cell r="U59" t="e">
            <v>#VALUE!</v>
          </cell>
          <cell r="V59" t="e">
            <v>#VALUE!</v>
          </cell>
          <cell r="W59" t="str">
            <v/>
          </cell>
          <cell r="X59" t="str">
            <v>INV-9900</v>
          </cell>
          <cell r="Y59" t="str">
            <v>Jan</v>
          </cell>
          <cell r="Z59">
            <v>1900</v>
          </cell>
          <cell r="AA59" t="str">
            <v>9900</v>
          </cell>
          <cell r="AB59" t="str">
            <v>9900-41</v>
          </cell>
          <cell r="AC59">
            <v>41</v>
          </cell>
          <cell r="AD59">
            <v>0</v>
          </cell>
          <cell r="AE59">
            <v>0</v>
          </cell>
          <cell r="AF59" t="str">
            <v/>
          </cell>
          <cell r="AG59" t="str">
            <v/>
          </cell>
          <cell r="AH59">
            <v>1</v>
          </cell>
          <cell r="AI59">
            <v>1</v>
          </cell>
          <cell r="AK59" t="str">
            <v>INV--9900-41</v>
          </cell>
          <cell r="AL59">
            <v>0</v>
          </cell>
          <cell r="AN59" t="str">
            <v>INVOICE</v>
          </cell>
          <cell r="AR59" t="str">
            <v/>
          </cell>
          <cell r="AS59" t="str">
            <v/>
          </cell>
          <cell r="AT59" t="str">
            <v/>
          </cell>
          <cell r="AU59" t="str">
            <v/>
          </cell>
          <cell r="AV59" t="str">
            <v/>
          </cell>
          <cell r="AW59" t="str">
            <v/>
          </cell>
          <cell r="AX59" t="str">
            <v/>
          </cell>
          <cell r="AY59" t="str">
            <v/>
          </cell>
          <cell r="AZ59" t="str">
            <v/>
          </cell>
          <cell r="BB59" t="str">
            <v/>
          </cell>
          <cell r="BC59" t="str">
            <v/>
          </cell>
          <cell r="BF59" t="str">
            <v/>
          </cell>
          <cell r="BI59">
            <v>0</v>
          </cell>
          <cell r="BJ59">
            <v>0</v>
          </cell>
          <cell r="BK59">
            <v>30</v>
          </cell>
          <cell r="BP59" t="str">
            <v/>
          </cell>
          <cell r="BQ59" t="str">
            <v/>
          </cell>
          <cell r="BR59" t="str">
            <v/>
          </cell>
          <cell r="BS59" t="str">
            <v/>
          </cell>
        </row>
        <row r="60">
          <cell r="B60" t="str">
            <v>INV--9900-42</v>
          </cell>
          <cell r="C60" t="str">
            <v/>
          </cell>
          <cell r="D60" t="e">
            <v>#VALUE!</v>
          </cell>
          <cell r="E60" t="str">
            <v>Jan1900</v>
          </cell>
          <cell r="F60">
            <v>31</v>
          </cell>
          <cell r="G60" t="e">
            <v>#VALUE!</v>
          </cell>
          <cell r="H60">
            <v>1</v>
          </cell>
          <cell r="I60">
            <v>1</v>
          </cell>
          <cell r="J60">
            <v>0</v>
          </cell>
          <cell r="K60" t="str">
            <v>0Jan1900</v>
          </cell>
          <cell r="L60" t="str">
            <v>Buildings</v>
          </cell>
          <cell r="M60" t="str">
            <v>BuildingsJan1900</v>
          </cell>
          <cell r="N60">
            <v>0</v>
          </cell>
          <cell r="O60">
            <v>0</v>
          </cell>
          <cell r="Q60" t="e">
            <v>#VALUE!</v>
          </cell>
          <cell r="R60">
            <v>0</v>
          </cell>
          <cell r="S60" t="str">
            <v>Jan1900</v>
          </cell>
          <cell r="T60" t="str">
            <v>Jan1900</v>
          </cell>
          <cell r="U60" t="e">
            <v>#VALUE!</v>
          </cell>
          <cell r="V60" t="e">
            <v>#VALUE!</v>
          </cell>
          <cell r="W60" t="str">
            <v/>
          </cell>
          <cell r="X60" t="str">
            <v>INV-9900</v>
          </cell>
          <cell r="Y60" t="str">
            <v>Jan</v>
          </cell>
          <cell r="Z60">
            <v>1900</v>
          </cell>
          <cell r="AA60" t="str">
            <v>9900</v>
          </cell>
          <cell r="AB60" t="str">
            <v>9900-42</v>
          </cell>
          <cell r="AC60">
            <v>42</v>
          </cell>
          <cell r="AD60">
            <v>0</v>
          </cell>
          <cell r="AE60">
            <v>0</v>
          </cell>
          <cell r="AF60" t="str">
            <v/>
          </cell>
          <cell r="AG60" t="str">
            <v/>
          </cell>
          <cell r="AH60">
            <v>1</v>
          </cell>
          <cell r="AI60">
            <v>1</v>
          </cell>
          <cell r="AK60" t="str">
            <v>INV--9900-42</v>
          </cell>
          <cell r="AL60">
            <v>0</v>
          </cell>
          <cell r="AN60" t="str">
            <v>INVOICE</v>
          </cell>
          <cell r="AR60" t="str">
            <v/>
          </cell>
          <cell r="AS60" t="str">
            <v/>
          </cell>
          <cell r="AT60" t="str">
            <v/>
          </cell>
          <cell r="AU60" t="str">
            <v/>
          </cell>
          <cell r="AV60" t="str">
            <v/>
          </cell>
          <cell r="AW60" t="str">
            <v/>
          </cell>
          <cell r="AX60" t="str">
            <v/>
          </cell>
          <cell r="AY60" t="str">
            <v/>
          </cell>
          <cell r="AZ60" t="str">
            <v/>
          </cell>
          <cell r="BB60" t="str">
            <v/>
          </cell>
          <cell r="BC60" t="str">
            <v/>
          </cell>
          <cell r="BF60" t="str">
            <v/>
          </cell>
          <cell r="BI60">
            <v>0</v>
          </cell>
          <cell r="BJ60">
            <v>0</v>
          </cell>
          <cell r="BK60">
            <v>30</v>
          </cell>
          <cell r="BP60" t="str">
            <v/>
          </cell>
          <cell r="BQ60" t="str">
            <v/>
          </cell>
          <cell r="BR60" t="str">
            <v/>
          </cell>
          <cell r="BS60" t="str">
            <v/>
          </cell>
        </row>
        <row r="61">
          <cell r="B61" t="str">
            <v>INV--9900-43</v>
          </cell>
          <cell r="C61" t="str">
            <v/>
          </cell>
          <cell r="D61" t="e">
            <v>#VALUE!</v>
          </cell>
          <cell r="E61" t="str">
            <v>Jan1900</v>
          </cell>
          <cell r="F61">
            <v>31</v>
          </cell>
          <cell r="G61" t="e">
            <v>#VALUE!</v>
          </cell>
          <cell r="H61">
            <v>1</v>
          </cell>
          <cell r="I61">
            <v>1</v>
          </cell>
          <cell r="J61">
            <v>0</v>
          </cell>
          <cell r="K61" t="str">
            <v>0Jan1900</v>
          </cell>
          <cell r="L61" t="str">
            <v>Buildings</v>
          </cell>
          <cell r="M61" t="str">
            <v>BuildingsJan1900</v>
          </cell>
          <cell r="N61">
            <v>0</v>
          </cell>
          <cell r="O61">
            <v>0</v>
          </cell>
          <cell r="Q61" t="e">
            <v>#VALUE!</v>
          </cell>
          <cell r="R61">
            <v>0</v>
          </cell>
          <cell r="S61" t="str">
            <v>Jan1900</v>
          </cell>
          <cell r="T61" t="str">
            <v>Jan1900</v>
          </cell>
          <cell r="U61" t="e">
            <v>#VALUE!</v>
          </cell>
          <cell r="V61" t="e">
            <v>#VALUE!</v>
          </cell>
          <cell r="W61" t="str">
            <v/>
          </cell>
          <cell r="X61" t="str">
            <v>INV-9900</v>
          </cell>
          <cell r="Y61" t="str">
            <v>Jan</v>
          </cell>
          <cell r="Z61">
            <v>1900</v>
          </cell>
          <cell r="AA61" t="str">
            <v>9900</v>
          </cell>
          <cell r="AB61" t="str">
            <v>9900-43</v>
          </cell>
          <cell r="AC61">
            <v>43</v>
          </cell>
          <cell r="AD61">
            <v>0</v>
          </cell>
          <cell r="AE61">
            <v>0</v>
          </cell>
          <cell r="AF61" t="str">
            <v/>
          </cell>
          <cell r="AG61" t="str">
            <v/>
          </cell>
          <cell r="AH61">
            <v>1</v>
          </cell>
          <cell r="AI61">
            <v>1</v>
          </cell>
          <cell r="AK61" t="str">
            <v>INV--9900-43</v>
          </cell>
          <cell r="AL61">
            <v>0</v>
          </cell>
          <cell r="AN61" t="str">
            <v>INVOICE</v>
          </cell>
          <cell r="AR61" t="str">
            <v/>
          </cell>
          <cell r="AS61" t="str">
            <v/>
          </cell>
          <cell r="AT61" t="str">
            <v/>
          </cell>
          <cell r="AU61" t="str">
            <v/>
          </cell>
          <cell r="AV61" t="str">
            <v/>
          </cell>
          <cell r="AW61" t="str">
            <v/>
          </cell>
          <cell r="AX61" t="str">
            <v/>
          </cell>
          <cell r="AY61" t="str">
            <v/>
          </cell>
          <cell r="AZ61" t="str">
            <v/>
          </cell>
          <cell r="BB61" t="str">
            <v/>
          </cell>
          <cell r="BC61" t="str">
            <v/>
          </cell>
          <cell r="BF61" t="str">
            <v/>
          </cell>
          <cell r="BI61">
            <v>0</v>
          </cell>
          <cell r="BJ61">
            <v>0</v>
          </cell>
          <cell r="BK61">
            <v>30</v>
          </cell>
          <cell r="BP61" t="str">
            <v/>
          </cell>
          <cell r="BQ61" t="str">
            <v/>
          </cell>
          <cell r="BR61" t="str">
            <v/>
          </cell>
          <cell r="BS61" t="str">
            <v/>
          </cell>
        </row>
        <row r="62">
          <cell r="B62" t="str">
            <v>INV--9900-44</v>
          </cell>
          <cell r="C62" t="str">
            <v/>
          </cell>
          <cell r="D62" t="e">
            <v>#VALUE!</v>
          </cell>
          <cell r="E62" t="str">
            <v>Jan1900</v>
          </cell>
          <cell r="F62">
            <v>31</v>
          </cell>
          <cell r="G62" t="e">
            <v>#VALUE!</v>
          </cell>
          <cell r="H62">
            <v>1</v>
          </cell>
          <cell r="I62">
            <v>1</v>
          </cell>
          <cell r="J62">
            <v>0</v>
          </cell>
          <cell r="K62" t="str">
            <v>0Jan1900</v>
          </cell>
          <cell r="L62" t="str">
            <v>Buildings</v>
          </cell>
          <cell r="M62" t="str">
            <v>BuildingsJan1900</v>
          </cell>
          <cell r="N62">
            <v>0</v>
          </cell>
          <cell r="O62">
            <v>0</v>
          </cell>
          <cell r="Q62" t="e">
            <v>#VALUE!</v>
          </cell>
          <cell r="R62">
            <v>0</v>
          </cell>
          <cell r="S62" t="str">
            <v>Jan1900</v>
          </cell>
          <cell r="T62" t="str">
            <v>Jan1900</v>
          </cell>
          <cell r="U62" t="e">
            <v>#VALUE!</v>
          </cell>
          <cell r="V62" t="e">
            <v>#VALUE!</v>
          </cell>
          <cell r="W62" t="str">
            <v/>
          </cell>
          <cell r="X62" t="str">
            <v>INV-9900</v>
          </cell>
          <cell r="Y62" t="str">
            <v>Jan</v>
          </cell>
          <cell r="Z62">
            <v>1900</v>
          </cell>
          <cell r="AA62" t="str">
            <v>9900</v>
          </cell>
          <cell r="AB62" t="str">
            <v>9900-44</v>
          </cell>
          <cell r="AC62">
            <v>44</v>
          </cell>
          <cell r="AD62">
            <v>0</v>
          </cell>
          <cell r="AE62">
            <v>0</v>
          </cell>
          <cell r="AF62" t="str">
            <v/>
          </cell>
          <cell r="AG62" t="str">
            <v/>
          </cell>
          <cell r="AH62">
            <v>1</v>
          </cell>
          <cell r="AI62">
            <v>1</v>
          </cell>
          <cell r="AK62" t="str">
            <v>INV--9900-44</v>
          </cell>
          <cell r="AL62">
            <v>0</v>
          </cell>
          <cell r="AN62" t="str">
            <v>INVOICE</v>
          </cell>
          <cell r="AR62" t="str">
            <v/>
          </cell>
          <cell r="AS62" t="str">
            <v/>
          </cell>
          <cell r="AT62" t="str">
            <v/>
          </cell>
          <cell r="AU62" t="str">
            <v/>
          </cell>
          <cell r="AV62" t="str">
            <v/>
          </cell>
          <cell r="AW62" t="str">
            <v/>
          </cell>
          <cell r="AX62" t="str">
            <v/>
          </cell>
          <cell r="AY62" t="str">
            <v/>
          </cell>
          <cell r="AZ62" t="str">
            <v/>
          </cell>
          <cell r="BB62" t="str">
            <v/>
          </cell>
          <cell r="BC62" t="str">
            <v/>
          </cell>
          <cell r="BF62" t="str">
            <v/>
          </cell>
          <cell r="BI62">
            <v>0</v>
          </cell>
          <cell r="BJ62">
            <v>0</v>
          </cell>
          <cell r="BK62">
            <v>30</v>
          </cell>
          <cell r="BP62" t="str">
            <v/>
          </cell>
          <cell r="BQ62" t="str">
            <v/>
          </cell>
          <cell r="BR62" t="str">
            <v/>
          </cell>
          <cell r="BS62" t="str">
            <v/>
          </cell>
        </row>
        <row r="63">
          <cell r="B63" t="str">
            <v>INV--9900-45</v>
          </cell>
          <cell r="C63" t="str">
            <v/>
          </cell>
          <cell r="D63" t="e">
            <v>#VALUE!</v>
          </cell>
          <cell r="E63" t="str">
            <v>Jan1900</v>
          </cell>
          <cell r="F63">
            <v>31</v>
          </cell>
          <cell r="G63" t="e">
            <v>#VALUE!</v>
          </cell>
          <cell r="H63">
            <v>1</v>
          </cell>
          <cell r="I63">
            <v>1</v>
          </cell>
          <cell r="J63">
            <v>0</v>
          </cell>
          <cell r="K63" t="str">
            <v>0Jan1900</v>
          </cell>
          <cell r="L63" t="str">
            <v>Buildings</v>
          </cell>
          <cell r="M63" t="str">
            <v>BuildingsJan1900</v>
          </cell>
          <cell r="N63">
            <v>0</v>
          </cell>
          <cell r="O63">
            <v>0</v>
          </cell>
          <cell r="Q63" t="e">
            <v>#VALUE!</v>
          </cell>
          <cell r="R63">
            <v>0</v>
          </cell>
          <cell r="S63" t="str">
            <v>Jan1900</v>
          </cell>
          <cell r="T63" t="str">
            <v>Jan1900</v>
          </cell>
          <cell r="U63" t="e">
            <v>#VALUE!</v>
          </cell>
          <cell r="V63" t="e">
            <v>#VALUE!</v>
          </cell>
          <cell r="W63" t="str">
            <v/>
          </cell>
          <cell r="X63" t="str">
            <v>INV-9900</v>
          </cell>
          <cell r="Y63" t="str">
            <v>Jan</v>
          </cell>
          <cell r="Z63">
            <v>1900</v>
          </cell>
          <cell r="AA63" t="str">
            <v>9900</v>
          </cell>
          <cell r="AB63" t="str">
            <v>9900-45</v>
          </cell>
          <cell r="AC63">
            <v>45</v>
          </cell>
          <cell r="AD63">
            <v>0</v>
          </cell>
          <cell r="AE63">
            <v>0</v>
          </cell>
          <cell r="AF63" t="str">
            <v/>
          </cell>
          <cell r="AG63" t="str">
            <v/>
          </cell>
          <cell r="AH63">
            <v>1</v>
          </cell>
          <cell r="AI63">
            <v>1</v>
          </cell>
          <cell r="AK63" t="str">
            <v>INV--9900-45</v>
          </cell>
          <cell r="AL63">
            <v>0</v>
          </cell>
          <cell r="AN63" t="str">
            <v>INVOICE</v>
          </cell>
          <cell r="AR63" t="str">
            <v/>
          </cell>
          <cell r="AS63" t="str">
            <v/>
          </cell>
          <cell r="AT63" t="str">
            <v/>
          </cell>
          <cell r="AU63" t="str">
            <v/>
          </cell>
          <cell r="AV63" t="str">
            <v/>
          </cell>
          <cell r="AW63" t="str">
            <v/>
          </cell>
          <cell r="AX63" t="str">
            <v/>
          </cell>
          <cell r="AY63" t="str">
            <v/>
          </cell>
          <cell r="AZ63" t="str">
            <v/>
          </cell>
          <cell r="BB63" t="str">
            <v/>
          </cell>
          <cell r="BC63" t="str">
            <v/>
          </cell>
          <cell r="BF63" t="str">
            <v/>
          </cell>
          <cell r="BI63">
            <v>0</v>
          </cell>
          <cell r="BJ63">
            <v>0</v>
          </cell>
          <cell r="BK63">
            <v>30</v>
          </cell>
          <cell r="BP63" t="str">
            <v/>
          </cell>
          <cell r="BQ63" t="str">
            <v/>
          </cell>
          <cell r="BR63" t="str">
            <v/>
          </cell>
          <cell r="BS63" t="str">
            <v/>
          </cell>
        </row>
        <row r="64">
          <cell r="B64" t="str">
            <v>INV--9900-46</v>
          </cell>
          <cell r="C64" t="str">
            <v/>
          </cell>
          <cell r="D64" t="e">
            <v>#VALUE!</v>
          </cell>
          <cell r="E64" t="str">
            <v>Jan1900</v>
          </cell>
          <cell r="F64">
            <v>31</v>
          </cell>
          <cell r="G64" t="e">
            <v>#VALUE!</v>
          </cell>
          <cell r="H64">
            <v>1</v>
          </cell>
          <cell r="I64">
            <v>1</v>
          </cell>
          <cell r="J64">
            <v>0</v>
          </cell>
          <cell r="K64" t="str">
            <v>0Jan1900</v>
          </cell>
          <cell r="L64" t="str">
            <v>Buildings</v>
          </cell>
          <cell r="M64" t="str">
            <v>BuildingsJan1900</v>
          </cell>
          <cell r="N64">
            <v>0</v>
          </cell>
          <cell r="O64">
            <v>0</v>
          </cell>
          <cell r="Q64" t="e">
            <v>#VALUE!</v>
          </cell>
          <cell r="R64">
            <v>0</v>
          </cell>
          <cell r="S64" t="str">
            <v>Jan1900</v>
          </cell>
          <cell r="T64" t="str">
            <v>Jan1900</v>
          </cell>
          <cell r="U64" t="e">
            <v>#VALUE!</v>
          </cell>
          <cell r="V64" t="e">
            <v>#VALUE!</v>
          </cell>
          <cell r="W64" t="str">
            <v/>
          </cell>
          <cell r="X64" t="str">
            <v>INV-9900</v>
          </cell>
          <cell r="Y64" t="str">
            <v>Jan</v>
          </cell>
          <cell r="Z64">
            <v>1900</v>
          </cell>
          <cell r="AA64" t="str">
            <v>9900</v>
          </cell>
          <cell r="AB64" t="str">
            <v>9900-46</v>
          </cell>
          <cell r="AC64">
            <v>46</v>
          </cell>
          <cell r="AD64">
            <v>0</v>
          </cell>
          <cell r="AE64">
            <v>0</v>
          </cell>
          <cell r="AF64" t="str">
            <v/>
          </cell>
          <cell r="AG64" t="str">
            <v/>
          </cell>
          <cell r="AH64">
            <v>1</v>
          </cell>
          <cell r="AI64">
            <v>1</v>
          </cell>
          <cell r="AK64" t="str">
            <v>INV--9900-46</v>
          </cell>
          <cell r="AL64">
            <v>0</v>
          </cell>
          <cell r="AN64" t="str">
            <v>INVOICE</v>
          </cell>
          <cell r="AR64" t="str">
            <v/>
          </cell>
          <cell r="AS64" t="str">
            <v/>
          </cell>
          <cell r="AT64" t="str">
            <v/>
          </cell>
          <cell r="AU64" t="str">
            <v/>
          </cell>
          <cell r="AV64" t="str">
            <v/>
          </cell>
          <cell r="AW64" t="str">
            <v/>
          </cell>
          <cell r="AX64" t="str">
            <v/>
          </cell>
          <cell r="AY64" t="str">
            <v/>
          </cell>
          <cell r="AZ64" t="str">
            <v/>
          </cell>
          <cell r="BB64" t="str">
            <v/>
          </cell>
          <cell r="BC64" t="str">
            <v/>
          </cell>
          <cell r="BF64" t="str">
            <v/>
          </cell>
          <cell r="BI64">
            <v>0</v>
          </cell>
          <cell r="BJ64">
            <v>0</v>
          </cell>
          <cell r="BK64">
            <v>30</v>
          </cell>
          <cell r="BP64" t="str">
            <v/>
          </cell>
          <cell r="BQ64" t="str">
            <v/>
          </cell>
          <cell r="BR64" t="str">
            <v/>
          </cell>
          <cell r="BS64" t="str">
            <v/>
          </cell>
        </row>
        <row r="65">
          <cell r="B65" t="str">
            <v>INV--9900-47</v>
          </cell>
          <cell r="C65" t="str">
            <v/>
          </cell>
          <cell r="D65" t="e">
            <v>#VALUE!</v>
          </cell>
          <cell r="E65" t="str">
            <v>Jan1900</v>
          </cell>
          <cell r="F65">
            <v>31</v>
          </cell>
          <cell r="G65" t="e">
            <v>#VALUE!</v>
          </cell>
          <cell r="H65">
            <v>1</v>
          </cell>
          <cell r="I65">
            <v>1</v>
          </cell>
          <cell r="J65">
            <v>0</v>
          </cell>
          <cell r="K65" t="str">
            <v>0Jan1900</v>
          </cell>
          <cell r="L65" t="str">
            <v>Buildings</v>
          </cell>
          <cell r="M65" t="str">
            <v>BuildingsJan1900</v>
          </cell>
          <cell r="N65">
            <v>0</v>
          </cell>
          <cell r="O65">
            <v>0</v>
          </cell>
          <cell r="Q65" t="e">
            <v>#VALUE!</v>
          </cell>
          <cell r="R65">
            <v>0</v>
          </cell>
          <cell r="S65" t="str">
            <v>Jan1900</v>
          </cell>
          <cell r="T65" t="str">
            <v>Jan1900</v>
          </cell>
          <cell r="U65" t="e">
            <v>#VALUE!</v>
          </cell>
          <cell r="V65" t="e">
            <v>#VALUE!</v>
          </cell>
          <cell r="W65" t="str">
            <v/>
          </cell>
          <cell r="X65" t="str">
            <v>INV-9900</v>
          </cell>
          <cell r="Y65" t="str">
            <v>Jan</v>
          </cell>
          <cell r="Z65">
            <v>1900</v>
          </cell>
          <cell r="AA65" t="str">
            <v>9900</v>
          </cell>
          <cell r="AB65" t="str">
            <v>9900-47</v>
          </cell>
          <cell r="AC65">
            <v>47</v>
          </cell>
          <cell r="AD65">
            <v>0</v>
          </cell>
          <cell r="AE65">
            <v>0</v>
          </cell>
          <cell r="AF65" t="str">
            <v/>
          </cell>
          <cell r="AG65" t="str">
            <v/>
          </cell>
          <cell r="AH65">
            <v>1</v>
          </cell>
          <cell r="AI65">
            <v>1</v>
          </cell>
          <cell r="AK65" t="str">
            <v>INV--9900-47</v>
          </cell>
          <cell r="AL65">
            <v>0</v>
          </cell>
          <cell r="AN65" t="str">
            <v>INVOICE</v>
          </cell>
          <cell r="AR65" t="str">
            <v/>
          </cell>
          <cell r="AS65" t="str">
            <v/>
          </cell>
          <cell r="AT65" t="str">
            <v/>
          </cell>
          <cell r="AU65" t="str">
            <v/>
          </cell>
          <cell r="AV65" t="str">
            <v/>
          </cell>
          <cell r="AW65" t="str">
            <v/>
          </cell>
          <cell r="AX65" t="str">
            <v/>
          </cell>
          <cell r="AY65" t="str">
            <v/>
          </cell>
          <cell r="AZ65" t="str">
            <v/>
          </cell>
          <cell r="BB65" t="str">
            <v/>
          </cell>
          <cell r="BC65" t="str">
            <v/>
          </cell>
          <cell r="BF65" t="str">
            <v/>
          </cell>
          <cell r="BI65">
            <v>0</v>
          </cell>
          <cell r="BJ65">
            <v>0</v>
          </cell>
          <cell r="BK65">
            <v>30</v>
          </cell>
          <cell r="BP65" t="str">
            <v/>
          </cell>
          <cell r="BQ65" t="str">
            <v/>
          </cell>
          <cell r="BR65" t="str">
            <v/>
          </cell>
          <cell r="BS65" t="str">
            <v/>
          </cell>
        </row>
        <row r="66">
          <cell r="B66" t="str">
            <v>INV--9900-48</v>
          </cell>
          <cell r="C66" t="str">
            <v/>
          </cell>
          <cell r="D66" t="e">
            <v>#VALUE!</v>
          </cell>
          <cell r="E66" t="str">
            <v>Jan1900</v>
          </cell>
          <cell r="F66">
            <v>31</v>
          </cell>
          <cell r="G66" t="e">
            <v>#VALUE!</v>
          </cell>
          <cell r="H66">
            <v>1</v>
          </cell>
          <cell r="I66">
            <v>1</v>
          </cell>
          <cell r="J66">
            <v>0</v>
          </cell>
          <cell r="K66" t="str">
            <v>0Jan1900</v>
          </cell>
          <cell r="L66" t="str">
            <v>Buildings</v>
          </cell>
          <cell r="M66" t="str">
            <v>BuildingsJan1900</v>
          </cell>
          <cell r="N66">
            <v>0</v>
          </cell>
          <cell r="O66">
            <v>0</v>
          </cell>
          <cell r="Q66" t="e">
            <v>#VALUE!</v>
          </cell>
          <cell r="R66">
            <v>0</v>
          </cell>
          <cell r="S66" t="str">
            <v>Jan1900</v>
          </cell>
          <cell r="T66" t="str">
            <v>Jan1900</v>
          </cell>
          <cell r="U66" t="e">
            <v>#VALUE!</v>
          </cell>
          <cell r="V66" t="e">
            <v>#VALUE!</v>
          </cell>
          <cell r="W66" t="str">
            <v/>
          </cell>
          <cell r="X66" t="str">
            <v>INV-9900</v>
          </cell>
          <cell r="Y66" t="str">
            <v>Jan</v>
          </cell>
          <cell r="Z66">
            <v>1900</v>
          </cell>
          <cell r="AA66" t="str">
            <v>9900</v>
          </cell>
          <cell r="AB66" t="str">
            <v>9900-48</v>
          </cell>
          <cell r="AC66">
            <v>48</v>
          </cell>
          <cell r="AD66">
            <v>0</v>
          </cell>
          <cell r="AE66">
            <v>0</v>
          </cell>
          <cell r="AF66" t="str">
            <v/>
          </cell>
          <cell r="AG66" t="str">
            <v/>
          </cell>
          <cell r="AH66">
            <v>1</v>
          </cell>
          <cell r="AI66">
            <v>1</v>
          </cell>
          <cell r="AK66" t="str">
            <v>INV--9900-48</v>
          </cell>
          <cell r="AL66">
            <v>0</v>
          </cell>
          <cell r="AN66" t="str">
            <v>INVOICE</v>
          </cell>
          <cell r="AR66" t="str">
            <v/>
          </cell>
          <cell r="AS66" t="str">
            <v/>
          </cell>
          <cell r="AT66" t="str">
            <v/>
          </cell>
          <cell r="AU66" t="str">
            <v/>
          </cell>
          <cell r="AV66" t="str">
            <v/>
          </cell>
          <cell r="AW66" t="str">
            <v/>
          </cell>
          <cell r="AX66" t="str">
            <v/>
          </cell>
          <cell r="AY66" t="str">
            <v/>
          </cell>
          <cell r="AZ66" t="str">
            <v/>
          </cell>
          <cell r="BB66" t="str">
            <v/>
          </cell>
          <cell r="BC66" t="str">
            <v/>
          </cell>
          <cell r="BF66" t="str">
            <v/>
          </cell>
          <cell r="BI66">
            <v>0</v>
          </cell>
          <cell r="BJ66">
            <v>0</v>
          </cell>
          <cell r="BK66">
            <v>30</v>
          </cell>
          <cell r="BP66" t="str">
            <v/>
          </cell>
          <cell r="BQ66" t="str">
            <v/>
          </cell>
          <cell r="BR66" t="str">
            <v/>
          </cell>
          <cell r="BS66" t="str">
            <v/>
          </cell>
        </row>
        <row r="67">
          <cell r="B67" t="str">
            <v>INV--9900-49</v>
          </cell>
          <cell r="C67" t="str">
            <v/>
          </cell>
          <cell r="D67" t="e">
            <v>#VALUE!</v>
          </cell>
          <cell r="E67" t="str">
            <v>Jan1900</v>
          </cell>
          <cell r="F67">
            <v>31</v>
          </cell>
          <cell r="G67" t="e">
            <v>#VALUE!</v>
          </cell>
          <cell r="H67">
            <v>1</v>
          </cell>
          <cell r="I67">
            <v>1</v>
          </cell>
          <cell r="J67">
            <v>0</v>
          </cell>
          <cell r="K67" t="str">
            <v>0Jan1900</v>
          </cell>
          <cell r="L67" t="str">
            <v>Buildings</v>
          </cell>
          <cell r="M67" t="str">
            <v>BuildingsJan1900</v>
          </cell>
          <cell r="N67">
            <v>0</v>
          </cell>
          <cell r="O67">
            <v>0</v>
          </cell>
          <cell r="Q67" t="e">
            <v>#VALUE!</v>
          </cell>
          <cell r="R67">
            <v>0</v>
          </cell>
          <cell r="S67" t="str">
            <v>Jan1900</v>
          </cell>
          <cell r="T67" t="str">
            <v>Jan1900</v>
          </cell>
          <cell r="U67" t="e">
            <v>#VALUE!</v>
          </cell>
          <cell r="V67" t="e">
            <v>#VALUE!</v>
          </cell>
          <cell r="W67" t="str">
            <v/>
          </cell>
          <cell r="X67" t="str">
            <v>INV-9900</v>
          </cell>
          <cell r="Y67" t="str">
            <v>Jan</v>
          </cell>
          <cell r="Z67">
            <v>1900</v>
          </cell>
          <cell r="AA67" t="str">
            <v>9900</v>
          </cell>
          <cell r="AB67" t="str">
            <v>9900-49</v>
          </cell>
          <cell r="AC67">
            <v>49</v>
          </cell>
          <cell r="AD67">
            <v>0</v>
          </cell>
          <cell r="AE67">
            <v>0</v>
          </cell>
          <cell r="AF67" t="str">
            <v/>
          </cell>
          <cell r="AG67" t="str">
            <v/>
          </cell>
          <cell r="AH67">
            <v>1</v>
          </cell>
          <cell r="AI67">
            <v>1</v>
          </cell>
          <cell r="AK67" t="str">
            <v>INV--9900-49</v>
          </cell>
          <cell r="AL67">
            <v>0</v>
          </cell>
          <cell r="AN67" t="str">
            <v>INVOICE</v>
          </cell>
          <cell r="AR67" t="str">
            <v/>
          </cell>
          <cell r="AS67" t="str">
            <v/>
          </cell>
          <cell r="AT67" t="str">
            <v/>
          </cell>
          <cell r="AU67" t="str">
            <v/>
          </cell>
          <cell r="AV67" t="str">
            <v/>
          </cell>
          <cell r="AW67" t="str">
            <v/>
          </cell>
          <cell r="AX67" t="str">
            <v/>
          </cell>
          <cell r="AY67" t="str">
            <v/>
          </cell>
          <cell r="AZ67" t="str">
            <v/>
          </cell>
          <cell r="BB67" t="str">
            <v/>
          </cell>
          <cell r="BC67" t="str">
            <v/>
          </cell>
          <cell r="BF67" t="str">
            <v/>
          </cell>
          <cell r="BI67">
            <v>0</v>
          </cell>
          <cell r="BJ67">
            <v>0</v>
          </cell>
          <cell r="BK67">
            <v>30</v>
          </cell>
          <cell r="BP67" t="str">
            <v/>
          </cell>
          <cell r="BQ67" t="str">
            <v/>
          </cell>
          <cell r="BR67" t="str">
            <v/>
          </cell>
          <cell r="BS67" t="str">
            <v/>
          </cell>
        </row>
        <row r="68">
          <cell r="B68" t="str">
            <v>INV--9900-50</v>
          </cell>
          <cell r="C68" t="str">
            <v/>
          </cell>
          <cell r="D68" t="e">
            <v>#VALUE!</v>
          </cell>
          <cell r="E68" t="str">
            <v>Jan1900</v>
          </cell>
          <cell r="F68">
            <v>31</v>
          </cell>
          <cell r="G68" t="e">
            <v>#VALUE!</v>
          </cell>
          <cell r="H68">
            <v>1</v>
          </cell>
          <cell r="I68">
            <v>1</v>
          </cell>
          <cell r="J68">
            <v>0</v>
          </cell>
          <cell r="K68" t="str">
            <v>0Jan1900</v>
          </cell>
          <cell r="L68" t="str">
            <v>Buildings</v>
          </cell>
          <cell r="M68" t="str">
            <v>BuildingsJan1900</v>
          </cell>
          <cell r="N68">
            <v>0</v>
          </cell>
          <cell r="O68">
            <v>0</v>
          </cell>
          <cell r="Q68" t="e">
            <v>#VALUE!</v>
          </cell>
          <cell r="R68">
            <v>0</v>
          </cell>
          <cell r="S68" t="str">
            <v>Jan1900</v>
          </cell>
          <cell r="T68" t="str">
            <v>Jan1900</v>
          </cell>
          <cell r="U68" t="e">
            <v>#VALUE!</v>
          </cell>
          <cell r="V68" t="e">
            <v>#VALUE!</v>
          </cell>
          <cell r="W68" t="str">
            <v/>
          </cell>
          <cell r="X68" t="str">
            <v>INV-9900</v>
          </cell>
          <cell r="Y68" t="str">
            <v>Jan</v>
          </cell>
          <cell r="Z68">
            <v>1900</v>
          </cell>
          <cell r="AA68" t="str">
            <v>9900</v>
          </cell>
          <cell r="AB68" t="str">
            <v>9900-50</v>
          </cell>
          <cell r="AC68">
            <v>50</v>
          </cell>
          <cell r="AD68">
            <v>0</v>
          </cell>
          <cell r="AE68">
            <v>0</v>
          </cell>
          <cell r="AF68" t="str">
            <v/>
          </cell>
          <cell r="AG68" t="str">
            <v/>
          </cell>
          <cell r="AH68">
            <v>1</v>
          </cell>
          <cell r="AI68">
            <v>1</v>
          </cell>
          <cell r="AK68" t="str">
            <v>INV--9900-50</v>
          </cell>
          <cell r="AL68">
            <v>0</v>
          </cell>
          <cell r="AN68" t="str">
            <v>INVOICE</v>
          </cell>
          <cell r="AR68" t="str">
            <v/>
          </cell>
          <cell r="AS68" t="str">
            <v/>
          </cell>
          <cell r="AT68" t="str">
            <v/>
          </cell>
          <cell r="AU68" t="str">
            <v/>
          </cell>
          <cell r="AV68" t="str">
            <v/>
          </cell>
          <cell r="AW68" t="str">
            <v/>
          </cell>
          <cell r="AX68" t="str">
            <v/>
          </cell>
          <cell r="AY68" t="str">
            <v/>
          </cell>
          <cell r="AZ68" t="str">
            <v/>
          </cell>
          <cell r="BB68" t="str">
            <v/>
          </cell>
          <cell r="BC68" t="str">
            <v/>
          </cell>
          <cell r="BF68" t="str">
            <v/>
          </cell>
          <cell r="BI68">
            <v>0</v>
          </cell>
          <cell r="BJ68">
            <v>0</v>
          </cell>
          <cell r="BK68">
            <v>30</v>
          </cell>
          <cell r="BP68" t="str">
            <v/>
          </cell>
          <cell r="BQ68" t="str">
            <v/>
          </cell>
          <cell r="BR68" t="str">
            <v/>
          </cell>
          <cell r="BS68" t="str">
            <v/>
          </cell>
        </row>
        <row r="69">
          <cell r="B69" t="str">
            <v>INV--9900-51</v>
          </cell>
          <cell r="C69" t="str">
            <v/>
          </cell>
          <cell r="D69" t="e">
            <v>#VALUE!</v>
          </cell>
          <cell r="E69" t="str">
            <v>Jan1900</v>
          </cell>
          <cell r="F69">
            <v>31</v>
          </cell>
          <cell r="G69" t="e">
            <v>#VALUE!</v>
          </cell>
          <cell r="H69">
            <v>1</v>
          </cell>
          <cell r="I69">
            <v>1</v>
          </cell>
          <cell r="J69">
            <v>0</v>
          </cell>
          <cell r="K69" t="str">
            <v>0Jan1900</v>
          </cell>
          <cell r="L69" t="str">
            <v>Buildings</v>
          </cell>
          <cell r="M69" t="str">
            <v>BuildingsJan1900</v>
          </cell>
          <cell r="N69">
            <v>0</v>
          </cell>
          <cell r="O69">
            <v>0</v>
          </cell>
          <cell r="Q69" t="e">
            <v>#VALUE!</v>
          </cell>
          <cell r="R69">
            <v>0</v>
          </cell>
          <cell r="S69" t="str">
            <v>Jan1900</v>
          </cell>
          <cell r="T69" t="str">
            <v>Jan1900</v>
          </cell>
          <cell r="U69" t="e">
            <v>#VALUE!</v>
          </cell>
          <cell r="V69" t="e">
            <v>#VALUE!</v>
          </cell>
          <cell r="W69" t="str">
            <v/>
          </cell>
          <cell r="X69" t="str">
            <v>INV-9900</v>
          </cell>
          <cell r="Y69" t="str">
            <v>Jan</v>
          </cell>
          <cell r="Z69">
            <v>1900</v>
          </cell>
          <cell r="AA69" t="str">
            <v>9900</v>
          </cell>
          <cell r="AB69" t="str">
            <v>9900-51</v>
          </cell>
          <cell r="AC69">
            <v>51</v>
          </cell>
          <cell r="AD69">
            <v>0</v>
          </cell>
          <cell r="AE69">
            <v>0</v>
          </cell>
          <cell r="AF69" t="str">
            <v/>
          </cell>
          <cell r="AG69" t="str">
            <v/>
          </cell>
          <cell r="AH69">
            <v>1</v>
          </cell>
          <cell r="AI69">
            <v>1</v>
          </cell>
          <cell r="AK69" t="str">
            <v>INV--9900-51</v>
          </cell>
          <cell r="AL69">
            <v>0</v>
          </cell>
          <cell r="AN69" t="str">
            <v>INVOICE</v>
          </cell>
          <cell r="AR69" t="str">
            <v/>
          </cell>
          <cell r="AS69" t="str">
            <v/>
          </cell>
          <cell r="AT69" t="str">
            <v/>
          </cell>
          <cell r="AU69" t="str">
            <v/>
          </cell>
          <cell r="AV69" t="str">
            <v/>
          </cell>
          <cell r="AW69" t="str">
            <v/>
          </cell>
          <cell r="AX69" t="str">
            <v/>
          </cell>
          <cell r="AY69" t="str">
            <v/>
          </cell>
          <cell r="AZ69" t="str">
            <v/>
          </cell>
          <cell r="BB69" t="str">
            <v/>
          </cell>
          <cell r="BC69" t="str">
            <v/>
          </cell>
          <cell r="BF69" t="str">
            <v/>
          </cell>
          <cell r="BI69">
            <v>0</v>
          </cell>
          <cell r="BJ69">
            <v>0</v>
          </cell>
          <cell r="BK69">
            <v>30</v>
          </cell>
          <cell r="BP69" t="str">
            <v/>
          </cell>
          <cell r="BQ69" t="str">
            <v/>
          </cell>
          <cell r="BR69" t="str">
            <v/>
          </cell>
          <cell r="BS69" t="str">
            <v/>
          </cell>
        </row>
        <row r="70">
          <cell r="B70" t="str">
            <v>INV--9900-52</v>
          </cell>
          <cell r="C70" t="str">
            <v/>
          </cell>
          <cell r="D70" t="e">
            <v>#VALUE!</v>
          </cell>
          <cell r="E70" t="str">
            <v>Jan1900</v>
          </cell>
          <cell r="F70">
            <v>31</v>
          </cell>
          <cell r="G70" t="e">
            <v>#VALUE!</v>
          </cell>
          <cell r="H70">
            <v>1</v>
          </cell>
          <cell r="I70">
            <v>1</v>
          </cell>
          <cell r="J70">
            <v>0</v>
          </cell>
          <cell r="K70" t="str">
            <v>0Jan1900</v>
          </cell>
          <cell r="L70" t="str">
            <v>Buildings</v>
          </cell>
          <cell r="M70" t="str">
            <v>BuildingsJan1900</v>
          </cell>
          <cell r="N70">
            <v>0</v>
          </cell>
          <cell r="O70">
            <v>0</v>
          </cell>
          <cell r="Q70" t="e">
            <v>#VALUE!</v>
          </cell>
          <cell r="R70">
            <v>0</v>
          </cell>
          <cell r="S70" t="str">
            <v>Jan1900</v>
          </cell>
          <cell r="T70" t="str">
            <v>Jan1900</v>
          </cell>
          <cell r="U70" t="e">
            <v>#VALUE!</v>
          </cell>
          <cell r="V70" t="e">
            <v>#VALUE!</v>
          </cell>
          <cell r="W70" t="str">
            <v/>
          </cell>
          <cell r="X70" t="str">
            <v>INV-9900</v>
          </cell>
          <cell r="Y70" t="str">
            <v>Jan</v>
          </cell>
          <cell r="Z70">
            <v>1900</v>
          </cell>
          <cell r="AA70" t="str">
            <v>9900</v>
          </cell>
          <cell r="AB70" t="str">
            <v>9900-52</v>
          </cell>
          <cell r="AC70">
            <v>52</v>
          </cell>
          <cell r="AD70">
            <v>0</v>
          </cell>
          <cell r="AE70">
            <v>0</v>
          </cell>
          <cell r="AF70" t="str">
            <v/>
          </cell>
          <cell r="AG70" t="str">
            <v/>
          </cell>
          <cell r="AH70">
            <v>1</v>
          </cell>
          <cell r="AI70">
            <v>1</v>
          </cell>
          <cell r="AK70" t="str">
            <v>INV--9900-52</v>
          </cell>
          <cell r="AL70">
            <v>0</v>
          </cell>
          <cell r="AN70" t="str">
            <v>INVOICE</v>
          </cell>
          <cell r="AR70" t="str">
            <v/>
          </cell>
          <cell r="AS70" t="str">
            <v/>
          </cell>
          <cell r="AT70" t="str">
            <v/>
          </cell>
          <cell r="AU70" t="str">
            <v/>
          </cell>
          <cell r="AV70" t="str">
            <v/>
          </cell>
          <cell r="AW70" t="str">
            <v/>
          </cell>
          <cell r="AX70" t="str">
            <v/>
          </cell>
          <cell r="AY70" t="str">
            <v/>
          </cell>
          <cell r="AZ70" t="str">
            <v/>
          </cell>
          <cell r="BB70" t="str">
            <v/>
          </cell>
          <cell r="BC70" t="str">
            <v/>
          </cell>
          <cell r="BF70" t="str">
            <v/>
          </cell>
          <cell r="BI70">
            <v>0</v>
          </cell>
          <cell r="BJ70">
            <v>0</v>
          </cell>
          <cell r="BK70">
            <v>30</v>
          </cell>
          <cell r="BP70" t="str">
            <v/>
          </cell>
          <cell r="BQ70" t="str">
            <v/>
          </cell>
          <cell r="BR70" t="str">
            <v/>
          </cell>
          <cell r="BS70" t="str">
            <v/>
          </cell>
        </row>
        <row r="71">
          <cell r="B71" t="str">
            <v>INV--9900-53</v>
          </cell>
          <cell r="C71" t="str">
            <v/>
          </cell>
          <cell r="D71" t="e">
            <v>#VALUE!</v>
          </cell>
          <cell r="E71" t="str">
            <v>Jan1900</v>
          </cell>
          <cell r="F71">
            <v>31</v>
          </cell>
          <cell r="G71" t="e">
            <v>#VALUE!</v>
          </cell>
          <cell r="H71">
            <v>1</v>
          </cell>
          <cell r="I71">
            <v>1</v>
          </cell>
          <cell r="J71">
            <v>0</v>
          </cell>
          <cell r="K71" t="str">
            <v>0Jan1900</v>
          </cell>
          <cell r="L71" t="str">
            <v>Buildings</v>
          </cell>
          <cell r="M71" t="str">
            <v>BuildingsJan1900</v>
          </cell>
          <cell r="N71">
            <v>0</v>
          </cell>
          <cell r="O71">
            <v>0</v>
          </cell>
          <cell r="Q71" t="e">
            <v>#VALUE!</v>
          </cell>
          <cell r="R71">
            <v>0</v>
          </cell>
          <cell r="S71" t="str">
            <v>Jan1900</v>
          </cell>
          <cell r="T71" t="str">
            <v>Jan1900</v>
          </cell>
          <cell r="U71" t="e">
            <v>#VALUE!</v>
          </cell>
          <cell r="V71" t="e">
            <v>#VALUE!</v>
          </cell>
          <cell r="W71" t="str">
            <v/>
          </cell>
          <cell r="X71" t="str">
            <v>INV-9900</v>
          </cell>
          <cell r="Y71" t="str">
            <v>Jan</v>
          </cell>
          <cell r="Z71">
            <v>1900</v>
          </cell>
          <cell r="AA71" t="str">
            <v>9900</v>
          </cell>
          <cell r="AB71" t="str">
            <v>9900-53</v>
          </cell>
          <cell r="AC71">
            <v>53</v>
          </cell>
          <cell r="AD71">
            <v>0</v>
          </cell>
          <cell r="AE71">
            <v>0</v>
          </cell>
          <cell r="AF71" t="str">
            <v/>
          </cell>
          <cell r="AG71" t="str">
            <v/>
          </cell>
          <cell r="AH71">
            <v>1</v>
          </cell>
          <cell r="AI71">
            <v>1</v>
          </cell>
          <cell r="AK71" t="str">
            <v>INV--9900-53</v>
          </cell>
          <cell r="AL71">
            <v>0</v>
          </cell>
          <cell r="AN71" t="str">
            <v>INVOICE</v>
          </cell>
          <cell r="AR71" t="str">
            <v/>
          </cell>
          <cell r="AS71" t="str">
            <v/>
          </cell>
          <cell r="AT71" t="str">
            <v/>
          </cell>
          <cell r="AU71" t="str">
            <v/>
          </cell>
          <cell r="AV71" t="str">
            <v/>
          </cell>
          <cell r="AW71" t="str">
            <v/>
          </cell>
          <cell r="AX71" t="str">
            <v/>
          </cell>
          <cell r="AY71" t="str">
            <v/>
          </cell>
          <cell r="AZ71" t="str">
            <v/>
          </cell>
          <cell r="BB71" t="str">
            <v/>
          </cell>
          <cell r="BC71" t="str">
            <v/>
          </cell>
          <cell r="BF71" t="str">
            <v/>
          </cell>
          <cell r="BI71">
            <v>0</v>
          </cell>
          <cell r="BJ71">
            <v>0</v>
          </cell>
          <cell r="BK71">
            <v>30</v>
          </cell>
          <cell r="BP71" t="str">
            <v/>
          </cell>
          <cell r="BQ71" t="str">
            <v/>
          </cell>
          <cell r="BR71" t="str">
            <v/>
          </cell>
          <cell r="BS71" t="str">
            <v/>
          </cell>
        </row>
        <row r="72">
          <cell r="B72" t="str">
            <v>INV--9900-54</v>
          </cell>
          <cell r="C72" t="str">
            <v/>
          </cell>
          <cell r="D72" t="e">
            <v>#VALUE!</v>
          </cell>
          <cell r="E72" t="str">
            <v>Jan1900</v>
          </cell>
          <cell r="F72">
            <v>31</v>
          </cell>
          <cell r="G72" t="e">
            <v>#VALUE!</v>
          </cell>
          <cell r="H72">
            <v>1</v>
          </cell>
          <cell r="I72">
            <v>1</v>
          </cell>
          <cell r="J72">
            <v>0</v>
          </cell>
          <cell r="K72" t="str">
            <v>0Jan1900</v>
          </cell>
          <cell r="L72" t="str">
            <v>Buildings</v>
          </cell>
          <cell r="M72" t="str">
            <v>BuildingsJan1900</v>
          </cell>
          <cell r="N72">
            <v>0</v>
          </cell>
          <cell r="O72">
            <v>0</v>
          </cell>
          <cell r="Q72" t="e">
            <v>#VALUE!</v>
          </cell>
          <cell r="R72">
            <v>0</v>
          </cell>
          <cell r="S72" t="str">
            <v>Jan1900</v>
          </cell>
          <cell r="T72" t="str">
            <v>Jan1900</v>
          </cell>
          <cell r="U72" t="e">
            <v>#VALUE!</v>
          </cell>
          <cell r="V72" t="e">
            <v>#VALUE!</v>
          </cell>
          <cell r="W72" t="str">
            <v/>
          </cell>
          <cell r="X72" t="str">
            <v>INV-9900</v>
          </cell>
          <cell r="Y72" t="str">
            <v>Jan</v>
          </cell>
          <cell r="Z72">
            <v>1900</v>
          </cell>
          <cell r="AA72" t="str">
            <v>9900</v>
          </cell>
          <cell r="AB72" t="str">
            <v>9900-54</v>
          </cell>
          <cell r="AC72">
            <v>54</v>
          </cell>
          <cell r="AD72">
            <v>0</v>
          </cell>
          <cell r="AE72">
            <v>0</v>
          </cell>
          <cell r="AF72" t="str">
            <v/>
          </cell>
          <cell r="AG72" t="str">
            <v/>
          </cell>
          <cell r="AH72">
            <v>1</v>
          </cell>
          <cell r="AI72">
            <v>1</v>
          </cell>
          <cell r="AK72" t="str">
            <v>INV--9900-54</v>
          </cell>
          <cell r="AL72">
            <v>0</v>
          </cell>
          <cell r="AN72" t="str">
            <v>INVOICE</v>
          </cell>
          <cell r="AR72" t="str">
            <v/>
          </cell>
          <cell r="AS72" t="str">
            <v/>
          </cell>
          <cell r="AT72" t="str">
            <v/>
          </cell>
          <cell r="AU72" t="str">
            <v/>
          </cell>
          <cell r="AV72" t="str">
            <v/>
          </cell>
          <cell r="AW72" t="str">
            <v/>
          </cell>
          <cell r="AX72" t="str">
            <v/>
          </cell>
          <cell r="AY72" t="str">
            <v/>
          </cell>
          <cell r="AZ72" t="str">
            <v/>
          </cell>
          <cell r="BB72" t="str">
            <v/>
          </cell>
          <cell r="BC72" t="str">
            <v/>
          </cell>
          <cell r="BF72" t="str">
            <v/>
          </cell>
          <cell r="BI72">
            <v>0</v>
          </cell>
          <cell r="BJ72">
            <v>0</v>
          </cell>
          <cell r="BK72">
            <v>30</v>
          </cell>
          <cell r="BP72" t="str">
            <v/>
          </cell>
          <cell r="BQ72" t="str">
            <v/>
          </cell>
          <cell r="BR72" t="str">
            <v/>
          </cell>
          <cell r="BS72" t="str">
            <v/>
          </cell>
        </row>
        <row r="73">
          <cell r="B73" t="str">
            <v>INV--9900-55</v>
          </cell>
          <cell r="C73" t="str">
            <v/>
          </cell>
          <cell r="D73" t="e">
            <v>#VALUE!</v>
          </cell>
          <cell r="E73" t="str">
            <v>Jan1900</v>
          </cell>
          <cell r="F73">
            <v>31</v>
          </cell>
          <cell r="G73" t="e">
            <v>#VALUE!</v>
          </cell>
          <cell r="H73">
            <v>1</v>
          </cell>
          <cell r="I73">
            <v>1</v>
          </cell>
          <cell r="J73">
            <v>0</v>
          </cell>
          <cell r="K73" t="str">
            <v>0Jan1900</v>
          </cell>
          <cell r="L73" t="str">
            <v>Buildings</v>
          </cell>
          <cell r="M73" t="str">
            <v>BuildingsJan1900</v>
          </cell>
          <cell r="N73">
            <v>0</v>
          </cell>
          <cell r="O73">
            <v>0</v>
          </cell>
          <cell r="Q73" t="e">
            <v>#VALUE!</v>
          </cell>
          <cell r="R73">
            <v>0</v>
          </cell>
          <cell r="S73" t="str">
            <v>Jan1900</v>
          </cell>
          <cell r="T73" t="str">
            <v>Jan1900</v>
          </cell>
          <cell r="U73" t="e">
            <v>#VALUE!</v>
          </cell>
          <cell r="V73" t="e">
            <v>#VALUE!</v>
          </cell>
          <cell r="W73" t="str">
            <v/>
          </cell>
          <cell r="X73" t="str">
            <v>INV-9900</v>
          </cell>
          <cell r="Y73" t="str">
            <v>Jan</v>
          </cell>
          <cell r="Z73">
            <v>1900</v>
          </cell>
          <cell r="AA73" t="str">
            <v>9900</v>
          </cell>
          <cell r="AB73" t="str">
            <v>9900-55</v>
          </cell>
          <cell r="AC73">
            <v>55</v>
          </cell>
          <cell r="AD73">
            <v>0</v>
          </cell>
          <cell r="AE73">
            <v>0</v>
          </cell>
          <cell r="AF73" t="str">
            <v/>
          </cell>
          <cell r="AG73" t="str">
            <v/>
          </cell>
          <cell r="AH73">
            <v>1</v>
          </cell>
          <cell r="AI73">
            <v>1</v>
          </cell>
          <cell r="AK73" t="str">
            <v>INV--9900-55</v>
          </cell>
          <cell r="AL73">
            <v>0</v>
          </cell>
          <cell r="AN73" t="str">
            <v>INVOICE</v>
          </cell>
          <cell r="AR73" t="str">
            <v/>
          </cell>
          <cell r="AS73" t="str">
            <v/>
          </cell>
          <cell r="AT73" t="str">
            <v/>
          </cell>
          <cell r="AU73" t="str">
            <v/>
          </cell>
          <cell r="AV73" t="str">
            <v/>
          </cell>
          <cell r="AW73" t="str">
            <v/>
          </cell>
          <cell r="AX73" t="str">
            <v/>
          </cell>
          <cell r="AY73" t="str">
            <v/>
          </cell>
          <cell r="AZ73" t="str">
            <v/>
          </cell>
          <cell r="BB73" t="str">
            <v/>
          </cell>
          <cell r="BC73" t="str">
            <v/>
          </cell>
          <cell r="BF73" t="str">
            <v/>
          </cell>
          <cell r="BI73">
            <v>0</v>
          </cell>
          <cell r="BJ73">
            <v>0</v>
          </cell>
          <cell r="BK73">
            <v>30</v>
          </cell>
          <cell r="BP73" t="str">
            <v/>
          </cell>
          <cell r="BQ73" t="str">
            <v/>
          </cell>
          <cell r="BR73" t="str">
            <v/>
          </cell>
          <cell r="BS73" t="str">
            <v/>
          </cell>
        </row>
        <row r="74">
          <cell r="B74" t="str">
            <v>INV--9900-56</v>
          </cell>
          <cell r="C74" t="str">
            <v/>
          </cell>
          <cell r="D74" t="e">
            <v>#VALUE!</v>
          </cell>
          <cell r="E74" t="str">
            <v>Jan1900</v>
          </cell>
          <cell r="F74">
            <v>31</v>
          </cell>
          <cell r="G74" t="e">
            <v>#VALUE!</v>
          </cell>
          <cell r="H74">
            <v>1</v>
          </cell>
          <cell r="I74">
            <v>1</v>
          </cell>
          <cell r="J74">
            <v>0</v>
          </cell>
          <cell r="K74" t="str">
            <v>0Jan1900</v>
          </cell>
          <cell r="L74" t="str">
            <v>Buildings</v>
          </cell>
          <cell r="M74" t="str">
            <v>BuildingsJan1900</v>
          </cell>
          <cell r="N74">
            <v>0</v>
          </cell>
          <cell r="O74">
            <v>0</v>
          </cell>
          <cell r="Q74" t="e">
            <v>#VALUE!</v>
          </cell>
          <cell r="R74">
            <v>0</v>
          </cell>
          <cell r="S74" t="str">
            <v>Jan1900</v>
          </cell>
          <cell r="T74" t="str">
            <v>Jan1900</v>
          </cell>
          <cell r="U74" t="e">
            <v>#VALUE!</v>
          </cell>
          <cell r="V74" t="e">
            <v>#VALUE!</v>
          </cell>
          <cell r="W74" t="str">
            <v/>
          </cell>
          <cell r="X74" t="str">
            <v>INV-9900</v>
          </cell>
          <cell r="Y74" t="str">
            <v>Jan</v>
          </cell>
          <cell r="Z74">
            <v>1900</v>
          </cell>
          <cell r="AA74" t="str">
            <v>9900</v>
          </cell>
          <cell r="AB74" t="str">
            <v>9900-56</v>
          </cell>
          <cell r="AC74">
            <v>56</v>
          </cell>
          <cell r="AD74">
            <v>0</v>
          </cell>
          <cell r="AE74">
            <v>0</v>
          </cell>
          <cell r="AF74" t="str">
            <v/>
          </cell>
          <cell r="AG74" t="str">
            <v/>
          </cell>
          <cell r="AH74">
            <v>1</v>
          </cell>
          <cell r="AI74">
            <v>1</v>
          </cell>
          <cell r="AK74" t="str">
            <v>INV--9900-56</v>
          </cell>
          <cell r="AL74">
            <v>0</v>
          </cell>
          <cell r="AN74" t="str">
            <v>INVOICE</v>
          </cell>
          <cell r="AR74" t="str">
            <v/>
          </cell>
          <cell r="AS74" t="str">
            <v/>
          </cell>
          <cell r="AT74" t="str">
            <v/>
          </cell>
          <cell r="AU74" t="str">
            <v/>
          </cell>
          <cell r="AV74" t="str">
            <v/>
          </cell>
          <cell r="AW74" t="str">
            <v/>
          </cell>
          <cell r="AX74" t="str">
            <v/>
          </cell>
          <cell r="AY74" t="str">
            <v/>
          </cell>
          <cell r="AZ74" t="str">
            <v/>
          </cell>
          <cell r="BB74" t="str">
            <v/>
          </cell>
          <cell r="BC74" t="str">
            <v/>
          </cell>
          <cell r="BF74" t="str">
            <v/>
          </cell>
          <cell r="BI74">
            <v>0</v>
          </cell>
          <cell r="BJ74">
            <v>0</v>
          </cell>
          <cell r="BK74">
            <v>30</v>
          </cell>
          <cell r="BP74" t="str">
            <v/>
          </cell>
          <cell r="BQ74" t="str">
            <v/>
          </cell>
          <cell r="BR74" t="str">
            <v/>
          </cell>
          <cell r="BS74" t="str">
            <v/>
          </cell>
        </row>
        <row r="75">
          <cell r="B75" t="str">
            <v>INV--9900-57</v>
          </cell>
          <cell r="C75" t="str">
            <v/>
          </cell>
          <cell r="D75" t="e">
            <v>#VALUE!</v>
          </cell>
          <cell r="E75" t="str">
            <v>Jan1900</v>
          </cell>
          <cell r="F75">
            <v>31</v>
          </cell>
          <cell r="G75" t="e">
            <v>#VALUE!</v>
          </cell>
          <cell r="H75">
            <v>1</v>
          </cell>
          <cell r="I75">
            <v>1</v>
          </cell>
          <cell r="J75">
            <v>0</v>
          </cell>
          <cell r="K75" t="str">
            <v>0Jan1900</v>
          </cell>
          <cell r="L75" t="str">
            <v>Buildings</v>
          </cell>
          <cell r="M75" t="str">
            <v>BuildingsJan1900</v>
          </cell>
          <cell r="N75">
            <v>0</v>
          </cell>
          <cell r="O75">
            <v>0</v>
          </cell>
          <cell r="Q75" t="e">
            <v>#VALUE!</v>
          </cell>
          <cell r="R75">
            <v>0</v>
          </cell>
          <cell r="S75" t="str">
            <v>Jan1900</v>
          </cell>
          <cell r="T75" t="str">
            <v>Jan1900</v>
          </cell>
          <cell r="U75" t="e">
            <v>#VALUE!</v>
          </cell>
          <cell r="V75" t="e">
            <v>#VALUE!</v>
          </cell>
          <cell r="W75" t="str">
            <v/>
          </cell>
          <cell r="X75" t="str">
            <v>INV-9900</v>
          </cell>
          <cell r="Y75" t="str">
            <v>Jan</v>
          </cell>
          <cell r="Z75">
            <v>1900</v>
          </cell>
          <cell r="AA75" t="str">
            <v>9900</v>
          </cell>
          <cell r="AB75" t="str">
            <v>9900-57</v>
          </cell>
          <cell r="AC75">
            <v>57</v>
          </cell>
          <cell r="AD75">
            <v>0</v>
          </cell>
          <cell r="AE75">
            <v>0</v>
          </cell>
          <cell r="AF75" t="str">
            <v/>
          </cell>
          <cell r="AG75" t="str">
            <v/>
          </cell>
          <cell r="AH75">
            <v>1</v>
          </cell>
          <cell r="AI75">
            <v>1</v>
          </cell>
          <cell r="AK75" t="str">
            <v>INV--9900-57</v>
          </cell>
          <cell r="AL75">
            <v>0</v>
          </cell>
          <cell r="AN75" t="str">
            <v>INVOICE</v>
          </cell>
          <cell r="AR75" t="str">
            <v/>
          </cell>
          <cell r="AS75" t="str">
            <v/>
          </cell>
          <cell r="AT75" t="str">
            <v/>
          </cell>
          <cell r="AU75" t="str">
            <v/>
          </cell>
          <cell r="AV75" t="str">
            <v/>
          </cell>
          <cell r="AW75" t="str">
            <v/>
          </cell>
          <cell r="AX75" t="str">
            <v/>
          </cell>
          <cell r="AY75" t="str">
            <v/>
          </cell>
          <cell r="AZ75" t="str">
            <v/>
          </cell>
          <cell r="BB75" t="str">
            <v/>
          </cell>
          <cell r="BC75" t="str">
            <v/>
          </cell>
          <cell r="BF75" t="str">
            <v/>
          </cell>
          <cell r="BI75">
            <v>0</v>
          </cell>
          <cell r="BJ75">
            <v>0</v>
          </cell>
          <cell r="BK75">
            <v>30</v>
          </cell>
          <cell r="BP75" t="str">
            <v/>
          </cell>
          <cell r="BQ75" t="str">
            <v/>
          </cell>
          <cell r="BR75" t="str">
            <v/>
          </cell>
          <cell r="BS75" t="str">
            <v/>
          </cell>
        </row>
        <row r="76">
          <cell r="B76" t="str">
            <v>INV--9900-58</v>
          </cell>
          <cell r="C76" t="str">
            <v/>
          </cell>
          <cell r="D76" t="e">
            <v>#VALUE!</v>
          </cell>
          <cell r="E76" t="str">
            <v>Jan1900</v>
          </cell>
          <cell r="F76">
            <v>31</v>
          </cell>
          <cell r="G76" t="e">
            <v>#VALUE!</v>
          </cell>
          <cell r="H76">
            <v>1</v>
          </cell>
          <cell r="I76">
            <v>1</v>
          </cell>
          <cell r="J76">
            <v>0</v>
          </cell>
          <cell r="K76" t="str">
            <v>0Jan1900</v>
          </cell>
          <cell r="L76" t="str">
            <v>Buildings</v>
          </cell>
          <cell r="M76" t="str">
            <v>BuildingsJan1900</v>
          </cell>
          <cell r="N76">
            <v>0</v>
          </cell>
          <cell r="O76">
            <v>0</v>
          </cell>
          <cell r="Q76" t="e">
            <v>#VALUE!</v>
          </cell>
          <cell r="R76">
            <v>0</v>
          </cell>
          <cell r="S76" t="str">
            <v>Jan1900</v>
          </cell>
          <cell r="T76" t="str">
            <v>Jan1900</v>
          </cell>
          <cell r="U76" t="e">
            <v>#VALUE!</v>
          </cell>
          <cell r="V76" t="e">
            <v>#VALUE!</v>
          </cell>
          <cell r="W76" t="str">
            <v/>
          </cell>
          <cell r="X76" t="str">
            <v>INV-9900</v>
          </cell>
          <cell r="Y76" t="str">
            <v>Jan</v>
          </cell>
          <cell r="Z76">
            <v>1900</v>
          </cell>
          <cell r="AA76" t="str">
            <v>9900</v>
          </cell>
          <cell r="AB76" t="str">
            <v>9900-58</v>
          </cell>
          <cell r="AC76">
            <v>58</v>
          </cell>
          <cell r="AD76">
            <v>0</v>
          </cell>
          <cell r="AE76">
            <v>0</v>
          </cell>
          <cell r="AF76" t="str">
            <v/>
          </cell>
          <cell r="AG76" t="str">
            <v/>
          </cell>
          <cell r="AH76">
            <v>1</v>
          </cell>
          <cell r="AI76">
            <v>1</v>
          </cell>
          <cell r="AK76" t="str">
            <v>INV--9900-58</v>
          </cell>
          <cell r="AL76">
            <v>0</v>
          </cell>
          <cell r="AN76" t="str">
            <v>INVOICE</v>
          </cell>
          <cell r="AR76" t="str">
            <v/>
          </cell>
          <cell r="AS76" t="str">
            <v/>
          </cell>
          <cell r="AT76" t="str">
            <v/>
          </cell>
          <cell r="AU76" t="str">
            <v/>
          </cell>
          <cell r="AV76" t="str">
            <v/>
          </cell>
          <cell r="AW76" t="str">
            <v/>
          </cell>
          <cell r="AX76" t="str">
            <v/>
          </cell>
          <cell r="AY76" t="str">
            <v/>
          </cell>
          <cell r="AZ76" t="str">
            <v/>
          </cell>
          <cell r="BB76" t="str">
            <v/>
          </cell>
          <cell r="BC76" t="str">
            <v/>
          </cell>
          <cell r="BF76" t="str">
            <v/>
          </cell>
          <cell r="BI76">
            <v>0</v>
          </cell>
          <cell r="BJ76">
            <v>0</v>
          </cell>
          <cell r="BK76">
            <v>30</v>
          </cell>
          <cell r="BP76" t="str">
            <v/>
          </cell>
          <cell r="BQ76" t="str">
            <v/>
          </cell>
          <cell r="BR76" t="str">
            <v/>
          </cell>
          <cell r="BS76" t="str">
            <v/>
          </cell>
        </row>
        <row r="77">
          <cell r="B77" t="str">
            <v>INV--9900-59</v>
          </cell>
          <cell r="C77" t="str">
            <v/>
          </cell>
          <cell r="D77" t="e">
            <v>#VALUE!</v>
          </cell>
          <cell r="E77" t="str">
            <v>Jan1900</v>
          </cell>
          <cell r="F77">
            <v>31</v>
          </cell>
          <cell r="G77" t="e">
            <v>#VALUE!</v>
          </cell>
          <cell r="H77">
            <v>1</v>
          </cell>
          <cell r="I77">
            <v>1</v>
          </cell>
          <cell r="J77">
            <v>0</v>
          </cell>
          <cell r="K77" t="str">
            <v>0Jan1900</v>
          </cell>
          <cell r="L77" t="str">
            <v>Buildings</v>
          </cell>
          <cell r="M77" t="str">
            <v>BuildingsJan1900</v>
          </cell>
          <cell r="N77">
            <v>0</v>
          </cell>
          <cell r="O77">
            <v>0</v>
          </cell>
          <cell r="Q77" t="e">
            <v>#VALUE!</v>
          </cell>
          <cell r="R77">
            <v>0</v>
          </cell>
          <cell r="S77" t="str">
            <v>Jan1900</v>
          </cell>
          <cell r="T77" t="str">
            <v>Jan1900</v>
          </cell>
          <cell r="U77" t="e">
            <v>#VALUE!</v>
          </cell>
          <cell r="V77" t="e">
            <v>#VALUE!</v>
          </cell>
          <cell r="W77" t="str">
            <v/>
          </cell>
          <cell r="X77" t="str">
            <v>INV-9900</v>
          </cell>
          <cell r="Y77" t="str">
            <v>Jan</v>
          </cell>
          <cell r="Z77">
            <v>1900</v>
          </cell>
          <cell r="AA77" t="str">
            <v>9900</v>
          </cell>
          <cell r="AB77" t="str">
            <v>9900-59</v>
          </cell>
          <cell r="AC77">
            <v>59</v>
          </cell>
          <cell r="AD77">
            <v>0</v>
          </cell>
          <cell r="AE77">
            <v>0</v>
          </cell>
          <cell r="AF77" t="str">
            <v/>
          </cell>
          <cell r="AG77" t="str">
            <v/>
          </cell>
          <cell r="AH77">
            <v>1</v>
          </cell>
          <cell r="AI77">
            <v>1</v>
          </cell>
          <cell r="AK77" t="str">
            <v>INV--9900-59</v>
          </cell>
          <cell r="AL77">
            <v>0</v>
          </cell>
          <cell r="AN77" t="str">
            <v>INVOICE</v>
          </cell>
          <cell r="AR77" t="str">
            <v/>
          </cell>
          <cell r="AS77" t="str">
            <v/>
          </cell>
          <cell r="AT77" t="str">
            <v/>
          </cell>
          <cell r="AU77" t="str">
            <v/>
          </cell>
          <cell r="AV77" t="str">
            <v/>
          </cell>
          <cell r="AW77" t="str">
            <v/>
          </cell>
          <cell r="AX77" t="str">
            <v/>
          </cell>
          <cell r="AY77" t="str">
            <v/>
          </cell>
          <cell r="AZ77" t="str">
            <v/>
          </cell>
          <cell r="BB77" t="str">
            <v/>
          </cell>
          <cell r="BC77" t="str">
            <v/>
          </cell>
          <cell r="BF77" t="str">
            <v/>
          </cell>
          <cell r="BI77">
            <v>0</v>
          </cell>
          <cell r="BJ77">
            <v>0</v>
          </cell>
          <cell r="BK77">
            <v>30</v>
          </cell>
          <cell r="BP77" t="str">
            <v/>
          </cell>
          <cell r="BQ77" t="str">
            <v/>
          </cell>
          <cell r="BR77" t="str">
            <v/>
          </cell>
          <cell r="BS77" t="str">
            <v/>
          </cell>
        </row>
        <row r="78">
          <cell r="B78" t="str">
            <v>INV--9900-60</v>
          </cell>
          <cell r="C78" t="str">
            <v/>
          </cell>
          <cell r="D78" t="e">
            <v>#VALUE!</v>
          </cell>
          <cell r="E78" t="str">
            <v>Jan1900</v>
          </cell>
          <cell r="F78">
            <v>31</v>
          </cell>
          <cell r="G78" t="e">
            <v>#VALUE!</v>
          </cell>
          <cell r="H78">
            <v>1</v>
          </cell>
          <cell r="I78">
            <v>1</v>
          </cell>
          <cell r="J78">
            <v>0</v>
          </cell>
          <cell r="K78" t="str">
            <v>0Jan1900</v>
          </cell>
          <cell r="L78" t="str">
            <v>Buildings</v>
          </cell>
          <cell r="M78" t="str">
            <v>BuildingsJan1900</v>
          </cell>
          <cell r="N78">
            <v>0</v>
          </cell>
          <cell r="O78">
            <v>0</v>
          </cell>
          <cell r="Q78" t="e">
            <v>#VALUE!</v>
          </cell>
          <cell r="R78">
            <v>0</v>
          </cell>
          <cell r="S78" t="str">
            <v>Jan1900</v>
          </cell>
          <cell r="T78" t="str">
            <v>Jan1900</v>
          </cell>
          <cell r="U78" t="e">
            <v>#VALUE!</v>
          </cell>
          <cell r="V78" t="e">
            <v>#VALUE!</v>
          </cell>
          <cell r="W78" t="str">
            <v/>
          </cell>
          <cell r="X78" t="str">
            <v>INV-9900</v>
          </cell>
          <cell r="Y78" t="str">
            <v>Jan</v>
          </cell>
          <cell r="Z78">
            <v>1900</v>
          </cell>
          <cell r="AA78" t="str">
            <v>9900</v>
          </cell>
          <cell r="AB78" t="str">
            <v>9900-60</v>
          </cell>
          <cell r="AC78">
            <v>60</v>
          </cell>
          <cell r="AD78">
            <v>0</v>
          </cell>
          <cell r="AE78">
            <v>0</v>
          </cell>
          <cell r="AF78" t="str">
            <v/>
          </cell>
          <cell r="AG78" t="str">
            <v/>
          </cell>
          <cell r="AH78">
            <v>1</v>
          </cell>
          <cell r="AI78">
            <v>1</v>
          </cell>
          <cell r="AK78" t="str">
            <v>INV--9900-60</v>
          </cell>
          <cell r="AL78">
            <v>0</v>
          </cell>
          <cell r="AN78" t="str">
            <v>INVOICE</v>
          </cell>
          <cell r="AR78" t="str">
            <v/>
          </cell>
          <cell r="AS78" t="str">
            <v/>
          </cell>
          <cell r="AT78" t="str">
            <v/>
          </cell>
          <cell r="AU78" t="str">
            <v/>
          </cell>
          <cell r="AV78" t="str">
            <v/>
          </cell>
          <cell r="AW78" t="str">
            <v/>
          </cell>
          <cell r="AX78" t="str">
            <v/>
          </cell>
          <cell r="AY78" t="str">
            <v/>
          </cell>
          <cell r="AZ78" t="str">
            <v/>
          </cell>
          <cell r="BB78" t="str">
            <v/>
          </cell>
          <cell r="BC78" t="str">
            <v/>
          </cell>
          <cell r="BF78" t="str">
            <v/>
          </cell>
          <cell r="BI78">
            <v>0</v>
          </cell>
          <cell r="BJ78">
            <v>0</v>
          </cell>
          <cell r="BK78">
            <v>30</v>
          </cell>
          <cell r="BP78" t="str">
            <v/>
          </cell>
          <cell r="BQ78" t="str">
            <v/>
          </cell>
          <cell r="BR78" t="str">
            <v/>
          </cell>
          <cell r="BS78" t="str">
            <v/>
          </cell>
        </row>
        <row r="79">
          <cell r="B79" t="str">
            <v>INV--9900-61</v>
          </cell>
          <cell r="C79" t="str">
            <v/>
          </cell>
          <cell r="D79" t="e">
            <v>#VALUE!</v>
          </cell>
          <cell r="E79" t="str">
            <v>Jan1900</v>
          </cell>
          <cell r="F79">
            <v>31</v>
          </cell>
          <cell r="G79" t="e">
            <v>#VALUE!</v>
          </cell>
          <cell r="H79">
            <v>1</v>
          </cell>
          <cell r="I79">
            <v>1</v>
          </cell>
          <cell r="J79">
            <v>0</v>
          </cell>
          <cell r="K79" t="str">
            <v>0Jan1900</v>
          </cell>
          <cell r="L79" t="str">
            <v>Buildings</v>
          </cell>
          <cell r="M79" t="str">
            <v>BuildingsJan1900</v>
          </cell>
          <cell r="N79">
            <v>0</v>
          </cell>
          <cell r="O79">
            <v>0</v>
          </cell>
          <cell r="Q79" t="e">
            <v>#VALUE!</v>
          </cell>
          <cell r="R79">
            <v>0</v>
          </cell>
          <cell r="S79" t="str">
            <v>Jan1900</v>
          </cell>
          <cell r="T79" t="str">
            <v>Jan1900</v>
          </cell>
          <cell r="U79" t="e">
            <v>#VALUE!</v>
          </cell>
          <cell r="V79" t="e">
            <v>#VALUE!</v>
          </cell>
          <cell r="W79" t="str">
            <v/>
          </cell>
          <cell r="X79" t="str">
            <v>INV-9900</v>
          </cell>
          <cell r="Y79" t="str">
            <v>Jan</v>
          </cell>
          <cell r="Z79">
            <v>1900</v>
          </cell>
          <cell r="AA79" t="str">
            <v>9900</v>
          </cell>
          <cell r="AB79" t="str">
            <v>9900-61</v>
          </cell>
          <cell r="AC79">
            <v>61</v>
          </cell>
          <cell r="AD79">
            <v>0</v>
          </cell>
          <cell r="AE79">
            <v>0</v>
          </cell>
          <cell r="AF79" t="str">
            <v/>
          </cell>
          <cell r="AG79" t="str">
            <v/>
          </cell>
          <cell r="AH79">
            <v>1</v>
          </cell>
          <cell r="AI79">
            <v>1</v>
          </cell>
          <cell r="AK79" t="str">
            <v>INV--9900-61</v>
          </cell>
          <cell r="AL79">
            <v>0</v>
          </cell>
          <cell r="AN79" t="str">
            <v>INVOICE</v>
          </cell>
          <cell r="AR79" t="str">
            <v/>
          </cell>
          <cell r="AS79" t="str">
            <v/>
          </cell>
          <cell r="AT79" t="str">
            <v/>
          </cell>
          <cell r="AU79" t="str">
            <v/>
          </cell>
          <cell r="AV79" t="str">
            <v/>
          </cell>
          <cell r="AW79" t="str">
            <v/>
          </cell>
          <cell r="AX79" t="str">
            <v/>
          </cell>
          <cell r="AY79" t="str">
            <v/>
          </cell>
          <cell r="AZ79" t="str">
            <v/>
          </cell>
          <cell r="BB79" t="str">
            <v/>
          </cell>
          <cell r="BC79" t="str">
            <v/>
          </cell>
          <cell r="BF79" t="str">
            <v/>
          </cell>
          <cell r="BI79">
            <v>0</v>
          </cell>
          <cell r="BJ79">
            <v>0</v>
          </cell>
          <cell r="BK79">
            <v>30</v>
          </cell>
          <cell r="BP79" t="str">
            <v/>
          </cell>
          <cell r="BQ79" t="str">
            <v/>
          </cell>
          <cell r="BR79" t="str">
            <v/>
          </cell>
          <cell r="BS79" t="str">
            <v/>
          </cell>
        </row>
        <row r="80">
          <cell r="B80" t="str">
            <v>INV--9900-62</v>
          </cell>
          <cell r="C80" t="str">
            <v/>
          </cell>
          <cell r="D80" t="e">
            <v>#VALUE!</v>
          </cell>
          <cell r="E80" t="str">
            <v>Jan1900</v>
          </cell>
          <cell r="F80">
            <v>31</v>
          </cell>
          <cell r="G80" t="e">
            <v>#VALUE!</v>
          </cell>
          <cell r="H80">
            <v>1</v>
          </cell>
          <cell r="I80">
            <v>1</v>
          </cell>
          <cell r="J80">
            <v>0</v>
          </cell>
          <cell r="K80" t="str">
            <v>0Jan1900</v>
          </cell>
          <cell r="L80" t="str">
            <v>Buildings</v>
          </cell>
          <cell r="M80" t="str">
            <v>BuildingsJan1900</v>
          </cell>
          <cell r="N80">
            <v>0</v>
          </cell>
          <cell r="O80">
            <v>0</v>
          </cell>
          <cell r="Q80" t="e">
            <v>#VALUE!</v>
          </cell>
          <cell r="R80">
            <v>0</v>
          </cell>
          <cell r="S80" t="str">
            <v>Jan1900</v>
          </cell>
          <cell r="T80" t="str">
            <v>Jan1900</v>
          </cell>
          <cell r="U80" t="e">
            <v>#VALUE!</v>
          </cell>
          <cell r="V80" t="e">
            <v>#VALUE!</v>
          </cell>
          <cell r="W80" t="str">
            <v/>
          </cell>
          <cell r="X80" t="str">
            <v>INV-9900</v>
          </cell>
          <cell r="Y80" t="str">
            <v>Jan</v>
          </cell>
          <cell r="Z80">
            <v>1900</v>
          </cell>
          <cell r="AA80" t="str">
            <v>9900</v>
          </cell>
          <cell r="AB80" t="str">
            <v>9900-62</v>
          </cell>
          <cell r="AC80">
            <v>62</v>
          </cell>
          <cell r="AD80">
            <v>0</v>
          </cell>
          <cell r="AE80">
            <v>0</v>
          </cell>
          <cell r="AF80" t="str">
            <v/>
          </cell>
          <cell r="AG80" t="str">
            <v/>
          </cell>
          <cell r="AH80">
            <v>1</v>
          </cell>
          <cell r="AI80">
            <v>1</v>
          </cell>
          <cell r="AK80" t="str">
            <v>INV--9900-62</v>
          </cell>
          <cell r="AL80">
            <v>0</v>
          </cell>
          <cell r="AN80" t="str">
            <v>INVOICE</v>
          </cell>
          <cell r="AR80" t="str">
            <v/>
          </cell>
          <cell r="AS80" t="str">
            <v/>
          </cell>
          <cell r="AT80" t="str">
            <v/>
          </cell>
          <cell r="AU80" t="str">
            <v/>
          </cell>
          <cell r="AV80" t="str">
            <v/>
          </cell>
          <cell r="AW80" t="str">
            <v/>
          </cell>
          <cell r="AX80" t="str">
            <v/>
          </cell>
          <cell r="AY80" t="str">
            <v/>
          </cell>
          <cell r="AZ80" t="str">
            <v/>
          </cell>
          <cell r="BB80" t="str">
            <v/>
          </cell>
          <cell r="BC80" t="str">
            <v/>
          </cell>
          <cell r="BF80" t="str">
            <v/>
          </cell>
          <cell r="BI80">
            <v>0</v>
          </cell>
          <cell r="BJ80">
            <v>0</v>
          </cell>
          <cell r="BK80">
            <v>30</v>
          </cell>
          <cell r="BP80" t="str">
            <v/>
          </cell>
          <cell r="BQ80" t="str">
            <v/>
          </cell>
          <cell r="BR80" t="str">
            <v/>
          </cell>
          <cell r="BS80" t="str">
            <v/>
          </cell>
        </row>
        <row r="81">
          <cell r="B81" t="str">
            <v>INV--9900-63</v>
          </cell>
          <cell r="C81" t="str">
            <v/>
          </cell>
          <cell r="D81" t="e">
            <v>#VALUE!</v>
          </cell>
          <cell r="E81" t="str">
            <v>Jan1900</v>
          </cell>
          <cell r="F81">
            <v>31</v>
          </cell>
          <cell r="G81" t="e">
            <v>#VALUE!</v>
          </cell>
          <cell r="H81">
            <v>1</v>
          </cell>
          <cell r="I81">
            <v>1</v>
          </cell>
          <cell r="J81">
            <v>0</v>
          </cell>
          <cell r="K81" t="str">
            <v>0Jan1900</v>
          </cell>
          <cell r="L81" t="str">
            <v>Buildings</v>
          </cell>
          <cell r="M81" t="str">
            <v>BuildingsJan1900</v>
          </cell>
          <cell r="N81">
            <v>0</v>
          </cell>
          <cell r="O81">
            <v>0</v>
          </cell>
          <cell r="Q81" t="e">
            <v>#VALUE!</v>
          </cell>
          <cell r="R81">
            <v>0</v>
          </cell>
          <cell r="S81" t="str">
            <v>Jan1900</v>
          </cell>
          <cell r="T81" t="str">
            <v>Jan1900</v>
          </cell>
          <cell r="U81" t="e">
            <v>#VALUE!</v>
          </cell>
          <cell r="V81" t="e">
            <v>#VALUE!</v>
          </cell>
          <cell r="W81" t="str">
            <v/>
          </cell>
          <cell r="X81" t="str">
            <v>INV-9900</v>
          </cell>
          <cell r="Y81" t="str">
            <v>Jan</v>
          </cell>
          <cell r="Z81">
            <v>1900</v>
          </cell>
          <cell r="AA81" t="str">
            <v>9900</v>
          </cell>
          <cell r="AB81" t="str">
            <v>9900-63</v>
          </cell>
          <cell r="AC81">
            <v>63</v>
          </cell>
          <cell r="AD81">
            <v>0</v>
          </cell>
          <cell r="AE81">
            <v>0</v>
          </cell>
          <cell r="AF81" t="str">
            <v/>
          </cell>
          <cell r="AG81" t="str">
            <v/>
          </cell>
          <cell r="AH81">
            <v>1</v>
          </cell>
          <cell r="AI81">
            <v>1</v>
          </cell>
          <cell r="AK81" t="str">
            <v>INV--9900-63</v>
          </cell>
          <cell r="AL81">
            <v>0</v>
          </cell>
          <cell r="AN81" t="str">
            <v>INVOICE</v>
          </cell>
          <cell r="AR81" t="str">
            <v/>
          </cell>
          <cell r="AS81" t="str">
            <v/>
          </cell>
          <cell r="AT81" t="str">
            <v/>
          </cell>
          <cell r="AU81" t="str">
            <v/>
          </cell>
          <cell r="AV81" t="str">
            <v/>
          </cell>
          <cell r="AW81" t="str">
            <v/>
          </cell>
          <cell r="AX81" t="str">
            <v/>
          </cell>
          <cell r="AY81" t="str">
            <v/>
          </cell>
          <cell r="AZ81" t="str">
            <v/>
          </cell>
          <cell r="BB81" t="str">
            <v/>
          </cell>
          <cell r="BC81" t="str">
            <v/>
          </cell>
          <cell r="BF81" t="str">
            <v/>
          </cell>
          <cell r="BI81">
            <v>0</v>
          </cell>
          <cell r="BJ81">
            <v>0</v>
          </cell>
          <cell r="BK81">
            <v>30</v>
          </cell>
          <cell r="BP81" t="str">
            <v/>
          </cell>
          <cell r="BQ81" t="str">
            <v/>
          </cell>
          <cell r="BR81" t="str">
            <v/>
          </cell>
          <cell r="BS81" t="str">
            <v/>
          </cell>
        </row>
        <row r="82">
          <cell r="B82" t="str">
            <v>INV--9900-64</v>
          </cell>
          <cell r="C82" t="str">
            <v/>
          </cell>
          <cell r="D82" t="e">
            <v>#VALUE!</v>
          </cell>
          <cell r="E82" t="str">
            <v>Jan1900</v>
          </cell>
          <cell r="F82">
            <v>31</v>
          </cell>
          <cell r="G82" t="e">
            <v>#VALUE!</v>
          </cell>
          <cell r="H82">
            <v>1</v>
          </cell>
          <cell r="I82">
            <v>1</v>
          </cell>
          <cell r="J82">
            <v>0</v>
          </cell>
          <cell r="K82" t="str">
            <v>0Jan1900</v>
          </cell>
          <cell r="L82" t="str">
            <v>Buildings</v>
          </cell>
          <cell r="M82" t="str">
            <v>BuildingsJan1900</v>
          </cell>
          <cell r="N82">
            <v>0</v>
          </cell>
          <cell r="O82">
            <v>0</v>
          </cell>
          <cell r="Q82" t="e">
            <v>#VALUE!</v>
          </cell>
          <cell r="R82">
            <v>0</v>
          </cell>
          <cell r="S82" t="str">
            <v>Jan1900</v>
          </cell>
          <cell r="T82" t="str">
            <v>Jan1900</v>
          </cell>
          <cell r="U82" t="e">
            <v>#VALUE!</v>
          </cell>
          <cell r="V82" t="e">
            <v>#VALUE!</v>
          </cell>
          <cell r="W82" t="str">
            <v/>
          </cell>
          <cell r="X82" t="str">
            <v>INV-9900</v>
          </cell>
          <cell r="Y82" t="str">
            <v>Jan</v>
          </cell>
          <cell r="Z82">
            <v>1900</v>
          </cell>
          <cell r="AA82" t="str">
            <v>9900</v>
          </cell>
          <cell r="AB82" t="str">
            <v>9900-64</v>
          </cell>
          <cell r="AC82">
            <v>64</v>
          </cell>
          <cell r="AD82">
            <v>0</v>
          </cell>
          <cell r="AE82">
            <v>0</v>
          </cell>
          <cell r="AF82" t="str">
            <v/>
          </cell>
          <cell r="AG82" t="str">
            <v/>
          </cell>
          <cell r="AH82">
            <v>1</v>
          </cell>
          <cell r="AI82">
            <v>1</v>
          </cell>
          <cell r="AK82" t="str">
            <v>INV--9900-64</v>
          </cell>
          <cell r="AL82">
            <v>0</v>
          </cell>
          <cell r="AN82" t="str">
            <v>INVOICE</v>
          </cell>
          <cell r="AR82" t="str">
            <v/>
          </cell>
          <cell r="AS82" t="str">
            <v/>
          </cell>
          <cell r="AT82" t="str">
            <v/>
          </cell>
          <cell r="AU82" t="str">
            <v/>
          </cell>
          <cell r="AV82" t="str">
            <v/>
          </cell>
          <cell r="AW82" t="str">
            <v/>
          </cell>
          <cell r="AX82" t="str">
            <v/>
          </cell>
          <cell r="AY82" t="str">
            <v/>
          </cell>
          <cell r="AZ82" t="str">
            <v/>
          </cell>
          <cell r="BB82" t="str">
            <v/>
          </cell>
          <cell r="BC82" t="str">
            <v/>
          </cell>
          <cell r="BF82" t="str">
            <v/>
          </cell>
          <cell r="BI82">
            <v>0</v>
          </cell>
          <cell r="BJ82">
            <v>0</v>
          </cell>
          <cell r="BK82">
            <v>30</v>
          </cell>
          <cell r="BP82" t="str">
            <v/>
          </cell>
          <cell r="BQ82" t="str">
            <v/>
          </cell>
          <cell r="BR82" t="str">
            <v/>
          </cell>
          <cell r="BS82" t="str">
            <v/>
          </cell>
        </row>
        <row r="83">
          <cell r="B83" t="str">
            <v>INV--9900-65</v>
          </cell>
          <cell r="C83" t="str">
            <v/>
          </cell>
          <cell r="D83" t="e">
            <v>#VALUE!</v>
          </cell>
          <cell r="E83" t="str">
            <v>Jan1900</v>
          </cell>
          <cell r="F83">
            <v>31</v>
          </cell>
          <cell r="G83" t="e">
            <v>#VALUE!</v>
          </cell>
          <cell r="H83">
            <v>1</v>
          </cell>
          <cell r="I83">
            <v>1</v>
          </cell>
          <cell r="J83">
            <v>0</v>
          </cell>
          <cell r="K83" t="str">
            <v>0Jan1900</v>
          </cell>
          <cell r="L83" t="str">
            <v>Buildings</v>
          </cell>
          <cell r="M83" t="str">
            <v>BuildingsJan1900</v>
          </cell>
          <cell r="N83">
            <v>0</v>
          </cell>
          <cell r="O83">
            <v>0</v>
          </cell>
          <cell r="Q83" t="e">
            <v>#VALUE!</v>
          </cell>
          <cell r="R83">
            <v>0</v>
          </cell>
          <cell r="S83" t="str">
            <v>Jan1900</v>
          </cell>
          <cell r="T83" t="str">
            <v>Jan1900</v>
          </cell>
          <cell r="U83" t="e">
            <v>#VALUE!</v>
          </cell>
          <cell r="V83" t="e">
            <v>#VALUE!</v>
          </cell>
          <cell r="W83" t="str">
            <v/>
          </cell>
          <cell r="X83" t="str">
            <v>INV-9900</v>
          </cell>
          <cell r="Y83" t="str">
            <v>Jan</v>
          </cell>
          <cell r="Z83">
            <v>1900</v>
          </cell>
          <cell r="AA83" t="str">
            <v>9900</v>
          </cell>
          <cell r="AB83" t="str">
            <v>9900-65</v>
          </cell>
          <cell r="AC83">
            <v>65</v>
          </cell>
          <cell r="AD83">
            <v>0</v>
          </cell>
          <cell r="AE83">
            <v>0</v>
          </cell>
          <cell r="AF83" t="str">
            <v/>
          </cell>
          <cell r="AG83" t="str">
            <v/>
          </cell>
          <cell r="AH83">
            <v>1</v>
          </cell>
          <cell r="AI83">
            <v>1</v>
          </cell>
          <cell r="AK83" t="str">
            <v>INV--9900-65</v>
          </cell>
          <cell r="AL83">
            <v>0</v>
          </cell>
          <cell r="AN83" t="str">
            <v>INVOICE</v>
          </cell>
          <cell r="AR83" t="str">
            <v/>
          </cell>
          <cell r="AS83" t="str">
            <v/>
          </cell>
          <cell r="AT83" t="str">
            <v/>
          </cell>
          <cell r="AU83" t="str">
            <v/>
          </cell>
          <cell r="AV83" t="str">
            <v/>
          </cell>
          <cell r="AW83" t="str">
            <v/>
          </cell>
          <cell r="AX83" t="str">
            <v/>
          </cell>
          <cell r="AY83" t="str">
            <v/>
          </cell>
          <cell r="AZ83" t="str">
            <v/>
          </cell>
          <cell r="BB83" t="str">
            <v/>
          </cell>
          <cell r="BC83" t="str">
            <v/>
          </cell>
          <cell r="BF83" t="str">
            <v/>
          </cell>
          <cell r="BI83">
            <v>0</v>
          </cell>
          <cell r="BJ83">
            <v>0</v>
          </cell>
          <cell r="BK83">
            <v>30</v>
          </cell>
          <cell r="BP83" t="str">
            <v/>
          </cell>
          <cell r="BQ83" t="str">
            <v/>
          </cell>
          <cell r="BR83" t="str">
            <v/>
          </cell>
          <cell r="BS83" t="str">
            <v/>
          </cell>
        </row>
        <row r="84">
          <cell r="B84" t="str">
            <v>INV--9900-66</v>
          </cell>
          <cell r="C84" t="str">
            <v/>
          </cell>
          <cell r="D84" t="e">
            <v>#VALUE!</v>
          </cell>
          <cell r="E84" t="str">
            <v>Jan1900</v>
          </cell>
          <cell r="F84">
            <v>31</v>
          </cell>
          <cell r="G84" t="e">
            <v>#VALUE!</v>
          </cell>
          <cell r="H84">
            <v>1</v>
          </cell>
          <cell r="I84">
            <v>1</v>
          </cell>
          <cell r="J84">
            <v>0</v>
          </cell>
          <cell r="K84" t="str">
            <v>0Jan1900</v>
          </cell>
          <cell r="L84" t="str">
            <v>Buildings</v>
          </cell>
          <cell r="M84" t="str">
            <v>BuildingsJan1900</v>
          </cell>
          <cell r="N84">
            <v>0</v>
          </cell>
          <cell r="O84">
            <v>0</v>
          </cell>
          <cell r="Q84" t="e">
            <v>#VALUE!</v>
          </cell>
          <cell r="R84">
            <v>0</v>
          </cell>
          <cell r="S84" t="str">
            <v>Jan1900</v>
          </cell>
          <cell r="T84" t="str">
            <v>Jan1900</v>
          </cell>
          <cell r="U84" t="e">
            <v>#VALUE!</v>
          </cell>
          <cell r="V84" t="e">
            <v>#VALUE!</v>
          </cell>
          <cell r="W84" t="str">
            <v/>
          </cell>
          <cell r="X84" t="str">
            <v>INV-9900</v>
          </cell>
          <cell r="Y84" t="str">
            <v>Jan</v>
          </cell>
          <cell r="Z84">
            <v>1900</v>
          </cell>
          <cell r="AA84" t="str">
            <v>9900</v>
          </cell>
          <cell r="AB84" t="str">
            <v>9900-66</v>
          </cell>
          <cell r="AC84">
            <v>66</v>
          </cell>
          <cell r="AD84">
            <v>0</v>
          </cell>
          <cell r="AE84">
            <v>0</v>
          </cell>
          <cell r="AF84" t="str">
            <v/>
          </cell>
          <cell r="AG84" t="str">
            <v/>
          </cell>
          <cell r="AH84">
            <v>1</v>
          </cell>
          <cell r="AI84">
            <v>1</v>
          </cell>
          <cell r="AK84" t="str">
            <v>INV--9900-66</v>
          </cell>
          <cell r="AL84">
            <v>0</v>
          </cell>
          <cell r="AN84" t="str">
            <v>INVOICE</v>
          </cell>
          <cell r="AR84" t="str">
            <v/>
          </cell>
          <cell r="AS84" t="str">
            <v/>
          </cell>
          <cell r="AT84" t="str">
            <v/>
          </cell>
          <cell r="AU84" t="str">
            <v/>
          </cell>
          <cell r="AV84" t="str">
            <v/>
          </cell>
          <cell r="AW84" t="str">
            <v/>
          </cell>
          <cell r="AX84" t="str">
            <v/>
          </cell>
          <cell r="AY84" t="str">
            <v/>
          </cell>
          <cell r="AZ84" t="str">
            <v/>
          </cell>
          <cell r="BB84" t="str">
            <v/>
          </cell>
          <cell r="BC84" t="str">
            <v/>
          </cell>
          <cell r="BF84" t="str">
            <v/>
          </cell>
          <cell r="BI84">
            <v>0</v>
          </cell>
          <cell r="BJ84">
            <v>0</v>
          </cell>
          <cell r="BK84">
            <v>30</v>
          </cell>
          <cell r="BP84" t="str">
            <v/>
          </cell>
          <cell r="BQ84" t="str">
            <v/>
          </cell>
          <cell r="BR84" t="str">
            <v/>
          </cell>
          <cell r="BS84" t="str">
            <v/>
          </cell>
        </row>
        <row r="85">
          <cell r="B85" t="str">
            <v>INV--9900-67</v>
          </cell>
          <cell r="C85" t="str">
            <v/>
          </cell>
          <cell r="D85" t="e">
            <v>#VALUE!</v>
          </cell>
          <cell r="E85" t="str">
            <v>Jan1900</v>
          </cell>
          <cell r="F85">
            <v>31</v>
          </cell>
          <cell r="G85" t="e">
            <v>#VALUE!</v>
          </cell>
          <cell r="H85">
            <v>1</v>
          </cell>
          <cell r="I85">
            <v>1</v>
          </cell>
          <cell r="J85">
            <v>0</v>
          </cell>
          <cell r="K85" t="str">
            <v>0Jan1900</v>
          </cell>
          <cell r="L85" t="str">
            <v>Buildings</v>
          </cell>
          <cell r="M85" t="str">
            <v>BuildingsJan1900</v>
          </cell>
          <cell r="N85">
            <v>0</v>
          </cell>
          <cell r="O85">
            <v>0</v>
          </cell>
          <cell r="Q85" t="e">
            <v>#VALUE!</v>
          </cell>
          <cell r="R85">
            <v>0</v>
          </cell>
          <cell r="S85" t="str">
            <v>Jan1900</v>
          </cell>
          <cell r="T85" t="str">
            <v>Jan1900</v>
          </cell>
          <cell r="U85" t="e">
            <v>#VALUE!</v>
          </cell>
          <cell r="V85" t="e">
            <v>#VALUE!</v>
          </cell>
          <cell r="W85" t="str">
            <v/>
          </cell>
          <cell r="X85" t="str">
            <v>INV-9900</v>
          </cell>
          <cell r="Y85" t="str">
            <v>Jan</v>
          </cell>
          <cell r="Z85">
            <v>1900</v>
          </cell>
          <cell r="AA85" t="str">
            <v>9900</v>
          </cell>
          <cell r="AB85" t="str">
            <v>9900-67</v>
          </cell>
          <cell r="AC85">
            <v>67</v>
          </cell>
          <cell r="AD85">
            <v>0</v>
          </cell>
          <cell r="AE85">
            <v>0</v>
          </cell>
          <cell r="AF85" t="str">
            <v/>
          </cell>
          <cell r="AG85" t="str">
            <v/>
          </cell>
          <cell r="AH85">
            <v>1</v>
          </cell>
          <cell r="AI85">
            <v>1</v>
          </cell>
          <cell r="AK85" t="str">
            <v>INV--9900-67</v>
          </cell>
          <cell r="AL85">
            <v>0</v>
          </cell>
          <cell r="AN85" t="str">
            <v>INVOICE</v>
          </cell>
          <cell r="AR85" t="str">
            <v/>
          </cell>
          <cell r="AS85" t="str">
            <v/>
          </cell>
          <cell r="AT85" t="str">
            <v/>
          </cell>
          <cell r="AU85" t="str">
            <v/>
          </cell>
          <cell r="AV85" t="str">
            <v/>
          </cell>
          <cell r="AW85" t="str">
            <v/>
          </cell>
          <cell r="AX85" t="str">
            <v/>
          </cell>
          <cell r="AY85" t="str">
            <v/>
          </cell>
          <cell r="AZ85" t="str">
            <v/>
          </cell>
          <cell r="BB85" t="str">
            <v/>
          </cell>
          <cell r="BC85" t="str">
            <v/>
          </cell>
          <cell r="BF85" t="str">
            <v/>
          </cell>
          <cell r="BI85">
            <v>0</v>
          </cell>
          <cell r="BJ85">
            <v>0</v>
          </cell>
          <cell r="BK85">
            <v>30</v>
          </cell>
          <cell r="BP85" t="str">
            <v/>
          </cell>
          <cell r="BQ85" t="str">
            <v/>
          </cell>
          <cell r="BR85" t="str">
            <v/>
          </cell>
          <cell r="BS85" t="str">
            <v/>
          </cell>
        </row>
        <row r="86">
          <cell r="B86" t="str">
            <v>INV--9900-68</v>
          </cell>
          <cell r="C86" t="str">
            <v/>
          </cell>
          <cell r="D86" t="e">
            <v>#VALUE!</v>
          </cell>
          <cell r="E86" t="str">
            <v>Jan1900</v>
          </cell>
          <cell r="F86">
            <v>31</v>
          </cell>
          <cell r="G86" t="e">
            <v>#VALUE!</v>
          </cell>
          <cell r="H86">
            <v>1</v>
          </cell>
          <cell r="I86">
            <v>1</v>
          </cell>
          <cell r="J86">
            <v>0</v>
          </cell>
          <cell r="K86" t="str">
            <v>0Jan1900</v>
          </cell>
          <cell r="L86" t="str">
            <v>Buildings</v>
          </cell>
          <cell r="M86" t="str">
            <v>BuildingsJan1900</v>
          </cell>
          <cell r="N86">
            <v>0</v>
          </cell>
          <cell r="O86">
            <v>0</v>
          </cell>
          <cell r="Q86" t="e">
            <v>#VALUE!</v>
          </cell>
          <cell r="R86">
            <v>0</v>
          </cell>
          <cell r="S86" t="str">
            <v>Jan1900</v>
          </cell>
          <cell r="T86" t="str">
            <v>Jan1900</v>
          </cell>
          <cell r="U86" t="e">
            <v>#VALUE!</v>
          </cell>
          <cell r="V86" t="e">
            <v>#VALUE!</v>
          </cell>
          <cell r="W86" t="str">
            <v/>
          </cell>
          <cell r="X86" t="str">
            <v>INV-9900</v>
          </cell>
          <cell r="Y86" t="str">
            <v>Jan</v>
          </cell>
          <cell r="Z86">
            <v>1900</v>
          </cell>
          <cell r="AA86" t="str">
            <v>9900</v>
          </cell>
          <cell r="AB86" t="str">
            <v>9900-68</v>
          </cell>
          <cell r="AC86">
            <v>68</v>
          </cell>
          <cell r="AD86">
            <v>0</v>
          </cell>
          <cell r="AE86">
            <v>0</v>
          </cell>
          <cell r="AF86" t="str">
            <v/>
          </cell>
          <cell r="AG86" t="str">
            <v/>
          </cell>
          <cell r="AH86">
            <v>1</v>
          </cell>
          <cell r="AI86">
            <v>1</v>
          </cell>
          <cell r="AK86" t="str">
            <v>INV--9900-68</v>
          </cell>
          <cell r="AL86">
            <v>0</v>
          </cell>
          <cell r="AN86" t="str">
            <v>INVOICE</v>
          </cell>
          <cell r="AR86" t="str">
            <v/>
          </cell>
          <cell r="AS86" t="str">
            <v/>
          </cell>
          <cell r="AT86" t="str">
            <v/>
          </cell>
          <cell r="AU86" t="str">
            <v/>
          </cell>
          <cell r="AV86" t="str">
            <v/>
          </cell>
          <cell r="AW86" t="str">
            <v/>
          </cell>
          <cell r="AX86" t="str">
            <v/>
          </cell>
          <cell r="AY86" t="str">
            <v/>
          </cell>
          <cell r="AZ86" t="str">
            <v/>
          </cell>
          <cell r="BB86" t="str">
            <v/>
          </cell>
          <cell r="BC86" t="str">
            <v/>
          </cell>
          <cell r="BF86" t="str">
            <v/>
          </cell>
          <cell r="BI86">
            <v>0</v>
          </cell>
          <cell r="BJ86">
            <v>0</v>
          </cell>
          <cell r="BK86">
            <v>30</v>
          </cell>
          <cell r="BP86" t="str">
            <v/>
          </cell>
          <cell r="BQ86" t="str">
            <v/>
          </cell>
          <cell r="BR86" t="str">
            <v/>
          </cell>
          <cell r="BS86" t="str">
            <v/>
          </cell>
        </row>
        <row r="87">
          <cell r="B87" t="str">
            <v>INV--9900-69</v>
          </cell>
          <cell r="C87" t="str">
            <v/>
          </cell>
          <cell r="D87" t="e">
            <v>#VALUE!</v>
          </cell>
          <cell r="E87" t="str">
            <v>Jan1900</v>
          </cell>
          <cell r="F87">
            <v>31</v>
          </cell>
          <cell r="G87" t="e">
            <v>#VALUE!</v>
          </cell>
          <cell r="H87">
            <v>1</v>
          </cell>
          <cell r="I87">
            <v>1</v>
          </cell>
          <cell r="J87">
            <v>0</v>
          </cell>
          <cell r="K87" t="str">
            <v>0Jan1900</v>
          </cell>
          <cell r="L87" t="str">
            <v>Buildings</v>
          </cell>
          <cell r="M87" t="str">
            <v>BuildingsJan1900</v>
          </cell>
          <cell r="N87">
            <v>0</v>
          </cell>
          <cell r="O87">
            <v>0</v>
          </cell>
          <cell r="Q87" t="e">
            <v>#VALUE!</v>
          </cell>
          <cell r="R87">
            <v>0</v>
          </cell>
          <cell r="S87" t="str">
            <v>Jan1900</v>
          </cell>
          <cell r="T87" t="str">
            <v>Jan1900</v>
          </cell>
          <cell r="U87" t="e">
            <v>#VALUE!</v>
          </cell>
          <cell r="V87" t="e">
            <v>#VALUE!</v>
          </cell>
          <cell r="W87" t="str">
            <v/>
          </cell>
          <cell r="X87" t="str">
            <v>INV-9900</v>
          </cell>
          <cell r="Y87" t="str">
            <v>Jan</v>
          </cell>
          <cell r="Z87">
            <v>1900</v>
          </cell>
          <cell r="AA87" t="str">
            <v>9900</v>
          </cell>
          <cell r="AB87" t="str">
            <v>9900-69</v>
          </cell>
          <cell r="AC87">
            <v>69</v>
          </cell>
          <cell r="AD87">
            <v>0</v>
          </cell>
          <cell r="AE87">
            <v>0</v>
          </cell>
          <cell r="AF87" t="str">
            <v/>
          </cell>
          <cell r="AG87" t="str">
            <v/>
          </cell>
          <cell r="AH87">
            <v>1</v>
          </cell>
          <cell r="AI87">
            <v>1</v>
          </cell>
          <cell r="AK87" t="str">
            <v>INV--9900-69</v>
          </cell>
          <cell r="AL87">
            <v>0</v>
          </cell>
          <cell r="AN87" t="str">
            <v>INVOICE</v>
          </cell>
          <cell r="AR87" t="str">
            <v/>
          </cell>
          <cell r="AS87" t="str">
            <v/>
          </cell>
          <cell r="AT87" t="str">
            <v/>
          </cell>
          <cell r="AU87" t="str">
            <v/>
          </cell>
          <cell r="AV87" t="str">
            <v/>
          </cell>
          <cell r="AW87" t="str">
            <v/>
          </cell>
          <cell r="AX87" t="str">
            <v/>
          </cell>
          <cell r="AY87" t="str">
            <v/>
          </cell>
          <cell r="AZ87" t="str">
            <v/>
          </cell>
          <cell r="BB87" t="str">
            <v/>
          </cell>
          <cell r="BC87" t="str">
            <v/>
          </cell>
          <cell r="BF87" t="str">
            <v/>
          </cell>
          <cell r="BI87">
            <v>0</v>
          </cell>
          <cell r="BJ87">
            <v>0</v>
          </cell>
          <cell r="BK87">
            <v>30</v>
          </cell>
          <cell r="BP87" t="str">
            <v/>
          </cell>
          <cell r="BQ87" t="str">
            <v/>
          </cell>
          <cell r="BR87" t="str">
            <v/>
          </cell>
          <cell r="BS87" t="str">
            <v/>
          </cell>
        </row>
        <row r="88">
          <cell r="B88" t="str">
            <v>INV--9900-70</v>
          </cell>
          <cell r="C88" t="str">
            <v/>
          </cell>
          <cell r="D88" t="e">
            <v>#VALUE!</v>
          </cell>
          <cell r="E88" t="str">
            <v>Jan1900</v>
          </cell>
          <cell r="F88">
            <v>31</v>
          </cell>
          <cell r="G88" t="e">
            <v>#VALUE!</v>
          </cell>
          <cell r="H88">
            <v>1</v>
          </cell>
          <cell r="I88">
            <v>1</v>
          </cell>
          <cell r="J88">
            <v>0</v>
          </cell>
          <cell r="K88" t="str">
            <v>0Jan1900</v>
          </cell>
          <cell r="L88" t="str">
            <v>Buildings</v>
          </cell>
          <cell r="M88" t="str">
            <v>BuildingsJan1900</v>
          </cell>
          <cell r="N88">
            <v>0</v>
          </cell>
          <cell r="O88">
            <v>0</v>
          </cell>
          <cell r="Q88" t="e">
            <v>#VALUE!</v>
          </cell>
          <cell r="R88">
            <v>0</v>
          </cell>
          <cell r="S88" t="str">
            <v>Jan1900</v>
          </cell>
          <cell r="T88" t="str">
            <v>Jan1900</v>
          </cell>
          <cell r="U88" t="e">
            <v>#VALUE!</v>
          </cell>
          <cell r="V88" t="e">
            <v>#VALUE!</v>
          </cell>
          <cell r="W88" t="str">
            <v/>
          </cell>
          <cell r="X88" t="str">
            <v>INV-9900</v>
          </cell>
          <cell r="Y88" t="str">
            <v>Jan</v>
          </cell>
          <cell r="Z88">
            <v>1900</v>
          </cell>
          <cell r="AA88" t="str">
            <v>9900</v>
          </cell>
          <cell r="AB88" t="str">
            <v>9900-70</v>
          </cell>
          <cell r="AC88">
            <v>70</v>
          </cell>
          <cell r="AD88">
            <v>0</v>
          </cell>
          <cell r="AE88">
            <v>0</v>
          </cell>
          <cell r="AF88" t="str">
            <v/>
          </cell>
          <cell r="AG88" t="str">
            <v/>
          </cell>
          <cell r="AH88">
            <v>1</v>
          </cell>
          <cell r="AI88">
            <v>1</v>
          </cell>
          <cell r="AK88" t="str">
            <v>INV--9900-70</v>
          </cell>
          <cell r="AL88">
            <v>0</v>
          </cell>
          <cell r="AN88" t="str">
            <v>INVOICE</v>
          </cell>
          <cell r="AR88" t="str">
            <v/>
          </cell>
          <cell r="AS88" t="str">
            <v/>
          </cell>
          <cell r="AT88" t="str">
            <v/>
          </cell>
          <cell r="AU88" t="str">
            <v/>
          </cell>
          <cell r="AV88" t="str">
            <v/>
          </cell>
          <cell r="AW88" t="str">
            <v/>
          </cell>
          <cell r="AX88" t="str">
            <v/>
          </cell>
          <cell r="AY88" t="str">
            <v/>
          </cell>
          <cell r="AZ88" t="str">
            <v/>
          </cell>
          <cell r="BB88" t="str">
            <v/>
          </cell>
          <cell r="BC88" t="str">
            <v/>
          </cell>
          <cell r="BF88" t="str">
            <v/>
          </cell>
          <cell r="BI88">
            <v>0</v>
          </cell>
          <cell r="BJ88">
            <v>0</v>
          </cell>
          <cell r="BK88">
            <v>30</v>
          </cell>
          <cell r="BP88" t="str">
            <v/>
          </cell>
          <cell r="BQ88" t="str">
            <v/>
          </cell>
          <cell r="BR88" t="str">
            <v/>
          </cell>
          <cell r="BS88" t="str">
            <v/>
          </cell>
        </row>
        <row r="89">
          <cell r="B89" t="str">
            <v>INV--9900-71</v>
          </cell>
          <cell r="C89" t="str">
            <v/>
          </cell>
          <cell r="D89" t="e">
            <v>#VALUE!</v>
          </cell>
          <cell r="E89" t="str">
            <v>Jan1900</v>
          </cell>
          <cell r="F89">
            <v>31</v>
          </cell>
          <cell r="G89" t="e">
            <v>#VALUE!</v>
          </cell>
          <cell r="H89">
            <v>1</v>
          </cell>
          <cell r="I89">
            <v>1</v>
          </cell>
          <cell r="J89">
            <v>0</v>
          </cell>
          <cell r="K89" t="str">
            <v>0Jan1900</v>
          </cell>
          <cell r="L89" t="str">
            <v>Buildings</v>
          </cell>
          <cell r="M89" t="str">
            <v>BuildingsJan1900</v>
          </cell>
          <cell r="N89">
            <v>0</v>
          </cell>
          <cell r="O89">
            <v>0</v>
          </cell>
          <cell r="Q89" t="e">
            <v>#VALUE!</v>
          </cell>
          <cell r="R89">
            <v>0</v>
          </cell>
          <cell r="S89" t="str">
            <v>Jan1900</v>
          </cell>
          <cell r="T89" t="str">
            <v>Jan1900</v>
          </cell>
          <cell r="U89" t="e">
            <v>#VALUE!</v>
          </cell>
          <cell r="V89" t="e">
            <v>#VALUE!</v>
          </cell>
          <cell r="W89" t="str">
            <v/>
          </cell>
          <cell r="X89" t="str">
            <v>INV-9900</v>
          </cell>
          <cell r="Y89" t="str">
            <v>Jan</v>
          </cell>
          <cell r="Z89">
            <v>1900</v>
          </cell>
          <cell r="AA89" t="str">
            <v>9900</v>
          </cell>
          <cell r="AB89" t="str">
            <v>9900-71</v>
          </cell>
          <cell r="AC89">
            <v>71</v>
          </cell>
          <cell r="AD89">
            <v>0</v>
          </cell>
          <cell r="AE89">
            <v>0</v>
          </cell>
          <cell r="AF89" t="str">
            <v/>
          </cell>
          <cell r="AG89" t="str">
            <v/>
          </cell>
          <cell r="AH89">
            <v>1</v>
          </cell>
          <cell r="AI89">
            <v>1</v>
          </cell>
          <cell r="AK89" t="str">
            <v>INV--9900-71</v>
          </cell>
          <cell r="AL89">
            <v>0</v>
          </cell>
          <cell r="AN89" t="str">
            <v>INVOICE</v>
          </cell>
          <cell r="AR89" t="str">
            <v/>
          </cell>
          <cell r="AS89" t="str">
            <v/>
          </cell>
          <cell r="AT89" t="str">
            <v/>
          </cell>
          <cell r="AU89" t="str">
            <v/>
          </cell>
          <cell r="AV89" t="str">
            <v/>
          </cell>
          <cell r="AW89" t="str">
            <v/>
          </cell>
          <cell r="AX89" t="str">
            <v/>
          </cell>
          <cell r="AY89" t="str">
            <v/>
          </cell>
          <cell r="AZ89" t="str">
            <v/>
          </cell>
          <cell r="BB89" t="str">
            <v/>
          </cell>
          <cell r="BC89" t="str">
            <v/>
          </cell>
          <cell r="BF89" t="str">
            <v/>
          </cell>
          <cell r="BI89">
            <v>0</v>
          </cell>
          <cell r="BJ89">
            <v>0</v>
          </cell>
          <cell r="BK89">
            <v>30</v>
          </cell>
          <cell r="BP89" t="str">
            <v/>
          </cell>
          <cell r="BQ89" t="str">
            <v/>
          </cell>
          <cell r="BR89" t="str">
            <v/>
          </cell>
          <cell r="BS89" t="str">
            <v/>
          </cell>
        </row>
        <row r="90">
          <cell r="B90" t="str">
            <v>INV--9900-72</v>
          </cell>
          <cell r="C90" t="str">
            <v/>
          </cell>
          <cell r="D90" t="e">
            <v>#VALUE!</v>
          </cell>
          <cell r="E90" t="str">
            <v>Jan1900</v>
          </cell>
          <cell r="F90">
            <v>31</v>
          </cell>
          <cell r="G90" t="e">
            <v>#VALUE!</v>
          </cell>
          <cell r="H90">
            <v>1</v>
          </cell>
          <cell r="I90">
            <v>1</v>
          </cell>
          <cell r="J90">
            <v>0</v>
          </cell>
          <cell r="K90" t="str">
            <v>0Jan1900</v>
          </cell>
          <cell r="L90" t="str">
            <v>Buildings</v>
          </cell>
          <cell r="M90" t="str">
            <v>BuildingsJan1900</v>
          </cell>
          <cell r="N90">
            <v>0</v>
          </cell>
          <cell r="O90">
            <v>0</v>
          </cell>
          <cell r="Q90" t="e">
            <v>#VALUE!</v>
          </cell>
          <cell r="R90">
            <v>0</v>
          </cell>
          <cell r="S90" t="str">
            <v>Jan1900</v>
          </cell>
          <cell r="T90" t="str">
            <v>Jan1900</v>
          </cell>
          <cell r="U90" t="e">
            <v>#VALUE!</v>
          </cell>
          <cell r="V90" t="e">
            <v>#VALUE!</v>
          </cell>
          <cell r="W90" t="str">
            <v/>
          </cell>
          <cell r="X90" t="str">
            <v>INV-9900</v>
          </cell>
          <cell r="Y90" t="str">
            <v>Jan</v>
          </cell>
          <cell r="Z90">
            <v>1900</v>
          </cell>
          <cell r="AA90" t="str">
            <v>9900</v>
          </cell>
          <cell r="AB90" t="str">
            <v>9900-72</v>
          </cell>
          <cell r="AC90">
            <v>72</v>
          </cell>
          <cell r="AD90">
            <v>0</v>
          </cell>
          <cell r="AE90">
            <v>0</v>
          </cell>
          <cell r="AF90" t="str">
            <v/>
          </cell>
          <cell r="AG90" t="str">
            <v/>
          </cell>
          <cell r="AH90">
            <v>1</v>
          </cell>
          <cell r="AI90">
            <v>1</v>
          </cell>
          <cell r="AK90" t="str">
            <v>INV--9900-72</v>
          </cell>
          <cell r="AL90">
            <v>0</v>
          </cell>
          <cell r="AN90" t="str">
            <v>INVOICE</v>
          </cell>
          <cell r="AR90" t="str">
            <v/>
          </cell>
          <cell r="AS90" t="str">
            <v/>
          </cell>
          <cell r="AT90" t="str">
            <v/>
          </cell>
          <cell r="AU90" t="str">
            <v/>
          </cell>
          <cell r="AV90" t="str">
            <v/>
          </cell>
          <cell r="AW90" t="str">
            <v/>
          </cell>
          <cell r="AX90" t="str">
            <v/>
          </cell>
          <cell r="AY90" t="str">
            <v/>
          </cell>
          <cell r="AZ90" t="str">
            <v/>
          </cell>
          <cell r="BB90" t="str">
            <v/>
          </cell>
          <cell r="BC90" t="str">
            <v/>
          </cell>
          <cell r="BF90" t="str">
            <v/>
          </cell>
          <cell r="BI90">
            <v>0</v>
          </cell>
          <cell r="BJ90">
            <v>0</v>
          </cell>
          <cell r="BK90">
            <v>30</v>
          </cell>
          <cell r="BP90" t="str">
            <v/>
          </cell>
          <cell r="BQ90" t="str">
            <v/>
          </cell>
          <cell r="BR90" t="str">
            <v/>
          </cell>
          <cell r="BS90" t="str">
            <v/>
          </cell>
        </row>
        <row r="91">
          <cell r="B91" t="str">
            <v>INV--9900-73</v>
          </cell>
          <cell r="C91" t="str">
            <v/>
          </cell>
          <cell r="D91" t="e">
            <v>#VALUE!</v>
          </cell>
          <cell r="E91" t="str">
            <v>Jan1900</v>
          </cell>
          <cell r="F91">
            <v>31</v>
          </cell>
          <cell r="G91" t="e">
            <v>#VALUE!</v>
          </cell>
          <cell r="H91">
            <v>1</v>
          </cell>
          <cell r="I91">
            <v>1</v>
          </cell>
          <cell r="J91">
            <v>0</v>
          </cell>
          <cell r="K91" t="str">
            <v>0Jan1900</v>
          </cell>
          <cell r="L91" t="str">
            <v>Buildings</v>
          </cell>
          <cell r="M91" t="str">
            <v>BuildingsJan1900</v>
          </cell>
          <cell r="N91">
            <v>0</v>
          </cell>
          <cell r="O91">
            <v>0</v>
          </cell>
          <cell r="Q91" t="e">
            <v>#VALUE!</v>
          </cell>
          <cell r="R91">
            <v>0</v>
          </cell>
          <cell r="S91" t="str">
            <v>Jan1900</v>
          </cell>
          <cell r="T91" t="str">
            <v>Jan1900</v>
          </cell>
          <cell r="U91" t="e">
            <v>#VALUE!</v>
          </cell>
          <cell r="V91" t="e">
            <v>#VALUE!</v>
          </cell>
          <cell r="W91" t="str">
            <v/>
          </cell>
          <cell r="X91" t="str">
            <v>INV-9900</v>
          </cell>
          <cell r="Y91" t="str">
            <v>Jan</v>
          </cell>
          <cell r="Z91">
            <v>1900</v>
          </cell>
          <cell r="AA91" t="str">
            <v>9900</v>
          </cell>
          <cell r="AB91" t="str">
            <v>9900-73</v>
          </cell>
          <cell r="AC91">
            <v>73</v>
          </cell>
          <cell r="AD91">
            <v>0</v>
          </cell>
          <cell r="AE91">
            <v>0</v>
          </cell>
          <cell r="AF91" t="str">
            <v/>
          </cell>
          <cell r="AG91" t="str">
            <v/>
          </cell>
          <cell r="AH91">
            <v>1</v>
          </cell>
          <cell r="AI91">
            <v>1</v>
          </cell>
          <cell r="AK91" t="str">
            <v>INV--9900-73</v>
          </cell>
          <cell r="AL91">
            <v>0</v>
          </cell>
          <cell r="AN91" t="str">
            <v>INVOICE</v>
          </cell>
          <cell r="AR91" t="str">
            <v/>
          </cell>
          <cell r="AS91" t="str">
            <v/>
          </cell>
          <cell r="AT91" t="str">
            <v/>
          </cell>
          <cell r="AU91" t="str">
            <v/>
          </cell>
          <cell r="AV91" t="str">
            <v/>
          </cell>
          <cell r="AW91" t="str">
            <v/>
          </cell>
          <cell r="AX91" t="str">
            <v/>
          </cell>
          <cell r="AY91" t="str">
            <v/>
          </cell>
          <cell r="AZ91" t="str">
            <v/>
          </cell>
          <cell r="BB91" t="str">
            <v/>
          </cell>
          <cell r="BC91" t="str">
            <v/>
          </cell>
          <cell r="BF91" t="str">
            <v/>
          </cell>
          <cell r="BI91">
            <v>0</v>
          </cell>
          <cell r="BJ91">
            <v>0</v>
          </cell>
          <cell r="BK91">
            <v>30</v>
          </cell>
          <cell r="BP91" t="str">
            <v/>
          </cell>
          <cell r="BQ91" t="str">
            <v/>
          </cell>
          <cell r="BR91" t="str">
            <v/>
          </cell>
          <cell r="BS91" t="str">
            <v/>
          </cell>
        </row>
        <row r="92">
          <cell r="B92" t="str">
            <v>INV--9900-74</v>
          </cell>
          <cell r="C92" t="str">
            <v/>
          </cell>
          <cell r="D92" t="e">
            <v>#VALUE!</v>
          </cell>
          <cell r="E92" t="str">
            <v>Jan1900</v>
          </cell>
          <cell r="F92">
            <v>31</v>
          </cell>
          <cell r="G92" t="e">
            <v>#VALUE!</v>
          </cell>
          <cell r="H92">
            <v>1</v>
          </cell>
          <cell r="I92">
            <v>1</v>
          </cell>
          <cell r="J92">
            <v>0</v>
          </cell>
          <cell r="K92" t="str">
            <v>0Jan1900</v>
          </cell>
          <cell r="L92" t="str">
            <v>Buildings</v>
          </cell>
          <cell r="M92" t="str">
            <v>BuildingsJan1900</v>
          </cell>
          <cell r="N92">
            <v>0</v>
          </cell>
          <cell r="O92">
            <v>0</v>
          </cell>
          <cell r="Q92" t="e">
            <v>#VALUE!</v>
          </cell>
          <cell r="R92">
            <v>0</v>
          </cell>
          <cell r="S92" t="str">
            <v>Jan1900</v>
          </cell>
          <cell r="T92" t="str">
            <v>Jan1900</v>
          </cell>
          <cell r="U92" t="e">
            <v>#VALUE!</v>
          </cell>
          <cell r="V92" t="e">
            <v>#VALUE!</v>
          </cell>
          <cell r="W92" t="str">
            <v/>
          </cell>
          <cell r="X92" t="str">
            <v>INV-9900</v>
          </cell>
          <cell r="Y92" t="str">
            <v>Jan</v>
          </cell>
          <cell r="Z92">
            <v>1900</v>
          </cell>
          <cell r="AA92" t="str">
            <v>9900</v>
          </cell>
          <cell r="AB92" t="str">
            <v>9900-74</v>
          </cell>
          <cell r="AC92">
            <v>74</v>
          </cell>
          <cell r="AD92">
            <v>0</v>
          </cell>
          <cell r="AE92">
            <v>0</v>
          </cell>
          <cell r="AF92" t="str">
            <v/>
          </cell>
          <cell r="AG92" t="str">
            <v/>
          </cell>
          <cell r="AH92">
            <v>1</v>
          </cell>
          <cell r="AI92">
            <v>1</v>
          </cell>
          <cell r="AK92" t="str">
            <v>INV--9900-74</v>
          </cell>
          <cell r="AL92">
            <v>0</v>
          </cell>
          <cell r="AN92" t="str">
            <v>INVOICE</v>
          </cell>
          <cell r="AR92" t="str">
            <v/>
          </cell>
          <cell r="AS92" t="str">
            <v/>
          </cell>
          <cell r="AT92" t="str">
            <v/>
          </cell>
          <cell r="AU92" t="str">
            <v/>
          </cell>
          <cell r="AV92" t="str">
            <v/>
          </cell>
          <cell r="AW92" t="str">
            <v/>
          </cell>
          <cell r="AX92" t="str">
            <v/>
          </cell>
          <cell r="AY92" t="str">
            <v/>
          </cell>
          <cell r="AZ92" t="str">
            <v/>
          </cell>
          <cell r="BB92" t="str">
            <v/>
          </cell>
          <cell r="BC92" t="str">
            <v/>
          </cell>
          <cell r="BF92" t="str">
            <v/>
          </cell>
          <cell r="BI92">
            <v>0</v>
          </cell>
          <cell r="BJ92">
            <v>0</v>
          </cell>
          <cell r="BK92">
            <v>30</v>
          </cell>
          <cell r="BP92" t="str">
            <v/>
          </cell>
          <cell r="BQ92" t="str">
            <v/>
          </cell>
          <cell r="BR92" t="str">
            <v/>
          </cell>
          <cell r="BS92" t="str">
            <v/>
          </cell>
        </row>
        <row r="93">
          <cell r="B93" t="str">
            <v>INV--9900-75</v>
          </cell>
          <cell r="C93" t="str">
            <v/>
          </cell>
          <cell r="D93" t="e">
            <v>#VALUE!</v>
          </cell>
          <cell r="E93" t="str">
            <v>Jan1900</v>
          </cell>
          <cell r="F93">
            <v>31</v>
          </cell>
          <cell r="G93" t="e">
            <v>#VALUE!</v>
          </cell>
          <cell r="H93">
            <v>1</v>
          </cell>
          <cell r="I93">
            <v>1</v>
          </cell>
          <cell r="J93">
            <v>0</v>
          </cell>
          <cell r="K93" t="str">
            <v>0Jan1900</v>
          </cell>
          <cell r="L93" t="str">
            <v>Buildings</v>
          </cell>
          <cell r="M93" t="str">
            <v>BuildingsJan1900</v>
          </cell>
          <cell r="N93">
            <v>0</v>
          </cell>
          <cell r="O93">
            <v>0</v>
          </cell>
          <cell r="Q93" t="e">
            <v>#VALUE!</v>
          </cell>
          <cell r="R93">
            <v>0</v>
          </cell>
          <cell r="S93" t="str">
            <v>Jan1900</v>
          </cell>
          <cell r="T93" t="str">
            <v>Jan1900</v>
          </cell>
          <cell r="U93" t="e">
            <v>#VALUE!</v>
          </cell>
          <cell r="V93" t="e">
            <v>#VALUE!</v>
          </cell>
          <cell r="W93" t="str">
            <v/>
          </cell>
          <cell r="X93" t="str">
            <v>INV-9900</v>
          </cell>
          <cell r="Y93" t="str">
            <v>Jan</v>
          </cell>
          <cell r="Z93">
            <v>1900</v>
          </cell>
          <cell r="AA93" t="str">
            <v>9900</v>
          </cell>
          <cell r="AB93" t="str">
            <v>9900-75</v>
          </cell>
          <cell r="AC93">
            <v>75</v>
          </cell>
          <cell r="AD93">
            <v>0</v>
          </cell>
          <cell r="AE93">
            <v>0</v>
          </cell>
          <cell r="AF93" t="str">
            <v/>
          </cell>
          <cell r="AG93" t="str">
            <v/>
          </cell>
          <cell r="AH93">
            <v>1</v>
          </cell>
          <cell r="AI93">
            <v>1</v>
          </cell>
          <cell r="AK93" t="str">
            <v>INV--9900-75</v>
          </cell>
          <cell r="AL93">
            <v>0</v>
          </cell>
          <cell r="AN93" t="str">
            <v>INVOICE</v>
          </cell>
          <cell r="AR93" t="str">
            <v/>
          </cell>
          <cell r="AS93" t="str">
            <v/>
          </cell>
          <cell r="AT93" t="str">
            <v/>
          </cell>
          <cell r="AU93" t="str">
            <v/>
          </cell>
          <cell r="AV93" t="str">
            <v/>
          </cell>
          <cell r="AW93" t="str">
            <v/>
          </cell>
          <cell r="AX93" t="str">
            <v/>
          </cell>
          <cell r="AY93" t="str">
            <v/>
          </cell>
          <cell r="AZ93" t="str">
            <v/>
          </cell>
          <cell r="BB93" t="str">
            <v/>
          </cell>
          <cell r="BC93" t="str">
            <v/>
          </cell>
          <cell r="BF93" t="str">
            <v/>
          </cell>
          <cell r="BI93">
            <v>0</v>
          </cell>
          <cell r="BJ93">
            <v>0</v>
          </cell>
          <cell r="BK93">
            <v>30</v>
          </cell>
          <cell r="BP93" t="str">
            <v/>
          </cell>
          <cell r="BQ93" t="str">
            <v/>
          </cell>
          <cell r="BR93" t="str">
            <v/>
          </cell>
          <cell r="BS93" t="str">
            <v/>
          </cell>
        </row>
        <row r="94">
          <cell r="B94" t="str">
            <v>INV--9900-76</v>
          </cell>
          <cell r="C94" t="str">
            <v/>
          </cell>
          <cell r="D94" t="e">
            <v>#VALUE!</v>
          </cell>
          <cell r="E94" t="str">
            <v>Jan1900</v>
          </cell>
          <cell r="F94">
            <v>31</v>
          </cell>
          <cell r="G94" t="e">
            <v>#VALUE!</v>
          </cell>
          <cell r="H94">
            <v>1</v>
          </cell>
          <cell r="I94">
            <v>1</v>
          </cell>
          <cell r="J94">
            <v>0</v>
          </cell>
          <cell r="K94" t="str">
            <v>0Jan1900</v>
          </cell>
          <cell r="L94" t="str">
            <v>Buildings</v>
          </cell>
          <cell r="M94" t="str">
            <v>BuildingsJan1900</v>
          </cell>
          <cell r="N94">
            <v>0</v>
          </cell>
          <cell r="O94">
            <v>0</v>
          </cell>
          <cell r="Q94" t="e">
            <v>#VALUE!</v>
          </cell>
          <cell r="R94">
            <v>0</v>
          </cell>
          <cell r="S94" t="str">
            <v>Jan1900</v>
          </cell>
          <cell r="T94" t="str">
            <v>Jan1900</v>
          </cell>
          <cell r="U94" t="e">
            <v>#VALUE!</v>
          </cell>
          <cell r="V94" t="e">
            <v>#VALUE!</v>
          </cell>
          <cell r="W94" t="str">
            <v/>
          </cell>
          <cell r="X94" t="str">
            <v>INV-9900</v>
          </cell>
          <cell r="Y94" t="str">
            <v>Jan</v>
          </cell>
          <cell r="Z94">
            <v>1900</v>
          </cell>
          <cell r="AA94" t="str">
            <v>9900</v>
          </cell>
          <cell r="AB94" t="str">
            <v>9900-76</v>
          </cell>
          <cell r="AC94">
            <v>76</v>
          </cell>
          <cell r="AD94">
            <v>0</v>
          </cell>
          <cell r="AE94">
            <v>0</v>
          </cell>
          <cell r="AF94" t="str">
            <v/>
          </cell>
          <cell r="AG94" t="str">
            <v/>
          </cell>
          <cell r="AH94">
            <v>1</v>
          </cell>
          <cell r="AI94">
            <v>1</v>
          </cell>
          <cell r="AK94" t="str">
            <v>INV--9900-76</v>
          </cell>
          <cell r="AL94">
            <v>0</v>
          </cell>
          <cell r="AN94" t="str">
            <v>INVOICE</v>
          </cell>
          <cell r="AR94" t="str">
            <v/>
          </cell>
          <cell r="AS94" t="str">
            <v/>
          </cell>
          <cell r="AT94" t="str">
            <v/>
          </cell>
          <cell r="AU94" t="str">
            <v/>
          </cell>
          <cell r="AV94" t="str">
            <v/>
          </cell>
          <cell r="AW94" t="str">
            <v/>
          </cell>
          <cell r="AX94" t="str">
            <v/>
          </cell>
          <cell r="AY94" t="str">
            <v/>
          </cell>
          <cell r="AZ94" t="str">
            <v/>
          </cell>
          <cell r="BB94" t="str">
            <v/>
          </cell>
          <cell r="BC94" t="str">
            <v/>
          </cell>
          <cell r="BF94" t="str">
            <v/>
          </cell>
          <cell r="BI94">
            <v>0</v>
          </cell>
          <cell r="BJ94">
            <v>0</v>
          </cell>
          <cell r="BK94">
            <v>30</v>
          </cell>
          <cell r="BP94" t="str">
            <v/>
          </cell>
          <cell r="BQ94" t="str">
            <v/>
          </cell>
          <cell r="BR94" t="str">
            <v/>
          </cell>
          <cell r="BS94" t="str">
            <v/>
          </cell>
        </row>
        <row r="95">
          <cell r="B95" t="str">
            <v>INV--9900-77</v>
          </cell>
          <cell r="C95" t="str">
            <v/>
          </cell>
          <cell r="D95" t="e">
            <v>#VALUE!</v>
          </cell>
          <cell r="E95" t="str">
            <v>Jan1900</v>
          </cell>
          <cell r="F95">
            <v>31</v>
          </cell>
          <cell r="G95" t="e">
            <v>#VALUE!</v>
          </cell>
          <cell r="H95">
            <v>1</v>
          </cell>
          <cell r="I95">
            <v>1</v>
          </cell>
          <cell r="J95">
            <v>0</v>
          </cell>
          <cell r="K95" t="str">
            <v>0Jan1900</v>
          </cell>
          <cell r="L95" t="str">
            <v>Buildings</v>
          </cell>
          <cell r="M95" t="str">
            <v>BuildingsJan1900</v>
          </cell>
          <cell r="N95">
            <v>0</v>
          </cell>
          <cell r="O95">
            <v>0</v>
          </cell>
          <cell r="Q95" t="e">
            <v>#VALUE!</v>
          </cell>
          <cell r="R95">
            <v>0</v>
          </cell>
          <cell r="S95" t="str">
            <v>Jan1900</v>
          </cell>
          <cell r="T95" t="str">
            <v>Jan1900</v>
          </cell>
          <cell r="U95" t="e">
            <v>#VALUE!</v>
          </cell>
          <cell r="V95" t="e">
            <v>#VALUE!</v>
          </cell>
          <cell r="W95" t="str">
            <v/>
          </cell>
          <cell r="X95" t="str">
            <v>INV-9900</v>
          </cell>
          <cell r="Y95" t="str">
            <v>Jan</v>
          </cell>
          <cell r="Z95">
            <v>1900</v>
          </cell>
          <cell r="AA95" t="str">
            <v>9900</v>
          </cell>
          <cell r="AB95" t="str">
            <v>9900-77</v>
          </cell>
          <cell r="AC95">
            <v>77</v>
          </cell>
          <cell r="AD95">
            <v>0</v>
          </cell>
          <cell r="AE95">
            <v>0</v>
          </cell>
          <cell r="AF95" t="str">
            <v/>
          </cell>
          <cell r="AG95" t="str">
            <v/>
          </cell>
          <cell r="AH95">
            <v>1</v>
          </cell>
          <cell r="AI95">
            <v>1</v>
          </cell>
          <cell r="AK95" t="str">
            <v>INV--9900-77</v>
          </cell>
          <cell r="AL95">
            <v>0</v>
          </cell>
          <cell r="AN95" t="str">
            <v>INVOICE</v>
          </cell>
          <cell r="AR95" t="str">
            <v/>
          </cell>
          <cell r="AS95" t="str">
            <v/>
          </cell>
          <cell r="AT95" t="str">
            <v/>
          </cell>
          <cell r="AU95" t="str">
            <v/>
          </cell>
          <cell r="AV95" t="str">
            <v/>
          </cell>
          <cell r="AW95" t="str">
            <v/>
          </cell>
          <cell r="AX95" t="str">
            <v/>
          </cell>
          <cell r="AY95" t="str">
            <v/>
          </cell>
          <cell r="AZ95" t="str">
            <v/>
          </cell>
          <cell r="BB95" t="str">
            <v/>
          </cell>
          <cell r="BC95" t="str">
            <v/>
          </cell>
          <cell r="BF95" t="str">
            <v/>
          </cell>
          <cell r="BI95">
            <v>0</v>
          </cell>
          <cell r="BJ95">
            <v>0</v>
          </cell>
          <cell r="BK95">
            <v>30</v>
          </cell>
          <cell r="BP95" t="str">
            <v/>
          </cell>
          <cell r="BQ95" t="str">
            <v/>
          </cell>
          <cell r="BR95" t="str">
            <v/>
          </cell>
          <cell r="BS95" t="str">
            <v/>
          </cell>
        </row>
        <row r="96">
          <cell r="B96" t="str">
            <v>INV--9900-78</v>
          </cell>
          <cell r="C96" t="str">
            <v/>
          </cell>
          <cell r="D96" t="e">
            <v>#VALUE!</v>
          </cell>
          <cell r="E96" t="str">
            <v>Jan1900</v>
          </cell>
          <cell r="F96">
            <v>31</v>
          </cell>
          <cell r="G96" t="e">
            <v>#VALUE!</v>
          </cell>
          <cell r="H96">
            <v>1</v>
          </cell>
          <cell r="I96">
            <v>1</v>
          </cell>
          <cell r="J96">
            <v>0</v>
          </cell>
          <cell r="K96" t="str">
            <v>0Jan1900</v>
          </cell>
          <cell r="L96" t="str">
            <v>Buildings</v>
          </cell>
          <cell r="M96" t="str">
            <v>BuildingsJan1900</v>
          </cell>
          <cell r="N96">
            <v>0</v>
          </cell>
          <cell r="O96">
            <v>0</v>
          </cell>
          <cell r="Q96" t="e">
            <v>#VALUE!</v>
          </cell>
          <cell r="R96">
            <v>0</v>
          </cell>
          <cell r="S96" t="str">
            <v>Jan1900</v>
          </cell>
          <cell r="T96" t="str">
            <v>Jan1900</v>
          </cell>
          <cell r="U96" t="e">
            <v>#VALUE!</v>
          </cell>
          <cell r="V96" t="e">
            <v>#VALUE!</v>
          </cell>
          <cell r="W96" t="str">
            <v/>
          </cell>
          <cell r="X96" t="str">
            <v>INV-9900</v>
          </cell>
          <cell r="Y96" t="str">
            <v>Jan</v>
          </cell>
          <cell r="Z96">
            <v>1900</v>
          </cell>
          <cell r="AA96" t="str">
            <v>9900</v>
          </cell>
          <cell r="AB96" t="str">
            <v>9900-78</v>
          </cell>
          <cell r="AC96">
            <v>78</v>
          </cell>
          <cell r="AD96">
            <v>0</v>
          </cell>
          <cell r="AE96">
            <v>0</v>
          </cell>
          <cell r="AF96" t="str">
            <v/>
          </cell>
          <cell r="AG96" t="str">
            <v/>
          </cell>
          <cell r="AH96">
            <v>1</v>
          </cell>
          <cell r="AI96">
            <v>1</v>
          </cell>
          <cell r="AK96" t="str">
            <v>INV--9900-78</v>
          </cell>
          <cell r="AL96">
            <v>0</v>
          </cell>
          <cell r="AN96" t="str">
            <v>INVOICE</v>
          </cell>
          <cell r="AR96" t="str">
            <v/>
          </cell>
          <cell r="AS96" t="str">
            <v/>
          </cell>
          <cell r="AT96" t="str">
            <v/>
          </cell>
          <cell r="AU96" t="str">
            <v/>
          </cell>
          <cell r="AV96" t="str">
            <v/>
          </cell>
          <cell r="AW96" t="str">
            <v/>
          </cell>
          <cell r="AX96" t="str">
            <v/>
          </cell>
          <cell r="AY96" t="str">
            <v/>
          </cell>
          <cell r="AZ96" t="str">
            <v/>
          </cell>
          <cell r="BB96" t="str">
            <v/>
          </cell>
          <cell r="BC96" t="str">
            <v/>
          </cell>
          <cell r="BF96" t="str">
            <v/>
          </cell>
          <cell r="BI96">
            <v>0</v>
          </cell>
          <cell r="BJ96">
            <v>0</v>
          </cell>
          <cell r="BK96">
            <v>30</v>
          </cell>
          <cell r="BP96" t="str">
            <v/>
          </cell>
          <cell r="BQ96" t="str">
            <v/>
          </cell>
          <cell r="BR96" t="str">
            <v/>
          </cell>
          <cell r="BS96" t="str">
            <v/>
          </cell>
        </row>
        <row r="97">
          <cell r="B97" t="str">
            <v>INV--9900-79</v>
          </cell>
          <cell r="C97" t="str">
            <v/>
          </cell>
          <cell r="D97" t="e">
            <v>#VALUE!</v>
          </cell>
          <cell r="E97" t="str">
            <v>Jan1900</v>
          </cell>
          <cell r="F97">
            <v>31</v>
          </cell>
          <cell r="G97" t="e">
            <v>#VALUE!</v>
          </cell>
          <cell r="H97">
            <v>1</v>
          </cell>
          <cell r="I97">
            <v>1</v>
          </cell>
          <cell r="J97">
            <v>0</v>
          </cell>
          <cell r="K97" t="str">
            <v>0Jan1900</v>
          </cell>
          <cell r="L97" t="str">
            <v>Buildings</v>
          </cell>
          <cell r="M97" t="str">
            <v>BuildingsJan1900</v>
          </cell>
          <cell r="N97">
            <v>0</v>
          </cell>
          <cell r="O97">
            <v>0</v>
          </cell>
          <cell r="Q97" t="e">
            <v>#VALUE!</v>
          </cell>
          <cell r="R97">
            <v>0</v>
          </cell>
          <cell r="S97" t="str">
            <v>Jan1900</v>
          </cell>
          <cell r="T97" t="str">
            <v>Jan1900</v>
          </cell>
          <cell r="U97" t="e">
            <v>#VALUE!</v>
          </cell>
          <cell r="V97" t="e">
            <v>#VALUE!</v>
          </cell>
          <cell r="W97" t="str">
            <v/>
          </cell>
          <cell r="X97" t="str">
            <v>INV-9900</v>
          </cell>
          <cell r="Y97" t="str">
            <v>Jan</v>
          </cell>
          <cell r="Z97">
            <v>1900</v>
          </cell>
          <cell r="AA97" t="str">
            <v>9900</v>
          </cell>
          <cell r="AB97" t="str">
            <v>9900-79</v>
          </cell>
          <cell r="AC97">
            <v>79</v>
          </cell>
          <cell r="AD97">
            <v>0</v>
          </cell>
          <cell r="AE97">
            <v>0</v>
          </cell>
          <cell r="AF97" t="str">
            <v/>
          </cell>
          <cell r="AG97" t="str">
            <v/>
          </cell>
          <cell r="AH97">
            <v>1</v>
          </cell>
          <cell r="AI97">
            <v>1</v>
          </cell>
          <cell r="AK97" t="str">
            <v>INV--9900-79</v>
          </cell>
          <cell r="AL97">
            <v>0</v>
          </cell>
          <cell r="AN97" t="str">
            <v>INVOICE</v>
          </cell>
          <cell r="AR97" t="str">
            <v/>
          </cell>
          <cell r="AS97" t="str">
            <v/>
          </cell>
          <cell r="AT97" t="str">
            <v/>
          </cell>
          <cell r="AU97" t="str">
            <v/>
          </cell>
          <cell r="AV97" t="str">
            <v/>
          </cell>
          <cell r="AW97" t="str">
            <v/>
          </cell>
          <cell r="AX97" t="str">
            <v/>
          </cell>
          <cell r="AY97" t="str">
            <v/>
          </cell>
          <cell r="AZ97" t="str">
            <v/>
          </cell>
          <cell r="BB97" t="str">
            <v/>
          </cell>
          <cell r="BC97" t="str">
            <v/>
          </cell>
          <cell r="BF97" t="str">
            <v/>
          </cell>
          <cell r="BI97">
            <v>0</v>
          </cell>
          <cell r="BJ97">
            <v>0</v>
          </cell>
          <cell r="BK97">
            <v>30</v>
          </cell>
          <cell r="BP97" t="str">
            <v/>
          </cell>
          <cell r="BQ97" t="str">
            <v/>
          </cell>
          <cell r="BR97" t="str">
            <v/>
          </cell>
          <cell r="BS97" t="str">
            <v/>
          </cell>
        </row>
        <row r="98">
          <cell r="B98" t="str">
            <v>INV--9900-80</v>
          </cell>
          <cell r="C98" t="str">
            <v/>
          </cell>
          <cell r="D98" t="e">
            <v>#VALUE!</v>
          </cell>
          <cell r="E98" t="str">
            <v>Jan1900</v>
          </cell>
          <cell r="F98">
            <v>31</v>
          </cell>
          <cell r="G98" t="e">
            <v>#VALUE!</v>
          </cell>
          <cell r="H98">
            <v>1</v>
          </cell>
          <cell r="I98">
            <v>1</v>
          </cell>
          <cell r="J98">
            <v>0</v>
          </cell>
          <cell r="K98" t="str">
            <v>0Jan1900</v>
          </cell>
          <cell r="L98" t="str">
            <v>Buildings</v>
          </cell>
          <cell r="M98" t="str">
            <v>BuildingsJan1900</v>
          </cell>
          <cell r="N98">
            <v>0</v>
          </cell>
          <cell r="O98">
            <v>0</v>
          </cell>
          <cell r="Q98" t="e">
            <v>#VALUE!</v>
          </cell>
          <cell r="R98">
            <v>0</v>
          </cell>
          <cell r="S98" t="str">
            <v>Jan1900</v>
          </cell>
          <cell r="T98" t="str">
            <v>Jan1900</v>
          </cell>
          <cell r="U98" t="e">
            <v>#VALUE!</v>
          </cell>
          <cell r="V98" t="e">
            <v>#VALUE!</v>
          </cell>
          <cell r="W98" t="str">
            <v/>
          </cell>
          <cell r="X98" t="str">
            <v>INV-9900</v>
          </cell>
          <cell r="Y98" t="str">
            <v>Jan</v>
          </cell>
          <cell r="Z98">
            <v>1900</v>
          </cell>
          <cell r="AA98" t="str">
            <v>9900</v>
          </cell>
          <cell r="AB98" t="str">
            <v>9900-80</v>
          </cell>
          <cell r="AC98">
            <v>80</v>
          </cell>
          <cell r="AD98">
            <v>0</v>
          </cell>
          <cell r="AE98">
            <v>0</v>
          </cell>
          <cell r="AF98" t="str">
            <v/>
          </cell>
          <cell r="AG98" t="str">
            <v/>
          </cell>
          <cell r="AH98">
            <v>1</v>
          </cell>
          <cell r="AI98">
            <v>1</v>
          </cell>
          <cell r="AK98" t="str">
            <v>INV--9900-80</v>
          </cell>
          <cell r="AL98">
            <v>0</v>
          </cell>
          <cell r="AN98" t="str">
            <v>INVOICE</v>
          </cell>
          <cell r="AR98" t="str">
            <v/>
          </cell>
          <cell r="AS98" t="str">
            <v/>
          </cell>
          <cell r="AT98" t="str">
            <v/>
          </cell>
          <cell r="AU98" t="str">
            <v/>
          </cell>
          <cell r="AV98" t="str">
            <v/>
          </cell>
          <cell r="AW98" t="str">
            <v/>
          </cell>
          <cell r="AX98" t="str">
            <v/>
          </cell>
          <cell r="AY98" t="str">
            <v/>
          </cell>
          <cell r="AZ98" t="str">
            <v/>
          </cell>
          <cell r="BB98" t="str">
            <v/>
          </cell>
          <cell r="BC98" t="str">
            <v/>
          </cell>
          <cell r="BF98" t="str">
            <v/>
          </cell>
          <cell r="BI98">
            <v>0</v>
          </cell>
          <cell r="BJ98">
            <v>0</v>
          </cell>
          <cell r="BK98">
            <v>30</v>
          </cell>
          <cell r="BP98" t="str">
            <v/>
          </cell>
          <cell r="BQ98" t="str">
            <v/>
          </cell>
          <cell r="BR98" t="str">
            <v/>
          </cell>
          <cell r="BS98" t="str">
            <v/>
          </cell>
        </row>
        <row r="99">
          <cell r="B99" t="str">
            <v>INV--9900-81</v>
          </cell>
          <cell r="C99" t="str">
            <v/>
          </cell>
          <cell r="D99" t="e">
            <v>#VALUE!</v>
          </cell>
          <cell r="E99" t="str">
            <v>Jan1900</v>
          </cell>
          <cell r="F99">
            <v>31</v>
          </cell>
          <cell r="G99" t="e">
            <v>#VALUE!</v>
          </cell>
          <cell r="H99">
            <v>1</v>
          </cell>
          <cell r="I99">
            <v>1</v>
          </cell>
          <cell r="J99">
            <v>0</v>
          </cell>
          <cell r="K99" t="str">
            <v>0Jan1900</v>
          </cell>
          <cell r="L99" t="str">
            <v>Buildings</v>
          </cell>
          <cell r="M99" t="str">
            <v>BuildingsJan1900</v>
          </cell>
          <cell r="N99">
            <v>0</v>
          </cell>
          <cell r="O99">
            <v>0</v>
          </cell>
          <cell r="Q99" t="e">
            <v>#VALUE!</v>
          </cell>
          <cell r="R99">
            <v>0</v>
          </cell>
          <cell r="S99" t="str">
            <v>Jan1900</v>
          </cell>
          <cell r="T99" t="str">
            <v>Jan1900</v>
          </cell>
          <cell r="U99" t="e">
            <v>#VALUE!</v>
          </cell>
          <cell r="V99" t="e">
            <v>#VALUE!</v>
          </cell>
          <cell r="W99" t="str">
            <v/>
          </cell>
          <cell r="X99" t="str">
            <v>INV-9900</v>
          </cell>
          <cell r="Y99" t="str">
            <v>Jan</v>
          </cell>
          <cell r="Z99">
            <v>1900</v>
          </cell>
          <cell r="AA99" t="str">
            <v>9900</v>
          </cell>
          <cell r="AB99" t="str">
            <v>9900-81</v>
          </cell>
          <cell r="AC99">
            <v>81</v>
          </cell>
          <cell r="AD99">
            <v>0</v>
          </cell>
          <cell r="AE99">
            <v>0</v>
          </cell>
          <cell r="AF99" t="str">
            <v/>
          </cell>
          <cell r="AG99" t="str">
            <v/>
          </cell>
          <cell r="AH99">
            <v>1</v>
          </cell>
          <cell r="AI99">
            <v>1</v>
          </cell>
          <cell r="AK99" t="str">
            <v>INV--9900-81</v>
          </cell>
          <cell r="AL99">
            <v>0</v>
          </cell>
          <cell r="AN99" t="str">
            <v>INVOICE</v>
          </cell>
          <cell r="AR99" t="str">
            <v/>
          </cell>
          <cell r="AS99" t="str">
            <v/>
          </cell>
          <cell r="AT99" t="str">
            <v/>
          </cell>
          <cell r="AU99" t="str">
            <v/>
          </cell>
          <cell r="AV99" t="str">
            <v/>
          </cell>
          <cell r="AW99" t="str">
            <v/>
          </cell>
          <cell r="AX99" t="str">
            <v/>
          </cell>
          <cell r="AY99" t="str">
            <v/>
          </cell>
          <cell r="AZ99" t="str">
            <v/>
          </cell>
          <cell r="BB99" t="str">
            <v/>
          </cell>
          <cell r="BC99" t="str">
            <v/>
          </cell>
          <cell r="BF99" t="str">
            <v/>
          </cell>
          <cell r="BI99">
            <v>0</v>
          </cell>
          <cell r="BJ99">
            <v>0</v>
          </cell>
          <cell r="BK99">
            <v>30</v>
          </cell>
          <cell r="BP99" t="str">
            <v/>
          </cell>
          <cell r="BQ99" t="str">
            <v/>
          </cell>
          <cell r="BR99" t="str">
            <v/>
          </cell>
          <cell r="BS99" t="str">
            <v/>
          </cell>
        </row>
        <row r="100">
          <cell r="B100" t="str">
            <v>INV--9900-82</v>
          </cell>
          <cell r="C100" t="str">
            <v/>
          </cell>
          <cell r="D100" t="e">
            <v>#VALUE!</v>
          </cell>
          <cell r="E100" t="str">
            <v>Jan1900</v>
          </cell>
          <cell r="F100">
            <v>31</v>
          </cell>
          <cell r="G100" t="e">
            <v>#VALUE!</v>
          </cell>
          <cell r="H100">
            <v>1</v>
          </cell>
          <cell r="I100">
            <v>1</v>
          </cell>
          <cell r="J100">
            <v>0</v>
          </cell>
          <cell r="K100" t="str">
            <v>0Jan1900</v>
          </cell>
          <cell r="L100" t="str">
            <v>Buildings</v>
          </cell>
          <cell r="M100" t="str">
            <v>BuildingsJan1900</v>
          </cell>
          <cell r="N100">
            <v>0</v>
          </cell>
          <cell r="O100">
            <v>0</v>
          </cell>
          <cell r="Q100" t="e">
            <v>#VALUE!</v>
          </cell>
          <cell r="R100">
            <v>0</v>
          </cell>
          <cell r="S100" t="str">
            <v>Jan1900</v>
          </cell>
          <cell r="T100" t="str">
            <v>Jan1900</v>
          </cell>
          <cell r="U100" t="e">
            <v>#VALUE!</v>
          </cell>
          <cell r="V100" t="e">
            <v>#VALUE!</v>
          </cell>
          <cell r="W100" t="str">
            <v/>
          </cell>
          <cell r="X100" t="str">
            <v>INV-9900</v>
          </cell>
          <cell r="Y100" t="str">
            <v>Jan</v>
          </cell>
          <cell r="Z100">
            <v>1900</v>
          </cell>
          <cell r="AA100" t="str">
            <v>9900</v>
          </cell>
          <cell r="AB100" t="str">
            <v>9900-82</v>
          </cell>
          <cell r="AC100">
            <v>82</v>
          </cell>
          <cell r="AD100">
            <v>0</v>
          </cell>
          <cell r="AE100">
            <v>0</v>
          </cell>
          <cell r="AF100" t="str">
            <v/>
          </cell>
          <cell r="AG100" t="str">
            <v/>
          </cell>
          <cell r="AH100">
            <v>1</v>
          </cell>
          <cell r="AI100">
            <v>1</v>
          </cell>
          <cell r="AK100" t="str">
            <v>INV--9900-82</v>
          </cell>
          <cell r="AL100">
            <v>0</v>
          </cell>
          <cell r="AN100" t="str">
            <v>INVOICE</v>
          </cell>
          <cell r="AR100" t="str">
            <v/>
          </cell>
          <cell r="AS100" t="str">
            <v/>
          </cell>
          <cell r="AT100" t="str">
            <v/>
          </cell>
          <cell r="AU100" t="str">
            <v/>
          </cell>
          <cell r="AV100" t="str">
            <v/>
          </cell>
          <cell r="AW100" t="str">
            <v/>
          </cell>
          <cell r="AX100" t="str">
            <v/>
          </cell>
          <cell r="AY100" t="str">
            <v/>
          </cell>
          <cell r="AZ100" t="str">
            <v/>
          </cell>
          <cell r="BB100" t="str">
            <v/>
          </cell>
          <cell r="BC100" t="str">
            <v/>
          </cell>
          <cell r="BF100" t="str">
            <v/>
          </cell>
          <cell r="BI100">
            <v>0</v>
          </cell>
          <cell r="BJ100">
            <v>0</v>
          </cell>
          <cell r="BK100">
            <v>30</v>
          </cell>
          <cell r="BP100" t="str">
            <v/>
          </cell>
          <cell r="BQ100" t="str">
            <v/>
          </cell>
          <cell r="BR100" t="str">
            <v/>
          </cell>
          <cell r="BS100" t="str">
            <v/>
          </cell>
        </row>
        <row r="101">
          <cell r="B101" t="str">
            <v>INV--9900-83</v>
          </cell>
          <cell r="C101" t="str">
            <v/>
          </cell>
          <cell r="D101" t="e">
            <v>#VALUE!</v>
          </cell>
          <cell r="E101" t="str">
            <v>Jan1900</v>
          </cell>
          <cell r="F101">
            <v>31</v>
          </cell>
          <cell r="G101" t="e">
            <v>#VALUE!</v>
          </cell>
          <cell r="H101">
            <v>1</v>
          </cell>
          <cell r="I101">
            <v>1</v>
          </cell>
          <cell r="J101">
            <v>0</v>
          </cell>
          <cell r="K101" t="str">
            <v>0Jan1900</v>
          </cell>
          <cell r="L101" t="str">
            <v>Buildings</v>
          </cell>
          <cell r="M101" t="str">
            <v>BuildingsJan1900</v>
          </cell>
          <cell r="N101">
            <v>0</v>
          </cell>
          <cell r="O101">
            <v>0</v>
          </cell>
          <cell r="Q101" t="e">
            <v>#VALUE!</v>
          </cell>
          <cell r="R101">
            <v>0</v>
          </cell>
          <cell r="S101" t="str">
            <v>Jan1900</v>
          </cell>
          <cell r="T101" t="str">
            <v>Jan1900</v>
          </cell>
          <cell r="U101" t="e">
            <v>#VALUE!</v>
          </cell>
          <cell r="V101" t="e">
            <v>#VALUE!</v>
          </cell>
          <cell r="W101" t="str">
            <v/>
          </cell>
          <cell r="X101" t="str">
            <v>INV-9900</v>
          </cell>
          <cell r="Y101" t="str">
            <v>Jan</v>
          </cell>
          <cell r="Z101">
            <v>1900</v>
          </cell>
          <cell r="AA101" t="str">
            <v>9900</v>
          </cell>
          <cell r="AB101" t="str">
            <v>9900-83</v>
          </cell>
          <cell r="AC101">
            <v>83</v>
          </cell>
          <cell r="AD101">
            <v>0</v>
          </cell>
          <cell r="AE101">
            <v>0</v>
          </cell>
          <cell r="AF101" t="str">
            <v/>
          </cell>
          <cell r="AG101" t="str">
            <v/>
          </cell>
          <cell r="AH101">
            <v>1</v>
          </cell>
          <cell r="AI101">
            <v>1</v>
          </cell>
          <cell r="AK101" t="str">
            <v>INV--9900-83</v>
          </cell>
          <cell r="AL101">
            <v>0</v>
          </cell>
          <cell r="AN101" t="str">
            <v>INVOICE</v>
          </cell>
          <cell r="AR101" t="str">
            <v/>
          </cell>
          <cell r="AS101" t="str">
            <v/>
          </cell>
          <cell r="AT101" t="str">
            <v/>
          </cell>
          <cell r="AU101" t="str">
            <v/>
          </cell>
          <cell r="AV101" t="str">
            <v/>
          </cell>
          <cell r="AW101" t="str">
            <v/>
          </cell>
          <cell r="AX101" t="str">
            <v/>
          </cell>
          <cell r="AY101" t="str">
            <v/>
          </cell>
          <cell r="AZ101" t="str">
            <v/>
          </cell>
          <cell r="BB101" t="str">
            <v/>
          </cell>
          <cell r="BC101" t="str">
            <v/>
          </cell>
          <cell r="BF101" t="str">
            <v/>
          </cell>
          <cell r="BI101">
            <v>0</v>
          </cell>
          <cell r="BJ101">
            <v>0</v>
          </cell>
          <cell r="BK101">
            <v>30</v>
          </cell>
          <cell r="BP101" t="str">
            <v/>
          </cell>
          <cell r="BQ101" t="str">
            <v/>
          </cell>
          <cell r="BR101" t="str">
            <v/>
          </cell>
          <cell r="BS101" t="str">
            <v/>
          </cell>
        </row>
        <row r="102">
          <cell r="B102" t="str">
            <v>INV--9900-84</v>
          </cell>
          <cell r="C102" t="str">
            <v/>
          </cell>
          <cell r="D102" t="e">
            <v>#VALUE!</v>
          </cell>
          <cell r="E102" t="str">
            <v>Jan1900</v>
          </cell>
          <cell r="F102">
            <v>31</v>
          </cell>
          <cell r="G102" t="e">
            <v>#VALUE!</v>
          </cell>
          <cell r="H102">
            <v>1</v>
          </cell>
          <cell r="I102">
            <v>1</v>
          </cell>
          <cell r="J102">
            <v>0</v>
          </cell>
          <cell r="K102" t="str">
            <v>0Jan1900</v>
          </cell>
          <cell r="L102" t="str">
            <v>Buildings</v>
          </cell>
          <cell r="M102" t="str">
            <v>BuildingsJan1900</v>
          </cell>
          <cell r="N102">
            <v>0</v>
          </cell>
          <cell r="O102">
            <v>0</v>
          </cell>
          <cell r="Q102" t="e">
            <v>#VALUE!</v>
          </cell>
          <cell r="R102">
            <v>0</v>
          </cell>
          <cell r="S102" t="str">
            <v>Jan1900</v>
          </cell>
          <cell r="T102" t="str">
            <v>Jan1900</v>
          </cell>
          <cell r="U102" t="e">
            <v>#VALUE!</v>
          </cell>
          <cell r="V102" t="e">
            <v>#VALUE!</v>
          </cell>
          <cell r="W102" t="str">
            <v/>
          </cell>
          <cell r="X102" t="str">
            <v>INV-9900</v>
          </cell>
          <cell r="Y102" t="str">
            <v>Jan</v>
          </cell>
          <cell r="Z102">
            <v>1900</v>
          </cell>
          <cell r="AA102" t="str">
            <v>9900</v>
          </cell>
          <cell r="AB102" t="str">
            <v>9900-84</v>
          </cell>
          <cell r="AC102">
            <v>84</v>
          </cell>
          <cell r="AD102">
            <v>0</v>
          </cell>
          <cell r="AE102">
            <v>0</v>
          </cell>
          <cell r="AF102" t="str">
            <v/>
          </cell>
          <cell r="AG102" t="str">
            <v/>
          </cell>
          <cell r="AH102">
            <v>1</v>
          </cell>
          <cell r="AI102">
            <v>1</v>
          </cell>
          <cell r="AK102" t="str">
            <v>INV--9900-84</v>
          </cell>
          <cell r="AL102">
            <v>0</v>
          </cell>
          <cell r="AN102" t="str">
            <v>INVOICE</v>
          </cell>
          <cell r="AR102" t="str">
            <v/>
          </cell>
          <cell r="AS102" t="str">
            <v/>
          </cell>
          <cell r="AT102" t="str">
            <v/>
          </cell>
          <cell r="AU102" t="str">
            <v/>
          </cell>
          <cell r="AV102" t="str">
            <v/>
          </cell>
          <cell r="AW102" t="str">
            <v/>
          </cell>
          <cell r="AX102" t="str">
            <v/>
          </cell>
          <cell r="AY102" t="str">
            <v/>
          </cell>
          <cell r="AZ102" t="str">
            <v/>
          </cell>
          <cell r="BB102" t="str">
            <v/>
          </cell>
          <cell r="BC102" t="str">
            <v/>
          </cell>
          <cell r="BF102" t="str">
            <v/>
          </cell>
          <cell r="BI102">
            <v>0</v>
          </cell>
          <cell r="BJ102">
            <v>0</v>
          </cell>
          <cell r="BK102">
            <v>30</v>
          </cell>
          <cell r="BP102" t="str">
            <v/>
          </cell>
          <cell r="BQ102" t="str">
            <v/>
          </cell>
          <cell r="BR102" t="str">
            <v/>
          </cell>
          <cell r="BS102" t="str">
            <v/>
          </cell>
        </row>
        <row r="103">
          <cell r="B103" t="str">
            <v>INV--9900-85</v>
          </cell>
          <cell r="C103" t="str">
            <v/>
          </cell>
          <cell r="D103" t="e">
            <v>#VALUE!</v>
          </cell>
          <cell r="E103" t="str">
            <v>Jan1900</v>
          </cell>
          <cell r="F103">
            <v>31</v>
          </cell>
          <cell r="G103" t="e">
            <v>#VALUE!</v>
          </cell>
          <cell r="H103">
            <v>1</v>
          </cell>
          <cell r="I103">
            <v>1</v>
          </cell>
          <cell r="J103">
            <v>0</v>
          </cell>
          <cell r="K103" t="str">
            <v>0Jan1900</v>
          </cell>
          <cell r="L103" t="str">
            <v>Buildings</v>
          </cell>
          <cell r="M103" t="str">
            <v>BuildingsJan1900</v>
          </cell>
          <cell r="N103">
            <v>0</v>
          </cell>
          <cell r="O103">
            <v>0</v>
          </cell>
          <cell r="Q103" t="e">
            <v>#VALUE!</v>
          </cell>
          <cell r="R103">
            <v>0</v>
          </cell>
          <cell r="S103" t="str">
            <v>Jan1900</v>
          </cell>
          <cell r="T103" t="str">
            <v>Jan1900</v>
          </cell>
          <cell r="U103" t="e">
            <v>#VALUE!</v>
          </cell>
          <cell r="V103" t="e">
            <v>#VALUE!</v>
          </cell>
          <cell r="W103" t="str">
            <v/>
          </cell>
          <cell r="X103" t="str">
            <v>INV-9900</v>
          </cell>
          <cell r="Y103" t="str">
            <v>Jan</v>
          </cell>
          <cell r="Z103">
            <v>1900</v>
          </cell>
          <cell r="AA103" t="str">
            <v>9900</v>
          </cell>
          <cell r="AB103" t="str">
            <v>9900-85</v>
          </cell>
          <cell r="AC103">
            <v>85</v>
          </cell>
          <cell r="AD103">
            <v>0</v>
          </cell>
          <cell r="AE103">
            <v>0</v>
          </cell>
          <cell r="AF103" t="str">
            <v/>
          </cell>
          <cell r="AG103" t="str">
            <v/>
          </cell>
          <cell r="AH103">
            <v>1</v>
          </cell>
          <cell r="AI103">
            <v>1</v>
          </cell>
          <cell r="AK103" t="str">
            <v>INV--9900-85</v>
          </cell>
          <cell r="AL103">
            <v>0</v>
          </cell>
          <cell r="AN103" t="str">
            <v>INVOICE</v>
          </cell>
          <cell r="AR103" t="str">
            <v/>
          </cell>
          <cell r="AS103" t="str">
            <v/>
          </cell>
          <cell r="AT103" t="str">
            <v/>
          </cell>
          <cell r="AU103" t="str">
            <v/>
          </cell>
          <cell r="AV103" t="str">
            <v/>
          </cell>
          <cell r="AW103" t="str">
            <v/>
          </cell>
          <cell r="AX103" t="str">
            <v/>
          </cell>
          <cell r="AY103" t="str">
            <v/>
          </cell>
          <cell r="AZ103" t="str">
            <v/>
          </cell>
          <cell r="BB103" t="str">
            <v/>
          </cell>
          <cell r="BC103" t="str">
            <v/>
          </cell>
          <cell r="BF103" t="str">
            <v/>
          </cell>
          <cell r="BI103">
            <v>0</v>
          </cell>
          <cell r="BJ103">
            <v>0</v>
          </cell>
          <cell r="BK103">
            <v>30</v>
          </cell>
          <cell r="BP103" t="str">
            <v/>
          </cell>
          <cell r="BQ103" t="str">
            <v/>
          </cell>
          <cell r="BR103" t="str">
            <v/>
          </cell>
          <cell r="BS103" t="str">
            <v/>
          </cell>
        </row>
        <row r="104">
          <cell r="B104" t="str">
            <v>INV--9900-86</v>
          </cell>
          <cell r="C104" t="str">
            <v/>
          </cell>
          <cell r="D104" t="e">
            <v>#VALUE!</v>
          </cell>
          <cell r="E104" t="str">
            <v>Jan1900</v>
          </cell>
          <cell r="F104">
            <v>31</v>
          </cell>
          <cell r="G104" t="e">
            <v>#VALUE!</v>
          </cell>
          <cell r="H104">
            <v>1</v>
          </cell>
          <cell r="I104">
            <v>1</v>
          </cell>
          <cell r="J104">
            <v>0</v>
          </cell>
          <cell r="K104" t="str">
            <v>0Jan1900</v>
          </cell>
          <cell r="L104" t="str">
            <v>Buildings</v>
          </cell>
          <cell r="M104" t="str">
            <v>BuildingsJan1900</v>
          </cell>
          <cell r="N104">
            <v>0</v>
          </cell>
          <cell r="O104">
            <v>0</v>
          </cell>
          <cell r="Q104" t="e">
            <v>#VALUE!</v>
          </cell>
          <cell r="R104">
            <v>0</v>
          </cell>
          <cell r="S104" t="str">
            <v>Jan1900</v>
          </cell>
          <cell r="T104" t="str">
            <v>Jan1900</v>
          </cell>
          <cell r="U104" t="e">
            <v>#VALUE!</v>
          </cell>
          <cell r="V104" t="e">
            <v>#VALUE!</v>
          </cell>
          <cell r="W104" t="str">
            <v/>
          </cell>
          <cell r="X104" t="str">
            <v>INV-9900</v>
          </cell>
          <cell r="Y104" t="str">
            <v>Jan</v>
          </cell>
          <cell r="Z104">
            <v>1900</v>
          </cell>
          <cell r="AA104" t="str">
            <v>9900</v>
          </cell>
          <cell r="AB104" t="str">
            <v>9900-86</v>
          </cell>
          <cell r="AC104">
            <v>86</v>
          </cell>
          <cell r="AD104">
            <v>0</v>
          </cell>
          <cell r="AE104">
            <v>0</v>
          </cell>
          <cell r="AF104" t="str">
            <v/>
          </cell>
          <cell r="AG104" t="str">
            <v/>
          </cell>
          <cell r="AH104">
            <v>1</v>
          </cell>
          <cell r="AI104">
            <v>1</v>
          </cell>
          <cell r="AK104" t="str">
            <v>INV--9900-86</v>
          </cell>
          <cell r="AL104">
            <v>0</v>
          </cell>
          <cell r="AN104" t="str">
            <v>INVOICE</v>
          </cell>
          <cell r="AR104" t="str">
            <v/>
          </cell>
          <cell r="AS104" t="str">
            <v/>
          </cell>
          <cell r="AT104" t="str">
            <v/>
          </cell>
          <cell r="AU104" t="str">
            <v/>
          </cell>
          <cell r="AV104" t="str">
            <v/>
          </cell>
          <cell r="AW104" t="str">
            <v/>
          </cell>
          <cell r="AX104" t="str">
            <v/>
          </cell>
          <cell r="AY104" t="str">
            <v/>
          </cell>
          <cell r="AZ104" t="str">
            <v/>
          </cell>
          <cell r="BB104" t="str">
            <v/>
          </cell>
          <cell r="BC104" t="str">
            <v/>
          </cell>
          <cell r="BF104" t="str">
            <v/>
          </cell>
          <cell r="BI104">
            <v>0</v>
          </cell>
          <cell r="BJ104">
            <v>0</v>
          </cell>
          <cell r="BK104">
            <v>30</v>
          </cell>
          <cell r="BP104" t="str">
            <v/>
          </cell>
          <cell r="BQ104" t="str">
            <v/>
          </cell>
          <cell r="BR104" t="str">
            <v/>
          </cell>
          <cell r="BS104" t="str">
            <v/>
          </cell>
        </row>
        <row r="105">
          <cell r="B105" t="str">
            <v>INV--9900-87</v>
          </cell>
          <cell r="C105" t="str">
            <v/>
          </cell>
          <cell r="D105" t="e">
            <v>#VALUE!</v>
          </cell>
          <cell r="E105" t="str">
            <v>Jan1900</v>
          </cell>
          <cell r="F105">
            <v>31</v>
          </cell>
          <cell r="G105" t="e">
            <v>#VALUE!</v>
          </cell>
          <cell r="H105">
            <v>1</v>
          </cell>
          <cell r="I105">
            <v>1</v>
          </cell>
          <cell r="J105">
            <v>0</v>
          </cell>
          <cell r="K105" t="str">
            <v>0Jan1900</v>
          </cell>
          <cell r="L105" t="str">
            <v>Buildings</v>
          </cell>
          <cell r="M105" t="str">
            <v>BuildingsJan1900</v>
          </cell>
          <cell r="N105">
            <v>0</v>
          </cell>
          <cell r="O105">
            <v>0</v>
          </cell>
          <cell r="Q105" t="e">
            <v>#VALUE!</v>
          </cell>
          <cell r="R105">
            <v>0</v>
          </cell>
          <cell r="S105" t="str">
            <v>Jan1900</v>
          </cell>
          <cell r="T105" t="str">
            <v>Jan1900</v>
          </cell>
          <cell r="U105" t="e">
            <v>#VALUE!</v>
          </cell>
          <cell r="V105" t="e">
            <v>#VALUE!</v>
          </cell>
          <cell r="W105" t="str">
            <v/>
          </cell>
          <cell r="X105" t="str">
            <v>INV-9900</v>
          </cell>
          <cell r="Y105" t="str">
            <v>Jan</v>
          </cell>
          <cell r="Z105">
            <v>1900</v>
          </cell>
          <cell r="AA105" t="str">
            <v>9900</v>
          </cell>
          <cell r="AB105" t="str">
            <v>9900-87</v>
          </cell>
          <cell r="AC105">
            <v>87</v>
          </cell>
          <cell r="AD105">
            <v>0</v>
          </cell>
          <cell r="AE105">
            <v>0</v>
          </cell>
          <cell r="AF105" t="str">
            <v/>
          </cell>
          <cell r="AG105" t="str">
            <v/>
          </cell>
          <cell r="AH105">
            <v>1</v>
          </cell>
          <cell r="AI105">
            <v>1</v>
          </cell>
          <cell r="AK105" t="str">
            <v>INV--9900-87</v>
          </cell>
          <cell r="AL105">
            <v>0</v>
          </cell>
          <cell r="AN105" t="str">
            <v>INVOICE</v>
          </cell>
          <cell r="AR105" t="str">
            <v/>
          </cell>
          <cell r="AS105" t="str">
            <v/>
          </cell>
          <cell r="AT105" t="str">
            <v/>
          </cell>
          <cell r="AU105" t="str">
            <v/>
          </cell>
          <cell r="AV105" t="str">
            <v/>
          </cell>
          <cell r="AW105" t="str">
            <v/>
          </cell>
          <cell r="AX105" t="str">
            <v/>
          </cell>
          <cell r="AY105" t="str">
            <v/>
          </cell>
          <cell r="AZ105" t="str">
            <v/>
          </cell>
          <cell r="BB105" t="str">
            <v/>
          </cell>
          <cell r="BC105" t="str">
            <v/>
          </cell>
          <cell r="BF105" t="str">
            <v/>
          </cell>
          <cell r="BI105">
            <v>0</v>
          </cell>
          <cell r="BJ105">
            <v>0</v>
          </cell>
          <cell r="BK105">
            <v>30</v>
          </cell>
          <cell r="BP105" t="str">
            <v/>
          </cell>
          <cell r="BQ105" t="str">
            <v/>
          </cell>
          <cell r="BR105" t="str">
            <v/>
          </cell>
          <cell r="BS105" t="str">
            <v/>
          </cell>
        </row>
        <row r="106">
          <cell r="B106" t="str">
            <v>INV--9900-88</v>
          </cell>
          <cell r="C106" t="str">
            <v/>
          </cell>
          <cell r="D106" t="e">
            <v>#VALUE!</v>
          </cell>
          <cell r="E106" t="str">
            <v>Jan1900</v>
          </cell>
          <cell r="F106">
            <v>31</v>
          </cell>
          <cell r="G106" t="e">
            <v>#VALUE!</v>
          </cell>
          <cell r="H106">
            <v>1</v>
          </cell>
          <cell r="I106">
            <v>1</v>
          </cell>
          <cell r="J106">
            <v>0</v>
          </cell>
          <cell r="K106" t="str">
            <v>0Jan1900</v>
          </cell>
          <cell r="L106" t="str">
            <v>Buildings</v>
          </cell>
          <cell r="M106" t="str">
            <v>BuildingsJan1900</v>
          </cell>
          <cell r="N106">
            <v>0</v>
          </cell>
          <cell r="O106">
            <v>0</v>
          </cell>
          <cell r="Q106" t="e">
            <v>#VALUE!</v>
          </cell>
          <cell r="R106">
            <v>0</v>
          </cell>
          <cell r="S106" t="str">
            <v>Jan1900</v>
          </cell>
          <cell r="T106" t="str">
            <v>Jan1900</v>
          </cell>
          <cell r="U106" t="e">
            <v>#VALUE!</v>
          </cell>
          <cell r="V106" t="e">
            <v>#VALUE!</v>
          </cell>
          <cell r="W106" t="str">
            <v/>
          </cell>
          <cell r="X106" t="str">
            <v>INV-9900</v>
          </cell>
          <cell r="Y106" t="str">
            <v>Jan</v>
          </cell>
          <cell r="Z106">
            <v>1900</v>
          </cell>
          <cell r="AA106" t="str">
            <v>9900</v>
          </cell>
          <cell r="AB106" t="str">
            <v>9900-88</v>
          </cell>
          <cell r="AC106">
            <v>88</v>
          </cell>
          <cell r="AD106">
            <v>0</v>
          </cell>
          <cell r="AE106">
            <v>0</v>
          </cell>
          <cell r="AF106" t="str">
            <v/>
          </cell>
          <cell r="AG106" t="str">
            <v/>
          </cell>
          <cell r="AH106">
            <v>1</v>
          </cell>
          <cell r="AI106">
            <v>1</v>
          </cell>
          <cell r="AK106" t="str">
            <v>INV--9900-88</v>
          </cell>
          <cell r="AL106">
            <v>0</v>
          </cell>
          <cell r="AN106" t="str">
            <v>INVOICE</v>
          </cell>
          <cell r="AR106" t="str">
            <v/>
          </cell>
          <cell r="AS106" t="str">
            <v/>
          </cell>
          <cell r="AT106" t="str">
            <v/>
          </cell>
          <cell r="AU106" t="str">
            <v/>
          </cell>
          <cell r="AV106" t="str">
            <v/>
          </cell>
          <cell r="AW106" t="str">
            <v/>
          </cell>
          <cell r="AX106" t="str">
            <v/>
          </cell>
          <cell r="AY106" t="str">
            <v/>
          </cell>
          <cell r="AZ106" t="str">
            <v/>
          </cell>
          <cell r="BB106" t="str">
            <v/>
          </cell>
          <cell r="BC106" t="str">
            <v/>
          </cell>
          <cell r="BF106" t="str">
            <v/>
          </cell>
          <cell r="BI106">
            <v>0</v>
          </cell>
          <cell r="BJ106">
            <v>0</v>
          </cell>
          <cell r="BK106">
            <v>30</v>
          </cell>
          <cell r="BP106" t="str">
            <v/>
          </cell>
          <cell r="BQ106" t="str">
            <v/>
          </cell>
          <cell r="BR106" t="str">
            <v/>
          </cell>
          <cell r="BS106" t="str">
            <v/>
          </cell>
        </row>
        <row r="107">
          <cell r="B107" t="str">
            <v>INV--9900-89</v>
          </cell>
          <cell r="C107" t="str">
            <v/>
          </cell>
          <cell r="D107" t="e">
            <v>#VALUE!</v>
          </cell>
          <cell r="E107" t="str">
            <v>Jan1900</v>
          </cell>
          <cell r="F107">
            <v>31</v>
          </cell>
          <cell r="G107" t="e">
            <v>#VALUE!</v>
          </cell>
          <cell r="H107">
            <v>1</v>
          </cell>
          <cell r="I107">
            <v>1</v>
          </cell>
          <cell r="J107">
            <v>0</v>
          </cell>
          <cell r="K107" t="str">
            <v>0Jan1900</v>
          </cell>
          <cell r="L107" t="str">
            <v>Buildings</v>
          </cell>
          <cell r="M107" t="str">
            <v>BuildingsJan1900</v>
          </cell>
          <cell r="N107">
            <v>0</v>
          </cell>
          <cell r="O107">
            <v>0</v>
          </cell>
          <cell r="Q107" t="e">
            <v>#VALUE!</v>
          </cell>
          <cell r="R107">
            <v>0</v>
          </cell>
          <cell r="S107" t="str">
            <v>Jan1900</v>
          </cell>
          <cell r="T107" t="str">
            <v>Jan1900</v>
          </cell>
          <cell r="U107" t="e">
            <v>#VALUE!</v>
          </cell>
          <cell r="V107" t="e">
            <v>#VALUE!</v>
          </cell>
          <cell r="W107" t="str">
            <v/>
          </cell>
          <cell r="X107" t="str">
            <v>INV-9900</v>
          </cell>
          <cell r="Y107" t="str">
            <v>Jan</v>
          </cell>
          <cell r="Z107">
            <v>1900</v>
          </cell>
          <cell r="AA107" t="str">
            <v>9900</v>
          </cell>
          <cell r="AB107" t="str">
            <v>9900-89</v>
          </cell>
          <cell r="AC107">
            <v>89</v>
          </cell>
          <cell r="AD107">
            <v>0</v>
          </cell>
          <cell r="AE107">
            <v>0</v>
          </cell>
          <cell r="AF107" t="str">
            <v/>
          </cell>
          <cell r="AG107" t="str">
            <v/>
          </cell>
          <cell r="AH107">
            <v>1</v>
          </cell>
          <cell r="AI107">
            <v>1</v>
          </cell>
          <cell r="AK107" t="str">
            <v>INV--9900-89</v>
          </cell>
          <cell r="AL107">
            <v>0</v>
          </cell>
          <cell r="AN107" t="str">
            <v>INVOICE</v>
          </cell>
          <cell r="AR107" t="str">
            <v/>
          </cell>
          <cell r="AS107" t="str">
            <v/>
          </cell>
          <cell r="AT107" t="str">
            <v/>
          </cell>
          <cell r="AU107" t="str">
            <v/>
          </cell>
          <cell r="AV107" t="str">
            <v/>
          </cell>
          <cell r="AW107" t="str">
            <v/>
          </cell>
          <cell r="AX107" t="str">
            <v/>
          </cell>
          <cell r="AY107" t="str">
            <v/>
          </cell>
          <cell r="AZ107" t="str">
            <v/>
          </cell>
          <cell r="BB107" t="str">
            <v/>
          </cell>
          <cell r="BC107" t="str">
            <v/>
          </cell>
          <cell r="BF107" t="str">
            <v/>
          </cell>
          <cell r="BI107">
            <v>0</v>
          </cell>
          <cell r="BJ107">
            <v>0</v>
          </cell>
          <cell r="BK107">
            <v>30</v>
          </cell>
          <cell r="BP107" t="str">
            <v/>
          </cell>
          <cell r="BQ107" t="str">
            <v/>
          </cell>
          <cell r="BR107" t="str">
            <v/>
          </cell>
          <cell r="BS107" t="str">
            <v/>
          </cell>
        </row>
        <row r="108">
          <cell r="B108" t="str">
            <v>INV--9900-90</v>
          </cell>
          <cell r="C108" t="str">
            <v/>
          </cell>
          <cell r="D108" t="e">
            <v>#VALUE!</v>
          </cell>
          <cell r="E108" t="str">
            <v>Jan1900</v>
          </cell>
          <cell r="F108">
            <v>31</v>
          </cell>
          <cell r="G108" t="e">
            <v>#VALUE!</v>
          </cell>
          <cell r="H108">
            <v>1</v>
          </cell>
          <cell r="I108">
            <v>1</v>
          </cell>
          <cell r="J108">
            <v>0</v>
          </cell>
          <cell r="K108" t="str">
            <v>0Jan1900</v>
          </cell>
          <cell r="L108" t="str">
            <v>Buildings</v>
          </cell>
          <cell r="M108" t="str">
            <v>BuildingsJan1900</v>
          </cell>
          <cell r="N108">
            <v>0</v>
          </cell>
          <cell r="O108">
            <v>0</v>
          </cell>
          <cell r="Q108" t="e">
            <v>#VALUE!</v>
          </cell>
          <cell r="R108">
            <v>0</v>
          </cell>
          <cell r="S108" t="str">
            <v>Jan1900</v>
          </cell>
          <cell r="T108" t="str">
            <v>Jan1900</v>
          </cell>
          <cell r="U108" t="e">
            <v>#VALUE!</v>
          </cell>
          <cell r="V108" t="e">
            <v>#VALUE!</v>
          </cell>
          <cell r="W108" t="str">
            <v/>
          </cell>
          <cell r="X108" t="str">
            <v>INV-9900</v>
          </cell>
          <cell r="Y108" t="str">
            <v>Jan</v>
          </cell>
          <cell r="Z108">
            <v>1900</v>
          </cell>
          <cell r="AA108" t="str">
            <v>9900</v>
          </cell>
          <cell r="AB108" t="str">
            <v>9900-90</v>
          </cell>
          <cell r="AC108">
            <v>90</v>
          </cell>
          <cell r="AD108">
            <v>0</v>
          </cell>
          <cell r="AE108">
            <v>0</v>
          </cell>
          <cell r="AF108" t="str">
            <v/>
          </cell>
          <cell r="AG108" t="str">
            <v/>
          </cell>
          <cell r="AH108">
            <v>1</v>
          </cell>
          <cell r="AI108">
            <v>1</v>
          </cell>
          <cell r="AK108" t="str">
            <v>INV--9900-90</v>
          </cell>
          <cell r="AL108">
            <v>0</v>
          </cell>
          <cell r="AN108" t="str">
            <v>INVOICE</v>
          </cell>
          <cell r="AR108" t="str">
            <v/>
          </cell>
          <cell r="AS108" t="str">
            <v/>
          </cell>
          <cell r="AT108" t="str">
            <v/>
          </cell>
          <cell r="AU108" t="str">
            <v/>
          </cell>
          <cell r="AV108" t="str">
            <v/>
          </cell>
          <cell r="AW108" t="str">
            <v/>
          </cell>
          <cell r="AX108" t="str">
            <v/>
          </cell>
          <cell r="AY108" t="str">
            <v/>
          </cell>
          <cell r="AZ108" t="str">
            <v/>
          </cell>
          <cell r="BB108" t="str">
            <v/>
          </cell>
          <cell r="BC108" t="str">
            <v/>
          </cell>
          <cell r="BF108" t="str">
            <v/>
          </cell>
          <cell r="BI108">
            <v>0</v>
          </cell>
          <cell r="BJ108">
            <v>0</v>
          </cell>
          <cell r="BK108">
            <v>30</v>
          </cell>
          <cell r="BP108" t="str">
            <v/>
          </cell>
          <cell r="BQ108" t="str">
            <v/>
          </cell>
          <cell r="BR108" t="str">
            <v/>
          </cell>
          <cell r="BS108" t="str">
            <v/>
          </cell>
        </row>
        <row r="109">
          <cell r="B109" t="str">
            <v>INV--9900-91</v>
          </cell>
          <cell r="C109" t="str">
            <v/>
          </cell>
          <cell r="D109" t="e">
            <v>#VALUE!</v>
          </cell>
          <cell r="E109" t="str">
            <v>Jan1900</v>
          </cell>
          <cell r="F109">
            <v>31</v>
          </cell>
          <cell r="G109" t="e">
            <v>#VALUE!</v>
          </cell>
          <cell r="H109">
            <v>1</v>
          </cell>
          <cell r="I109">
            <v>1</v>
          </cell>
          <cell r="J109">
            <v>0</v>
          </cell>
          <cell r="K109" t="str">
            <v>0Jan1900</v>
          </cell>
          <cell r="L109" t="str">
            <v>Buildings</v>
          </cell>
          <cell r="M109" t="str">
            <v>BuildingsJan1900</v>
          </cell>
          <cell r="N109">
            <v>0</v>
          </cell>
          <cell r="O109">
            <v>0</v>
          </cell>
          <cell r="Q109" t="e">
            <v>#VALUE!</v>
          </cell>
          <cell r="R109">
            <v>0</v>
          </cell>
          <cell r="S109" t="str">
            <v>Jan1900</v>
          </cell>
          <cell r="T109" t="str">
            <v>Jan1900</v>
          </cell>
          <cell r="U109" t="e">
            <v>#VALUE!</v>
          </cell>
          <cell r="V109" t="e">
            <v>#VALUE!</v>
          </cell>
          <cell r="W109" t="str">
            <v/>
          </cell>
          <cell r="X109" t="str">
            <v>INV-9900</v>
          </cell>
          <cell r="Y109" t="str">
            <v>Jan</v>
          </cell>
          <cell r="Z109">
            <v>1900</v>
          </cell>
          <cell r="AA109" t="str">
            <v>9900</v>
          </cell>
          <cell r="AB109" t="str">
            <v>9900-91</v>
          </cell>
          <cell r="AC109">
            <v>91</v>
          </cell>
          <cell r="AD109">
            <v>0</v>
          </cell>
          <cell r="AE109">
            <v>0</v>
          </cell>
          <cell r="AF109" t="str">
            <v/>
          </cell>
          <cell r="AG109" t="str">
            <v/>
          </cell>
          <cell r="AH109">
            <v>1</v>
          </cell>
          <cell r="AI109">
            <v>1</v>
          </cell>
          <cell r="AK109" t="str">
            <v>INV--9900-91</v>
          </cell>
          <cell r="AL109">
            <v>0</v>
          </cell>
          <cell r="AN109" t="str">
            <v>INVOICE</v>
          </cell>
          <cell r="AR109" t="str">
            <v/>
          </cell>
          <cell r="AS109" t="str">
            <v/>
          </cell>
          <cell r="AT109" t="str">
            <v/>
          </cell>
          <cell r="AU109" t="str">
            <v/>
          </cell>
          <cell r="AV109" t="str">
            <v/>
          </cell>
          <cell r="AW109" t="str">
            <v/>
          </cell>
          <cell r="AX109" t="str">
            <v/>
          </cell>
          <cell r="AY109" t="str">
            <v/>
          </cell>
          <cell r="AZ109" t="str">
            <v/>
          </cell>
          <cell r="BB109" t="str">
            <v/>
          </cell>
          <cell r="BC109" t="str">
            <v/>
          </cell>
          <cell r="BF109" t="str">
            <v/>
          </cell>
          <cell r="BI109">
            <v>0</v>
          </cell>
          <cell r="BJ109">
            <v>0</v>
          </cell>
          <cell r="BK109">
            <v>30</v>
          </cell>
          <cell r="BP109" t="str">
            <v/>
          </cell>
          <cell r="BQ109" t="str">
            <v/>
          </cell>
          <cell r="BR109" t="str">
            <v/>
          </cell>
          <cell r="BS109" t="str">
            <v/>
          </cell>
        </row>
        <row r="110">
          <cell r="B110" t="str">
            <v>INV--9900-92</v>
          </cell>
          <cell r="C110" t="str">
            <v/>
          </cell>
          <cell r="D110" t="e">
            <v>#VALUE!</v>
          </cell>
          <cell r="E110" t="str">
            <v>Jan1900</v>
          </cell>
          <cell r="F110">
            <v>31</v>
          </cell>
          <cell r="G110" t="e">
            <v>#VALUE!</v>
          </cell>
          <cell r="H110">
            <v>1</v>
          </cell>
          <cell r="I110">
            <v>1</v>
          </cell>
          <cell r="J110">
            <v>0</v>
          </cell>
          <cell r="K110" t="str">
            <v>0Jan1900</v>
          </cell>
          <cell r="L110" t="str">
            <v>Buildings</v>
          </cell>
          <cell r="M110" t="str">
            <v>BuildingsJan1900</v>
          </cell>
          <cell r="N110">
            <v>0</v>
          </cell>
          <cell r="O110">
            <v>0</v>
          </cell>
          <cell r="Q110" t="e">
            <v>#VALUE!</v>
          </cell>
          <cell r="R110">
            <v>0</v>
          </cell>
          <cell r="S110" t="str">
            <v>Jan1900</v>
          </cell>
          <cell r="T110" t="str">
            <v>Jan1900</v>
          </cell>
          <cell r="U110" t="e">
            <v>#VALUE!</v>
          </cell>
          <cell r="V110" t="e">
            <v>#VALUE!</v>
          </cell>
          <cell r="W110" t="str">
            <v/>
          </cell>
          <cell r="X110" t="str">
            <v>INV-9900</v>
          </cell>
          <cell r="Y110" t="str">
            <v>Jan</v>
          </cell>
          <cell r="Z110">
            <v>1900</v>
          </cell>
          <cell r="AA110" t="str">
            <v>9900</v>
          </cell>
          <cell r="AB110" t="str">
            <v>9900-92</v>
          </cell>
          <cell r="AC110">
            <v>92</v>
          </cell>
          <cell r="AD110">
            <v>0</v>
          </cell>
          <cell r="AE110">
            <v>0</v>
          </cell>
          <cell r="AF110" t="str">
            <v/>
          </cell>
          <cell r="AG110" t="str">
            <v/>
          </cell>
          <cell r="AH110">
            <v>1</v>
          </cell>
          <cell r="AI110">
            <v>1</v>
          </cell>
          <cell r="AK110" t="str">
            <v>INV--9900-92</v>
          </cell>
          <cell r="AL110">
            <v>0</v>
          </cell>
          <cell r="AN110" t="str">
            <v>INVOICE</v>
          </cell>
          <cell r="AR110" t="str">
            <v/>
          </cell>
          <cell r="AS110" t="str">
            <v/>
          </cell>
          <cell r="AT110" t="str">
            <v/>
          </cell>
          <cell r="AU110" t="str">
            <v/>
          </cell>
          <cell r="AV110" t="str">
            <v/>
          </cell>
          <cell r="AW110" t="str">
            <v/>
          </cell>
          <cell r="AX110" t="str">
            <v/>
          </cell>
          <cell r="AY110" t="str">
            <v/>
          </cell>
          <cell r="AZ110" t="str">
            <v/>
          </cell>
          <cell r="BB110" t="str">
            <v/>
          </cell>
          <cell r="BC110" t="str">
            <v/>
          </cell>
          <cell r="BF110" t="str">
            <v/>
          </cell>
          <cell r="BI110">
            <v>0</v>
          </cell>
          <cell r="BJ110">
            <v>0</v>
          </cell>
          <cell r="BK110">
            <v>30</v>
          </cell>
          <cell r="BP110" t="str">
            <v/>
          </cell>
          <cell r="BQ110" t="str">
            <v/>
          </cell>
          <cell r="BR110" t="str">
            <v/>
          </cell>
          <cell r="BS110" t="str">
            <v/>
          </cell>
        </row>
        <row r="111">
          <cell r="B111" t="str">
            <v>INV--9900-93</v>
          </cell>
          <cell r="C111" t="str">
            <v/>
          </cell>
          <cell r="D111" t="e">
            <v>#VALUE!</v>
          </cell>
          <cell r="E111" t="str">
            <v>Jan1900</v>
          </cell>
          <cell r="F111">
            <v>31</v>
          </cell>
          <cell r="G111" t="e">
            <v>#VALUE!</v>
          </cell>
          <cell r="H111">
            <v>1</v>
          </cell>
          <cell r="I111">
            <v>1</v>
          </cell>
          <cell r="J111">
            <v>0</v>
          </cell>
          <cell r="K111" t="str">
            <v>0Jan1900</v>
          </cell>
          <cell r="L111" t="str">
            <v>Buildings</v>
          </cell>
          <cell r="M111" t="str">
            <v>BuildingsJan1900</v>
          </cell>
          <cell r="N111">
            <v>0</v>
          </cell>
          <cell r="O111">
            <v>0</v>
          </cell>
          <cell r="Q111" t="e">
            <v>#VALUE!</v>
          </cell>
          <cell r="R111">
            <v>0</v>
          </cell>
          <cell r="S111" t="str">
            <v>Jan1900</v>
          </cell>
          <cell r="T111" t="str">
            <v>Jan1900</v>
          </cell>
          <cell r="U111" t="e">
            <v>#VALUE!</v>
          </cell>
          <cell r="V111" t="e">
            <v>#VALUE!</v>
          </cell>
          <cell r="W111" t="str">
            <v/>
          </cell>
          <cell r="X111" t="str">
            <v>INV-9900</v>
          </cell>
          <cell r="Y111" t="str">
            <v>Jan</v>
          </cell>
          <cell r="Z111">
            <v>1900</v>
          </cell>
          <cell r="AA111" t="str">
            <v>9900</v>
          </cell>
          <cell r="AB111" t="str">
            <v>9900-93</v>
          </cell>
          <cell r="AC111">
            <v>93</v>
          </cell>
          <cell r="AD111">
            <v>0</v>
          </cell>
          <cell r="AE111">
            <v>0</v>
          </cell>
          <cell r="AF111" t="str">
            <v/>
          </cell>
          <cell r="AG111" t="str">
            <v/>
          </cell>
          <cell r="AH111">
            <v>1</v>
          </cell>
          <cell r="AI111">
            <v>1</v>
          </cell>
          <cell r="AK111" t="str">
            <v>INV--9900-93</v>
          </cell>
          <cell r="AL111">
            <v>0</v>
          </cell>
          <cell r="AN111" t="str">
            <v>INVOICE</v>
          </cell>
          <cell r="AR111" t="str">
            <v/>
          </cell>
          <cell r="AS111" t="str">
            <v/>
          </cell>
          <cell r="AT111" t="str">
            <v/>
          </cell>
          <cell r="AU111" t="str">
            <v/>
          </cell>
          <cell r="AV111" t="str">
            <v/>
          </cell>
          <cell r="AW111" t="str">
            <v/>
          </cell>
          <cell r="AX111" t="str">
            <v/>
          </cell>
          <cell r="AY111" t="str">
            <v/>
          </cell>
          <cell r="AZ111" t="str">
            <v/>
          </cell>
          <cell r="BB111" t="str">
            <v/>
          </cell>
          <cell r="BC111" t="str">
            <v/>
          </cell>
          <cell r="BF111" t="str">
            <v/>
          </cell>
          <cell r="BI111">
            <v>0</v>
          </cell>
          <cell r="BJ111">
            <v>0</v>
          </cell>
          <cell r="BK111">
            <v>30</v>
          </cell>
          <cell r="BP111" t="str">
            <v/>
          </cell>
          <cell r="BQ111" t="str">
            <v/>
          </cell>
          <cell r="BR111" t="str">
            <v/>
          </cell>
          <cell r="BS111" t="str">
            <v/>
          </cell>
        </row>
        <row r="112">
          <cell r="B112" t="str">
            <v>INV--9900-94</v>
          </cell>
          <cell r="C112" t="str">
            <v/>
          </cell>
          <cell r="D112" t="e">
            <v>#VALUE!</v>
          </cell>
          <cell r="E112" t="str">
            <v>Jan1900</v>
          </cell>
          <cell r="F112">
            <v>31</v>
          </cell>
          <cell r="G112" t="e">
            <v>#VALUE!</v>
          </cell>
          <cell r="H112">
            <v>1</v>
          </cell>
          <cell r="I112">
            <v>1</v>
          </cell>
          <cell r="J112">
            <v>0</v>
          </cell>
          <cell r="K112" t="str">
            <v>0Jan1900</v>
          </cell>
          <cell r="L112" t="str">
            <v>Buildings</v>
          </cell>
          <cell r="M112" t="str">
            <v>BuildingsJan1900</v>
          </cell>
          <cell r="N112">
            <v>0</v>
          </cell>
          <cell r="O112">
            <v>0</v>
          </cell>
          <cell r="Q112" t="e">
            <v>#VALUE!</v>
          </cell>
          <cell r="R112">
            <v>0</v>
          </cell>
          <cell r="S112" t="str">
            <v>Jan1900</v>
          </cell>
          <cell r="T112" t="str">
            <v>Jan1900</v>
          </cell>
          <cell r="U112" t="e">
            <v>#VALUE!</v>
          </cell>
          <cell r="V112" t="e">
            <v>#VALUE!</v>
          </cell>
          <cell r="W112" t="str">
            <v/>
          </cell>
          <cell r="X112" t="str">
            <v>INV-9900</v>
          </cell>
          <cell r="Y112" t="str">
            <v>Jan</v>
          </cell>
          <cell r="Z112">
            <v>1900</v>
          </cell>
          <cell r="AA112" t="str">
            <v>9900</v>
          </cell>
          <cell r="AB112" t="str">
            <v>9900-94</v>
          </cell>
          <cell r="AC112">
            <v>94</v>
          </cell>
          <cell r="AD112">
            <v>0</v>
          </cell>
          <cell r="AE112">
            <v>0</v>
          </cell>
          <cell r="AF112" t="str">
            <v/>
          </cell>
          <cell r="AG112" t="str">
            <v/>
          </cell>
          <cell r="AH112">
            <v>1</v>
          </cell>
          <cell r="AI112">
            <v>1</v>
          </cell>
          <cell r="AK112" t="str">
            <v>INV--9900-94</v>
          </cell>
          <cell r="AL112">
            <v>0</v>
          </cell>
          <cell r="AN112" t="str">
            <v>INVOICE</v>
          </cell>
          <cell r="AR112" t="str">
            <v/>
          </cell>
          <cell r="AS112" t="str">
            <v/>
          </cell>
          <cell r="AT112" t="str">
            <v/>
          </cell>
          <cell r="AU112" t="str">
            <v/>
          </cell>
          <cell r="AV112" t="str">
            <v/>
          </cell>
          <cell r="AW112" t="str">
            <v/>
          </cell>
          <cell r="AX112" t="str">
            <v/>
          </cell>
          <cell r="AY112" t="str">
            <v/>
          </cell>
          <cell r="AZ112" t="str">
            <v/>
          </cell>
          <cell r="BB112" t="str">
            <v/>
          </cell>
          <cell r="BC112" t="str">
            <v/>
          </cell>
          <cell r="BF112" t="str">
            <v/>
          </cell>
          <cell r="BI112">
            <v>0</v>
          </cell>
          <cell r="BJ112">
            <v>0</v>
          </cell>
          <cell r="BK112">
            <v>30</v>
          </cell>
          <cell r="BP112" t="str">
            <v/>
          </cell>
          <cell r="BQ112" t="str">
            <v/>
          </cell>
          <cell r="BR112" t="str">
            <v/>
          </cell>
          <cell r="BS112" t="str">
            <v/>
          </cell>
        </row>
        <row r="113">
          <cell r="B113" t="str">
            <v>INV--9900-95</v>
          </cell>
          <cell r="C113" t="str">
            <v/>
          </cell>
          <cell r="D113" t="e">
            <v>#VALUE!</v>
          </cell>
          <cell r="E113" t="str">
            <v>Jan1900</v>
          </cell>
          <cell r="F113">
            <v>31</v>
          </cell>
          <cell r="G113" t="e">
            <v>#VALUE!</v>
          </cell>
          <cell r="H113">
            <v>1</v>
          </cell>
          <cell r="I113">
            <v>1</v>
          </cell>
          <cell r="J113">
            <v>0</v>
          </cell>
          <cell r="K113" t="str">
            <v>0Jan1900</v>
          </cell>
          <cell r="L113" t="str">
            <v>Buildings</v>
          </cell>
          <cell r="M113" t="str">
            <v>BuildingsJan1900</v>
          </cell>
          <cell r="N113">
            <v>0</v>
          </cell>
          <cell r="O113">
            <v>0</v>
          </cell>
          <cell r="Q113" t="e">
            <v>#VALUE!</v>
          </cell>
          <cell r="R113">
            <v>0</v>
          </cell>
          <cell r="S113" t="str">
            <v>Jan1900</v>
          </cell>
          <cell r="T113" t="str">
            <v>Jan1900</v>
          </cell>
          <cell r="U113" t="e">
            <v>#VALUE!</v>
          </cell>
          <cell r="V113" t="e">
            <v>#VALUE!</v>
          </cell>
          <cell r="W113" t="str">
            <v/>
          </cell>
          <cell r="X113" t="str">
            <v>INV-9900</v>
          </cell>
          <cell r="Y113" t="str">
            <v>Jan</v>
          </cell>
          <cell r="Z113">
            <v>1900</v>
          </cell>
          <cell r="AA113" t="str">
            <v>9900</v>
          </cell>
          <cell r="AB113" t="str">
            <v>9900-95</v>
          </cell>
          <cell r="AC113">
            <v>95</v>
          </cell>
          <cell r="AD113">
            <v>0</v>
          </cell>
          <cell r="AE113">
            <v>0</v>
          </cell>
          <cell r="AF113" t="str">
            <v/>
          </cell>
          <cell r="AG113" t="str">
            <v/>
          </cell>
          <cell r="AH113">
            <v>1</v>
          </cell>
          <cell r="AI113">
            <v>1</v>
          </cell>
          <cell r="AK113" t="str">
            <v>INV--9900-95</v>
          </cell>
          <cell r="AL113">
            <v>0</v>
          </cell>
          <cell r="AN113" t="str">
            <v>INVOICE</v>
          </cell>
          <cell r="AR113" t="str">
            <v/>
          </cell>
          <cell r="AS113" t="str">
            <v/>
          </cell>
          <cell r="AT113" t="str">
            <v/>
          </cell>
          <cell r="AU113" t="str">
            <v/>
          </cell>
          <cell r="AV113" t="str">
            <v/>
          </cell>
          <cell r="AW113" t="str">
            <v/>
          </cell>
          <cell r="AX113" t="str">
            <v/>
          </cell>
          <cell r="AY113" t="str">
            <v/>
          </cell>
          <cell r="AZ113" t="str">
            <v/>
          </cell>
          <cell r="BB113" t="str">
            <v/>
          </cell>
          <cell r="BC113" t="str">
            <v/>
          </cell>
          <cell r="BF113" t="str">
            <v/>
          </cell>
          <cell r="BI113">
            <v>0</v>
          </cell>
          <cell r="BJ113">
            <v>0</v>
          </cell>
          <cell r="BK113">
            <v>30</v>
          </cell>
          <cell r="BP113" t="str">
            <v/>
          </cell>
          <cell r="BQ113" t="str">
            <v/>
          </cell>
          <cell r="BR113" t="str">
            <v/>
          </cell>
          <cell r="BS113" t="str">
            <v/>
          </cell>
        </row>
        <row r="114">
          <cell r="B114" t="str">
            <v>INV--9900-96</v>
          </cell>
          <cell r="C114" t="str">
            <v/>
          </cell>
          <cell r="D114" t="e">
            <v>#VALUE!</v>
          </cell>
          <cell r="E114" t="str">
            <v>Jan1900</v>
          </cell>
          <cell r="F114">
            <v>31</v>
          </cell>
          <cell r="G114" t="e">
            <v>#VALUE!</v>
          </cell>
          <cell r="H114">
            <v>1</v>
          </cell>
          <cell r="I114">
            <v>1</v>
          </cell>
          <cell r="J114">
            <v>0</v>
          </cell>
          <cell r="K114" t="str">
            <v>0Jan1900</v>
          </cell>
          <cell r="L114" t="str">
            <v>Buildings</v>
          </cell>
          <cell r="M114" t="str">
            <v>BuildingsJan1900</v>
          </cell>
          <cell r="N114">
            <v>0</v>
          </cell>
          <cell r="O114">
            <v>0</v>
          </cell>
          <cell r="Q114" t="e">
            <v>#VALUE!</v>
          </cell>
          <cell r="R114">
            <v>0</v>
          </cell>
          <cell r="S114" t="str">
            <v>Jan1900</v>
          </cell>
          <cell r="T114" t="str">
            <v>Jan1900</v>
          </cell>
          <cell r="U114" t="e">
            <v>#VALUE!</v>
          </cell>
          <cell r="V114" t="e">
            <v>#VALUE!</v>
          </cell>
          <cell r="W114" t="str">
            <v/>
          </cell>
          <cell r="X114" t="str">
            <v>INV-9900</v>
          </cell>
          <cell r="Y114" t="str">
            <v>Jan</v>
          </cell>
          <cell r="Z114">
            <v>1900</v>
          </cell>
          <cell r="AA114" t="str">
            <v>9900</v>
          </cell>
          <cell r="AB114" t="str">
            <v>9900-96</v>
          </cell>
          <cell r="AC114">
            <v>96</v>
          </cell>
          <cell r="AD114">
            <v>0</v>
          </cell>
          <cell r="AE114">
            <v>0</v>
          </cell>
          <cell r="AF114" t="str">
            <v/>
          </cell>
          <cell r="AG114" t="str">
            <v/>
          </cell>
          <cell r="AH114">
            <v>1</v>
          </cell>
          <cell r="AI114">
            <v>1</v>
          </cell>
          <cell r="AK114" t="str">
            <v>INV--9900-96</v>
          </cell>
          <cell r="AL114">
            <v>0</v>
          </cell>
          <cell r="AN114" t="str">
            <v>INVOICE</v>
          </cell>
          <cell r="AR114" t="str">
            <v/>
          </cell>
          <cell r="AS114" t="str">
            <v/>
          </cell>
          <cell r="AT114" t="str">
            <v/>
          </cell>
          <cell r="AU114" t="str">
            <v/>
          </cell>
          <cell r="AV114" t="str">
            <v/>
          </cell>
          <cell r="AW114" t="str">
            <v/>
          </cell>
          <cell r="AX114" t="str">
            <v/>
          </cell>
          <cell r="AY114" t="str">
            <v/>
          </cell>
          <cell r="AZ114" t="str">
            <v/>
          </cell>
          <cell r="BB114" t="str">
            <v/>
          </cell>
          <cell r="BC114" t="str">
            <v/>
          </cell>
          <cell r="BF114" t="str">
            <v/>
          </cell>
          <cell r="BI114">
            <v>0</v>
          </cell>
          <cell r="BJ114">
            <v>0</v>
          </cell>
          <cell r="BK114">
            <v>30</v>
          </cell>
          <cell r="BP114" t="str">
            <v/>
          </cell>
          <cell r="BQ114" t="str">
            <v/>
          </cell>
          <cell r="BR114" t="str">
            <v/>
          </cell>
          <cell r="BS114" t="str">
            <v/>
          </cell>
        </row>
        <row r="115">
          <cell r="B115" t="str">
            <v>INV--9900-97</v>
          </cell>
          <cell r="C115" t="str">
            <v/>
          </cell>
          <cell r="D115" t="e">
            <v>#VALUE!</v>
          </cell>
          <cell r="E115" t="str">
            <v>Jan1900</v>
          </cell>
          <cell r="F115">
            <v>31</v>
          </cell>
          <cell r="G115" t="e">
            <v>#VALUE!</v>
          </cell>
          <cell r="H115">
            <v>1</v>
          </cell>
          <cell r="I115">
            <v>1</v>
          </cell>
          <cell r="J115">
            <v>0</v>
          </cell>
          <cell r="K115" t="str">
            <v>0Jan1900</v>
          </cell>
          <cell r="L115" t="str">
            <v>Buildings</v>
          </cell>
          <cell r="M115" t="str">
            <v>BuildingsJan1900</v>
          </cell>
          <cell r="N115">
            <v>0</v>
          </cell>
          <cell r="O115">
            <v>0</v>
          </cell>
          <cell r="Q115" t="e">
            <v>#VALUE!</v>
          </cell>
          <cell r="R115">
            <v>0</v>
          </cell>
          <cell r="S115" t="str">
            <v>Jan1900</v>
          </cell>
          <cell r="T115" t="str">
            <v>Jan1900</v>
          </cell>
          <cell r="U115" t="e">
            <v>#VALUE!</v>
          </cell>
          <cell r="V115" t="e">
            <v>#VALUE!</v>
          </cell>
          <cell r="W115" t="str">
            <v/>
          </cell>
          <cell r="X115" t="str">
            <v>INV-9900</v>
          </cell>
          <cell r="Y115" t="str">
            <v>Jan</v>
          </cell>
          <cell r="Z115">
            <v>1900</v>
          </cell>
          <cell r="AA115" t="str">
            <v>9900</v>
          </cell>
          <cell r="AB115" t="str">
            <v>9900-97</v>
          </cell>
          <cell r="AC115">
            <v>97</v>
          </cell>
          <cell r="AD115">
            <v>0</v>
          </cell>
          <cell r="AE115">
            <v>0</v>
          </cell>
          <cell r="AF115" t="str">
            <v/>
          </cell>
          <cell r="AG115" t="str">
            <v/>
          </cell>
          <cell r="AH115">
            <v>1</v>
          </cell>
          <cell r="AI115">
            <v>1</v>
          </cell>
          <cell r="AK115" t="str">
            <v>INV--9900-97</v>
          </cell>
          <cell r="AL115">
            <v>0</v>
          </cell>
          <cell r="AN115" t="str">
            <v>INVOICE</v>
          </cell>
          <cell r="AR115" t="str">
            <v/>
          </cell>
          <cell r="AS115" t="str">
            <v/>
          </cell>
          <cell r="AT115" t="str">
            <v/>
          </cell>
          <cell r="AU115" t="str">
            <v/>
          </cell>
          <cell r="AV115" t="str">
            <v/>
          </cell>
          <cell r="AW115" t="str">
            <v/>
          </cell>
          <cell r="AX115" t="str">
            <v/>
          </cell>
          <cell r="AY115" t="str">
            <v/>
          </cell>
          <cell r="AZ115" t="str">
            <v/>
          </cell>
          <cell r="BB115" t="str">
            <v/>
          </cell>
          <cell r="BC115" t="str">
            <v/>
          </cell>
          <cell r="BF115" t="str">
            <v/>
          </cell>
          <cell r="BI115">
            <v>0</v>
          </cell>
          <cell r="BJ115">
            <v>0</v>
          </cell>
          <cell r="BK115">
            <v>30</v>
          </cell>
          <cell r="BP115" t="str">
            <v/>
          </cell>
          <cell r="BQ115" t="str">
            <v/>
          </cell>
          <cell r="BR115" t="str">
            <v/>
          </cell>
          <cell r="BS115" t="str">
            <v/>
          </cell>
        </row>
        <row r="116">
          <cell r="B116" t="str">
            <v>INV--9900-98</v>
          </cell>
          <cell r="C116" t="str">
            <v/>
          </cell>
          <cell r="D116" t="e">
            <v>#VALUE!</v>
          </cell>
          <cell r="E116" t="str">
            <v>Jan1900</v>
          </cell>
          <cell r="F116">
            <v>31</v>
          </cell>
          <cell r="G116" t="e">
            <v>#VALUE!</v>
          </cell>
          <cell r="H116">
            <v>1</v>
          </cell>
          <cell r="I116">
            <v>1</v>
          </cell>
          <cell r="J116">
            <v>0</v>
          </cell>
          <cell r="K116" t="str">
            <v>0Jan1900</v>
          </cell>
          <cell r="L116" t="str">
            <v>Buildings</v>
          </cell>
          <cell r="M116" t="str">
            <v>BuildingsJan1900</v>
          </cell>
          <cell r="N116">
            <v>0</v>
          </cell>
          <cell r="O116">
            <v>0</v>
          </cell>
          <cell r="Q116" t="e">
            <v>#VALUE!</v>
          </cell>
          <cell r="R116">
            <v>0</v>
          </cell>
          <cell r="S116" t="str">
            <v>Jan1900</v>
          </cell>
          <cell r="T116" t="str">
            <v>Jan1900</v>
          </cell>
          <cell r="U116" t="e">
            <v>#VALUE!</v>
          </cell>
          <cell r="V116" t="e">
            <v>#VALUE!</v>
          </cell>
          <cell r="W116" t="str">
            <v/>
          </cell>
          <cell r="X116" t="str">
            <v>INV-9900</v>
          </cell>
          <cell r="Y116" t="str">
            <v>Jan</v>
          </cell>
          <cell r="Z116">
            <v>1900</v>
          </cell>
          <cell r="AA116" t="str">
            <v>9900</v>
          </cell>
          <cell r="AB116" t="str">
            <v>9900-98</v>
          </cell>
          <cell r="AC116">
            <v>98</v>
          </cell>
          <cell r="AD116">
            <v>0</v>
          </cell>
          <cell r="AE116">
            <v>0</v>
          </cell>
          <cell r="AF116" t="str">
            <v/>
          </cell>
          <cell r="AG116" t="str">
            <v/>
          </cell>
          <cell r="AH116">
            <v>1</v>
          </cell>
          <cell r="AI116">
            <v>1</v>
          </cell>
          <cell r="AK116" t="str">
            <v>INV--9900-98</v>
          </cell>
          <cell r="AL116">
            <v>0</v>
          </cell>
          <cell r="AN116" t="str">
            <v>INVOICE</v>
          </cell>
          <cell r="AR116" t="str">
            <v/>
          </cell>
          <cell r="AS116" t="str">
            <v/>
          </cell>
          <cell r="AT116" t="str">
            <v/>
          </cell>
          <cell r="AU116" t="str">
            <v/>
          </cell>
          <cell r="AV116" t="str">
            <v/>
          </cell>
          <cell r="AW116" t="str">
            <v/>
          </cell>
          <cell r="AX116" t="str">
            <v/>
          </cell>
          <cell r="AY116" t="str">
            <v/>
          </cell>
          <cell r="AZ116" t="str">
            <v/>
          </cell>
          <cell r="BB116" t="str">
            <v/>
          </cell>
          <cell r="BC116" t="str">
            <v/>
          </cell>
          <cell r="BF116" t="str">
            <v/>
          </cell>
          <cell r="BI116">
            <v>0</v>
          </cell>
          <cell r="BJ116">
            <v>0</v>
          </cell>
          <cell r="BK116">
            <v>30</v>
          </cell>
          <cell r="BP116" t="str">
            <v/>
          </cell>
          <cell r="BQ116" t="str">
            <v/>
          </cell>
          <cell r="BR116" t="str">
            <v/>
          </cell>
          <cell r="BS116" t="str">
            <v/>
          </cell>
        </row>
        <row r="117">
          <cell r="B117" t="str">
            <v>INV--9900-99</v>
          </cell>
          <cell r="C117" t="str">
            <v/>
          </cell>
          <cell r="D117" t="e">
            <v>#VALUE!</v>
          </cell>
          <cell r="E117" t="str">
            <v>Jan1900</v>
          </cell>
          <cell r="F117">
            <v>31</v>
          </cell>
          <cell r="G117" t="e">
            <v>#VALUE!</v>
          </cell>
          <cell r="H117">
            <v>1</v>
          </cell>
          <cell r="I117">
            <v>1</v>
          </cell>
          <cell r="J117">
            <v>0</v>
          </cell>
          <cell r="K117" t="str">
            <v>0Jan1900</v>
          </cell>
          <cell r="L117" t="str">
            <v>Buildings</v>
          </cell>
          <cell r="M117" t="str">
            <v>BuildingsJan1900</v>
          </cell>
          <cell r="N117">
            <v>0</v>
          </cell>
          <cell r="O117">
            <v>0</v>
          </cell>
          <cell r="Q117" t="e">
            <v>#VALUE!</v>
          </cell>
          <cell r="R117">
            <v>0</v>
          </cell>
          <cell r="S117" t="str">
            <v>Jan1900</v>
          </cell>
          <cell r="T117" t="str">
            <v>Jan1900</v>
          </cell>
          <cell r="U117" t="e">
            <v>#VALUE!</v>
          </cell>
          <cell r="V117" t="e">
            <v>#VALUE!</v>
          </cell>
          <cell r="W117" t="str">
            <v/>
          </cell>
          <cell r="X117" t="str">
            <v>INV-9900</v>
          </cell>
          <cell r="Y117" t="str">
            <v>Jan</v>
          </cell>
          <cell r="Z117">
            <v>1900</v>
          </cell>
          <cell r="AA117" t="str">
            <v>9900</v>
          </cell>
          <cell r="AB117" t="str">
            <v>9900-99</v>
          </cell>
          <cell r="AC117">
            <v>99</v>
          </cell>
          <cell r="AD117">
            <v>0</v>
          </cell>
          <cell r="AE117">
            <v>0</v>
          </cell>
          <cell r="AF117" t="str">
            <v/>
          </cell>
          <cell r="AG117" t="str">
            <v/>
          </cell>
          <cell r="AH117">
            <v>1</v>
          </cell>
          <cell r="AI117">
            <v>1</v>
          </cell>
          <cell r="AK117" t="str">
            <v>INV--9900-99</v>
          </cell>
          <cell r="AL117">
            <v>0</v>
          </cell>
          <cell r="AN117" t="str">
            <v>INVOICE</v>
          </cell>
          <cell r="AR117" t="str">
            <v/>
          </cell>
          <cell r="AS117" t="str">
            <v/>
          </cell>
          <cell r="AT117" t="str">
            <v/>
          </cell>
          <cell r="AU117" t="str">
            <v/>
          </cell>
          <cell r="AV117" t="str">
            <v/>
          </cell>
          <cell r="AW117" t="str">
            <v/>
          </cell>
          <cell r="AX117" t="str">
            <v/>
          </cell>
          <cell r="AY117" t="str">
            <v/>
          </cell>
          <cell r="AZ117" t="str">
            <v/>
          </cell>
          <cell r="BB117" t="str">
            <v/>
          </cell>
          <cell r="BC117" t="str">
            <v/>
          </cell>
          <cell r="BF117" t="str">
            <v/>
          </cell>
          <cell r="BI117">
            <v>0</v>
          </cell>
          <cell r="BJ117">
            <v>0</v>
          </cell>
          <cell r="BK117">
            <v>30</v>
          </cell>
          <cell r="BP117" t="str">
            <v/>
          </cell>
          <cell r="BQ117" t="str">
            <v/>
          </cell>
          <cell r="BR117" t="str">
            <v/>
          </cell>
          <cell r="BS117" t="str">
            <v/>
          </cell>
        </row>
        <row r="118">
          <cell r="B118" t="str">
            <v>INV--9900-100</v>
          </cell>
          <cell r="C118" t="str">
            <v/>
          </cell>
          <cell r="D118" t="e">
            <v>#VALUE!</v>
          </cell>
          <cell r="E118" t="str">
            <v>Jan1900</v>
          </cell>
          <cell r="F118">
            <v>31</v>
          </cell>
          <cell r="G118" t="e">
            <v>#VALUE!</v>
          </cell>
          <cell r="H118">
            <v>1</v>
          </cell>
          <cell r="I118">
            <v>1</v>
          </cell>
          <cell r="J118">
            <v>0</v>
          </cell>
          <cell r="K118" t="str">
            <v>0Jan1900</v>
          </cell>
          <cell r="L118" t="str">
            <v>Buildings</v>
          </cell>
          <cell r="M118" t="str">
            <v>BuildingsJan1900</v>
          </cell>
          <cell r="N118">
            <v>0</v>
          </cell>
          <cell r="O118">
            <v>0</v>
          </cell>
          <cell r="Q118" t="e">
            <v>#VALUE!</v>
          </cell>
          <cell r="R118">
            <v>0</v>
          </cell>
          <cell r="S118" t="str">
            <v>Jan1900</v>
          </cell>
          <cell r="T118" t="str">
            <v>Jan1900</v>
          </cell>
          <cell r="U118" t="e">
            <v>#VALUE!</v>
          </cell>
          <cell r="V118" t="e">
            <v>#VALUE!</v>
          </cell>
          <cell r="W118" t="str">
            <v/>
          </cell>
          <cell r="X118" t="str">
            <v>INV-9900</v>
          </cell>
          <cell r="Y118" t="str">
            <v>Jan</v>
          </cell>
          <cell r="Z118">
            <v>1900</v>
          </cell>
          <cell r="AA118" t="str">
            <v>9900</v>
          </cell>
          <cell r="AB118" t="str">
            <v>9900-100</v>
          </cell>
          <cell r="AC118">
            <v>100</v>
          </cell>
          <cell r="AD118">
            <v>0</v>
          </cell>
          <cell r="AE118">
            <v>0</v>
          </cell>
          <cell r="AF118" t="str">
            <v/>
          </cell>
          <cell r="AG118" t="str">
            <v/>
          </cell>
          <cell r="AH118">
            <v>1</v>
          </cell>
          <cell r="AI118">
            <v>1</v>
          </cell>
          <cell r="AK118" t="str">
            <v>INV--9900-100</v>
          </cell>
          <cell r="AL118">
            <v>0</v>
          </cell>
          <cell r="AN118" t="str">
            <v>INVOICE</v>
          </cell>
          <cell r="AR118" t="str">
            <v/>
          </cell>
          <cell r="AS118" t="str">
            <v/>
          </cell>
          <cell r="AT118" t="str">
            <v/>
          </cell>
          <cell r="AU118" t="str">
            <v/>
          </cell>
          <cell r="AV118" t="str">
            <v/>
          </cell>
          <cell r="AW118" t="str">
            <v/>
          </cell>
          <cell r="AX118" t="str">
            <v/>
          </cell>
          <cell r="AY118" t="str">
            <v/>
          </cell>
          <cell r="AZ118" t="str">
            <v/>
          </cell>
          <cell r="BB118" t="str">
            <v/>
          </cell>
          <cell r="BC118" t="str">
            <v/>
          </cell>
          <cell r="BF118" t="str">
            <v/>
          </cell>
          <cell r="BI118">
            <v>0</v>
          </cell>
          <cell r="BJ118">
            <v>0</v>
          </cell>
          <cell r="BK118">
            <v>30</v>
          </cell>
          <cell r="BP118" t="str">
            <v/>
          </cell>
          <cell r="BQ118" t="str">
            <v/>
          </cell>
          <cell r="BR118" t="str">
            <v/>
          </cell>
          <cell r="BS118" t="str">
            <v/>
          </cell>
        </row>
        <row r="119">
          <cell r="B119" t="str">
            <v>INV--9900-101</v>
          </cell>
          <cell r="C119" t="str">
            <v/>
          </cell>
          <cell r="D119" t="e">
            <v>#VALUE!</v>
          </cell>
          <cell r="E119" t="str">
            <v>Jan1900</v>
          </cell>
          <cell r="F119">
            <v>31</v>
          </cell>
          <cell r="G119" t="e">
            <v>#VALUE!</v>
          </cell>
          <cell r="H119">
            <v>1</v>
          </cell>
          <cell r="I119">
            <v>1</v>
          </cell>
          <cell r="J119">
            <v>0</v>
          </cell>
          <cell r="K119" t="str">
            <v>0Jan1900</v>
          </cell>
          <cell r="L119" t="str">
            <v>Buildings</v>
          </cell>
          <cell r="M119" t="str">
            <v>BuildingsJan1900</v>
          </cell>
          <cell r="N119">
            <v>0</v>
          </cell>
          <cell r="O119">
            <v>0</v>
          </cell>
          <cell r="Q119" t="e">
            <v>#VALUE!</v>
          </cell>
          <cell r="R119">
            <v>0</v>
          </cell>
          <cell r="S119" t="str">
            <v>Jan1900</v>
          </cell>
          <cell r="T119" t="str">
            <v>Jan1900</v>
          </cell>
          <cell r="U119" t="e">
            <v>#VALUE!</v>
          </cell>
          <cell r="V119" t="e">
            <v>#VALUE!</v>
          </cell>
          <cell r="W119" t="str">
            <v/>
          </cell>
          <cell r="X119" t="str">
            <v>INV-9900</v>
          </cell>
          <cell r="Y119" t="str">
            <v>Jan</v>
          </cell>
          <cell r="Z119">
            <v>1900</v>
          </cell>
          <cell r="AA119" t="str">
            <v>9900</v>
          </cell>
          <cell r="AB119" t="str">
            <v>9900-101</v>
          </cell>
          <cell r="AC119">
            <v>101</v>
          </cell>
          <cell r="AD119">
            <v>0</v>
          </cell>
          <cell r="AE119">
            <v>0</v>
          </cell>
          <cell r="AF119" t="str">
            <v/>
          </cell>
          <cell r="AG119" t="str">
            <v/>
          </cell>
          <cell r="AH119">
            <v>1</v>
          </cell>
          <cell r="AI119">
            <v>1</v>
          </cell>
          <cell r="AK119" t="str">
            <v>INV--9900-101</v>
          </cell>
          <cell r="AL119">
            <v>0</v>
          </cell>
          <cell r="AN119" t="str">
            <v>INVOICE</v>
          </cell>
          <cell r="AR119" t="str">
            <v/>
          </cell>
          <cell r="AS119" t="str">
            <v/>
          </cell>
          <cell r="AT119" t="str">
            <v/>
          </cell>
          <cell r="AU119" t="str">
            <v/>
          </cell>
          <cell r="AV119" t="str">
            <v/>
          </cell>
          <cell r="AW119" t="str">
            <v/>
          </cell>
          <cell r="AX119" t="str">
            <v/>
          </cell>
          <cell r="AY119" t="str">
            <v/>
          </cell>
          <cell r="AZ119" t="str">
            <v/>
          </cell>
          <cell r="BB119" t="str">
            <v/>
          </cell>
          <cell r="BC119" t="str">
            <v/>
          </cell>
          <cell r="BF119" t="str">
            <v/>
          </cell>
          <cell r="BI119">
            <v>0</v>
          </cell>
          <cell r="BJ119">
            <v>0</v>
          </cell>
          <cell r="BK119">
            <v>30</v>
          </cell>
          <cell r="BP119" t="str">
            <v/>
          </cell>
          <cell r="BQ119" t="str">
            <v/>
          </cell>
          <cell r="BR119" t="str">
            <v/>
          </cell>
          <cell r="BS119" t="str">
            <v/>
          </cell>
        </row>
        <row r="120">
          <cell r="B120" t="str">
            <v>INV--9900-102</v>
          </cell>
          <cell r="C120" t="str">
            <v/>
          </cell>
          <cell r="D120" t="e">
            <v>#VALUE!</v>
          </cell>
          <cell r="E120" t="str">
            <v>Jan1900</v>
          </cell>
          <cell r="F120">
            <v>31</v>
          </cell>
          <cell r="G120" t="e">
            <v>#VALUE!</v>
          </cell>
          <cell r="H120">
            <v>1</v>
          </cell>
          <cell r="I120">
            <v>1</v>
          </cell>
          <cell r="J120">
            <v>0</v>
          </cell>
          <cell r="K120" t="str">
            <v>0Jan1900</v>
          </cell>
          <cell r="L120" t="str">
            <v>Buildings</v>
          </cell>
          <cell r="M120" t="str">
            <v>BuildingsJan1900</v>
          </cell>
          <cell r="N120">
            <v>0</v>
          </cell>
          <cell r="O120">
            <v>0</v>
          </cell>
          <cell r="Q120" t="e">
            <v>#VALUE!</v>
          </cell>
          <cell r="R120">
            <v>0</v>
          </cell>
          <cell r="S120" t="str">
            <v>Jan1900</v>
          </cell>
          <cell r="T120" t="str">
            <v>Jan1900</v>
          </cell>
          <cell r="U120" t="e">
            <v>#VALUE!</v>
          </cell>
          <cell r="V120" t="e">
            <v>#VALUE!</v>
          </cell>
          <cell r="W120" t="str">
            <v/>
          </cell>
          <cell r="X120" t="str">
            <v>INV-9900</v>
          </cell>
          <cell r="Y120" t="str">
            <v>Jan</v>
          </cell>
          <cell r="Z120">
            <v>1900</v>
          </cell>
          <cell r="AA120" t="str">
            <v>9900</v>
          </cell>
          <cell r="AB120" t="str">
            <v>9900-102</v>
          </cell>
          <cell r="AC120">
            <v>102</v>
          </cell>
          <cell r="AD120">
            <v>0</v>
          </cell>
          <cell r="AE120">
            <v>0</v>
          </cell>
          <cell r="AF120" t="str">
            <v/>
          </cell>
          <cell r="AG120" t="str">
            <v/>
          </cell>
          <cell r="AH120">
            <v>1</v>
          </cell>
          <cell r="AI120">
            <v>1</v>
          </cell>
          <cell r="AK120" t="str">
            <v>INV--9900-102</v>
          </cell>
          <cell r="AL120">
            <v>0</v>
          </cell>
          <cell r="AN120" t="str">
            <v>INVOICE</v>
          </cell>
          <cell r="AR120" t="str">
            <v/>
          </cell>
          <cell r="AS120" t="str">
            <v/>
          </cell>
          <cell r="AT120" t="str">
            <v/>
          </cell>
          <cell r="AU120" t="str">
            <v/>
          </cell>
          <cell r="AV120" t="str">
            <v/>
          </cell>
          <cell r="AW120" t="str">
            <v/>
          </cell>
          <cell r="AX120" t="str">
            <v/>
          </cell>
          <cell r="AY120" t="str">
            <v/>
          </cell>
          <cell r="AZ120" t="str">
            <v/>
          </cell>
          <cell r="BB120" t="str">
            <v/>
          </cell>
          <cell r="BC120" t="str">
            <v/>
          </cell>
          <cell r="BF120" t="str">
            <v/>
          </cell>
          <cell r="BI120">
            <v>0</v>
          </cell>
          <cell r="BJ120">
            <v>0</v>
          </cell>
          <cell r="BK120">
            <v>30</v>
          </cell>
          <cell r="BP120" t="str">
            <v/>
          </cell>
          <cell r="BQ120" t="str">
            <v/>
          </cell>
          <cell r="BR120" t="str">
            <v/>
          </cell>
          <cell r="BS120" t="str">
            <v/>
          </cell>
        </row>
        <row r="121">
          <cell r="B121" t="str">
            <v>INV--9900-103</v>
          </cell>
          <cell r="C121" t="str">
            <v/>
          </cell>
          <cell r="D121" t="e">
            <v>#VALUE!</v>
          </cell>
          <cell r="E121" t="str">
            <v>Jan1900</v>
          </cell>
          <cell r="F121">
            <v>31</v>
          </cell>
          <cell r="G121" t="e">
            <v>#VALUE!</v>
          </cell>
          <cell r="H121">
            <v>1</v>
          </cell>
          <cell r="I121">
            <v>1</v>
          </cell>
          <cell r="J121">
            <v>0</v>
          </cell>
          <cell r="K121" t="str">
            <v>0Jan1900</v>
          </cell>
          <cell r="L121" t="str">
            <v>Buildings</v>
          </cell>
          <cell r="M121" t="str">
            <v>BuildingsJan1900</v>
          </cell>
          <cell r="N121">
            <v>0</v>
          </cell>
          <cell r="O121">
            <v>0</v>
          </cell>
          <cell r="Q121" t="e">
            <v>#VALUE!</v>
          </cell>
          <cell r="R121">
            <v>0</v>
          </cell>
          <cell r="S121" t="str">
            <v>Jan1900</v>
          </cell>
          <cell r="T121" t="str">
            <v>Jan1900</v>
          </cell>
          <cell r="U121" t="e">
            <v>#VALUE!</v>
          </cell>
          <cell r="V121" t="e">
            <v>#VALUE!</v>
          </cell>
          <cell r="W121" t="str">
            <v/>
          </cell>
          <cell r="X121" t="str">
            <v>INV-9900</v>
          </cell>
          <cell r="Y121" t="str">
            <v>Jan</v>
          </cell>
          <cell r="Z121">
            <v>1900</v>
          </cell>
          <cell r="AA121" t="str">
            <v>9900</v>
          </cell>
          <cell r="AB121" t="str">
            <v>9900-103</v>
          </cell>
          <cell r="AC121">
            <v>103</v>
          </cell>
          <cell r="AD121">
            <v>0</v>
          </cell>
          <cell r="AE121">
            <v>0</v>
          </cell>
          <cell r="AF121" t="str">
            <v/>
          </cell>
          <cell r="AG121" t="str">
            <v/>
          </cell>
          <cell r="AH121">
            <v>1</v>
          </cell>
          <cell r="AI121">
            <v>1</v>
          </cell>
          <cell r="AK121" t="str">
            <v>INV--9900-103</v>
          </cell>
          <cell r="AL121">
            <v>0</v>
          </cell>
          <cell r="AN121" t="str">
            <v>INVOICE</v>
          </cell>
          <cell r="AR121" t="str">
            <v/>
          </cell>
          <cell r="AS121" t="str">
            <v/>
          </cell>
          <cell r="AT121" t="str">
            <v/>
          </cell>
          <cell r="AU121" t="str">
            <v/>
          </cell>
          <cell r="AV121" t="str">
            <v/>
          </cell>
          <cell r="AW121" t="str">
            <v/>
          </cell>
          <cell r="AX121" t="str">
            <v/>
          </cell>
          <cell r="AY121" t="str">
            <v/>
          </cell>
          <cell r="AZ121" t="str">
            <v/>
          </cell>
          <cell r="BB121" t="str">
            <v/>
          </cell>
          <cell r="BC121" t="str">
            <v/>
          </cell>
          <cell r="BF121" t="str">
            <v/>
          </cell>
          <cell r="BI121">
            <v>0</v>
          </cell>
          <cell r="BJ121">
            <v>0</v>
          </cell>
          <cell r="BK121">
            <v>30</v>
          </cell>
          <cell r="BP121" t="str">
            <v/>
          </cell>
          <cell r="BQ121" t="str">
            <v/>
          </cell>
          <cell r="BR121" t="str">
            <v/>
          </cell>
          <cell r="BS121" t="str">
            <v/>
          </cell>
        </row>
        <row r="122">
          <cell r="B122" t="str">
            <v>INV--9900-104</v>
          </cell>
          <cell r="C122" t="str">
            <v/>
          </cell>
          <cell r="D122" t="e">
            <v>#VALUE!</v>
          </cell>
          <cell r="E122" t="str">
            <v>Jan1900</v>
          </cell>
          <cell r="F122">
            <v>31</v>
          </cell>
          <cell r="G122" t="e">
            <v>#VALUE!</v>
          </cell>
          <cell r="H122">
            <v>1</v>
          </cell>
          <cell r="I122">
            <v>1</v>
          </cell>
          <cell r="J122">
            <v>0</v>
          </cell>
          <cell r="K122" t="str">
            <v>0Jan1900</v>
          </cell>
          <cell r="L122" t="str">
            <v>Buildings</v>
          </cell>
          <cell r="M122" t="str">
            <v>BuildingsJan1900</v>
          </cell>
          <cell r="N122">
            <v>0</v>
          </cell>
          <cell r="O122">
            <v>0</v>
          </cell>
          <cell r="Q122" t="e">
            <v>#VALUE!</v>
          </cell>
          <cell r="R122">
            <v>0</v>
          </cell>
          <cell r="S122" t="str">
            <v>Jan1900</v>
          </cell>
          <cell r="T122" t="str">
            <v>Jan1900</v>
          </cell>
          <cell r="U122" t="e">
            <v>#VALUE!</v>
          </cell>
          <cell r="V122" t="e">
            <v>#VALUE!</v>
          </cell>
          <cell r="W122" t="str">
            <v/>
          </cell>
          <cell r="X122" t="str">
            <v>INV-9900</v>
          </cell>
          <cell r="Y122" t="str">
            <v>Jan</v>
          </cell>
          <cell r="Z122">
            <v>1900</v>
          </cell>
          <cell r="AA122" t="str">
            <v>9900</v>
          </cell>
          <cell r="AB122" t="str">
            <v>9900-104</v>
          </cell>
          <cell r="AC122">
            <v>104</v>
          </cell>
          <cell r="AD122">
            <v>0</v>
          </cell>
          <cell r="AE122">
            <v>0</v>
          </cell>
          <cell r="AF122" t="str">
            <v/>
          </cell>
          <cell r="AG122" t="str">
            <v/>
          </cell>
          <cell r="AH122">
            <v>1</v>
          </cell>
          <cell r="AI122">
            <v>1</v>
          </cell>
          <cell r="AK122" t="str">
            <v>INV--9900-104</v>
          </cell>
          <cell r="AL122">
            <v>0</v>
          </cell>
          <cell r="AN122" t="str">
            <v>INVOICE</v>
          </cell>
          <cell r="AR122" t="str">
            <v/>
          </cell>
          <cell r="AS122" t="str">
            <v/>
          </cell>
          <cell r="AT122" t="str">
            <v/>
          </cell>
          <cell r="AU122" t="str">
            <v/>
          </cell>
          <cell r="AV122" t="str">
            <v/>
          </cell>
          <cell r="AW122" t="str">
            <v/>
          </cell>
          <cell r="AX122" t="str">
            <v/>
          </cell>
          <cell r="AY122" t="str">
            <v/>
          </cell>
          <cell r="AZ122" t="str">
            <v/>
          </cell>
          <cell r="BB122" t="str">
            <v/>
          </cell>
          <cell r="BC122" t="str">
            <v/>
          </cell>
          <cell r="BF122" t="str">
            <v/>
          </cell>
          <cell r="BI122">
            <v>0</v>
          </cell>
          <cell r="BJ122">
            <v>0</v>
          </cell>
          <cell r="BK122">
            <v>30</v>
          </cell>
          <cell r="BP122" t="str">
            <v/>
          </cell>
          <cell r="BQ122" t="str">
            <v/>
          </cell>
          <cell r="BR122" t="str">
            <v/>
          </cell>
          <cell r="BS122" t="str">
            <v/>
          </cell>
        </row>
        <row r="123">
          <cell r="B123" t="str">
            <v>INV--9900-105</v>
          </cell>
          <cell r="C123" t="str">
            <v/>
          </cell>
          <cell r="D123" t="e">
            <v>#VALUE!</v>
          </cell>
          <cell r="E123" t="str">
            <v>Jan1900</v>
          </cell>
          <cell r="F123">
            <v>31</v>
          </cell>
          <cell r="G123" t="e">
            <v>#VALUE!</v>
          </cell>
          <cell r="H123">
            <v>1</v>
          </cell>
          <cell r="I123">
            <v>1</v>
          </cell>
          <cell r="J123">
            <v>0</v>
          </cell>
          <cell r="K123" t="str">
            <v>0Jan1900</v>
          </cell>
          <cell r="L123" t="str">
            <v>Buildings</v>
          </cell>
          <cell r="M123" t="str">
            <v>BuildingsJan1900</v>
          </cell>
          <cell r="N123">
            <v>0</v>
          </cell>
          <cell r="O123">
            <v>0</v>
          </cell>
          <cell r="Q123" t="e">
            <v>#VALUE!</v>
          </cell>
          <cell r="R123">
            <v>0</v>
          </cell>
          <cell r="S123" t="str">
            <v>Jan1900</v>
          </cell>
          <cell r="T123" t="str">
            <v>Jan1900</v>
          </cell>
          <cell r="U123" t="e">
            <v>#VALUE!</v>
          </cell>
          <cell r="V123" t="e">
            <v>#VALUE!</v>
          </cell>
          <cell r="W123" t="str">
            <v/>
          </cell>
          <cell r="X123" t="str">
            <v>INV-9900</v>
          </cell>
          <cell r="Y123" t="str">
            <v>Jan</v>
          </cell>
          <cell r="Z123">
            <v>1900</v>
          </cell>
          <cell r="AA123" t="str">
            <v>9900</v>
          </cell>
          <cell r="AB123" t="str">
            <v>9900-105</v>
          </cell>
          <cell r="AC123">
            <v>105</v>
          </cell>
          <cell r="AD123">
            <v>0</v>
          </cell>
          <cell r="AE123">
            <v>0</v>
          </cell>
          <cell r="AF123" t="str">
            <v/>
          </cell>
          <cell r="AG123" t="str">
            <v/>
          </cell>
          <cell r="AH123">
            <v>1</v>
          </cell>
          <cell r="AI123">
            <v>1</v>
          </cell>
          <cell r="AK123" t="str">
            <v>INV--9900-105</v>
          </cell>
          <cell r="AL123">
            <v>0</v>
          </cell>
          <cell r="AN123" t="str">
            <v>INVOICE</v>
          </cell>
          <cell r="AR123" t="str">
            <v/>
          </cell>
          <cell r="AS123" t="str">
            <v/>
          </cell>
          <cell r="AT123" t="str">
            <v/>
          </cell>
          <cell r="AU123" t="str">
            <v/>
          </cell>
          <cell r="AV123" t="str">
            <v/>
          </cell>
          <cell r="AW123" t="str">
            <v/>
          </cell>
          <cell r="AX123" t="str">
            <v/>
          </cell>
          <cell r="AY123" t="str">
            <v/>
          </cell>
          <cell r="AZ123" t="str">
            <v/>
          </cell>
          <cell r="BB123" t="str">
            <v/>
          </cell>
          <cell r="BC123" t="str">
            <v/>
          </cell>
          <cell r="BF123" t="str">
            <v/>
          </cell>
          <cell r="BI123">
            <v>0</v>
          </cell>
          <cell r="BJ123">
            <v>0</v>
          </cell>
          <cell r="BK123">
            <v>30</v>
          </cell>
          <cell r="BP123" t="str">
            <v/>
          </cell>
          <cell r="BQ123" t="str">
            <v/>
          </cell>
          <cell r="BR123" t="str">
            <v/>
          </cell>
          <cell r="BS123" t="str">
            <v/>
          </cell>
        </row>
        <row r="124">
          <cell r="B124" t="str">
            <v>INV--9900-106</v>
          </cell>
          <cell r="C124" t="str">
            <v/>
          </cell>
          <cell r="D124" t="e">
            <v>#VALUE!</v>
          </cell>
          <cell r="E124" t="str">
            <v>Jan1900</v>
          </cell>
          <cell r="F124">
            <v>31</v>
          </cell>
          <cell r="G124" t="e">
            <v>#VALUE!</v>
          </cell>
          <cell r="H124">
            <v>1</v>
          </cell>
          <cell r="I124">
            <v>1</v>
          </cell>
          <cell r="J124">
            <v>0</v>
          </cell>
          <cell r="K124" t="str">
            <v>0Jan1900</v>
          </cell>
          <cell r="L124" t="str">
            <v>Buildings</v>
          </cell>
          <cell r="M124" t="str">
            <v>BuildingsJan1900</v>
          </cell>
          <cell r="N124">
            <v>0</v>
          </cell>
          <cell r="O124">
            <v>0</v>
          </cell>
          <cell r="Q124" t="e">
            <v>#VALUE!</v>
          </cell>
          <cell r="R124">
            <v>0</v>
          </cell>
          <cell r="S124" t="str">
            <v>Jan1900</v>
          </cell>
          <cell r="T124" t="str">
            <v>Jan1900</v>
          </cell>
          <cell r="U124" t="e">
            <v>#VALUE!</v>
          </cell>
          <cell r="V124" t="e">
            <v>#VALUE!</v>
          </cell>
          <cell r="W124" t="str">
            <v/>
          </cell>
          <cell r="X124" t="str">
            <v>INV-9900</v>
          </cell>
          <cell r="Y124" t="str">
            <v>Jan</v>
          </cell>
          <cell r="Z124">
            <v>1900</v>
          </cell>
          <cell r="AA124" t="str">
            <v>9900</v>
          </cell>
          <cell r="AB124" t="str">
            <v>9900-106</v>
          </cell>
          <cell r="AC124">
            <v>106</v>
          </cell>
          <cell r="AD124">
            <v>0</v>
          </cell>
          <cell r="AE124">
            <v>0</v>
          </cell>
          <cell r="AF124" t="str">
            <v/>
          </cell>
          <cell r="AG124" t="str">
            <v/>
          </cell>
          <cell r="AH124">
            <v>1</v>
          </cell>
          <cell r="AI124">
            <v>1</v>
          </cell>
          <cell r="AK124" t="str">
            <v>INV--9900-106</v>
          </cell>
          <cell r="AL124">
            <v>0</v>
          </cell>
          <cell r="AN124" t="str">
            <v>INVOICE</v>
          </cell>
          <cell r="AR124" t="str">
            <v/>
          </cell>
          <cell r="AS124" t="str">
            <v/>
          </cell>
          <cell r="AT124" t="str">
            <v/>
          </cell>
          <cell r="AU124" t="str">
            <v/>
          </cell>
          <cell r="AV124" t="str">
            <v/>
          </cell>
          <cell r="AW124" t="str">
            <v/>
          </cell>
          <cell r="AX124" t="str">
            <v/>
          </cell>
          <cell r="AY124" t="str">
            <v/>
          </cell>
          <cell r="AZ124" t="str">
            <v/>
          </cell>
          <cell r="BB124" t="str">
            <v/>
          </cell>
          <cell r="BC124" t="str">
            <v/>
          </cell>
          <cell r="BF124" t="str">
            <v/>
          </cell>
          <cell r="BI124">
            <v>0</v>
          </cell>
          <cell r="BJ124">
            <v>0</v>
          </cell>
          <cell r="BK124">
            <v>30</v>
          </cell>
          <cell r="BP124" t="str">
            <v/>
          </cell>
          <cell r="BQ124" t="str">
            <v/>
          </cell>
          <cell r="BR124" t="str">
            <v/>
          </cell>
          <cell r="BS124" t="str">
            <v/>
          </cell>
        </row>
        <row r="125">
          <cell r="B125" t="str">
            <v>INV--9900-107</v>
          </cell>
          <cell r="C125" t="str">
            <v/>
          </cell>
          <cell r="D125" t="e">
            <v>#VALUE!</v>
          </cell>
          <cell r="E125" t="str">
            <v>Jan1900</v>
          </cell>
          <cell r="F125">
            <v>31</v>
          </cell>
          <cell r="G125" t="e">
            <v>#VALUE!</v>
          </cell>
          <cell r="H125">
            <v>1</v>
          </cell>
          <cell r="I125">
            <v>1</v>
          </cell>
          <cell r="J125">
            <v>0</v>
          </cell>
          <cell r="K125" t="str">
            <v>0Jan1900</v>
          </cell>
          <cell r="L125" t="str">
            <v>Buildings</v>
          </cell>
          <cell r="M125" t="str">
            <v>BuildingsJan1900</v>
          </cell>
          <cell r="N125">
            <v>0</v>
          </cell>
          <cell r="O125">
            <v>0</v>
          </cell>
          <cell r="Q125" t="e">
            <v>#VALUE!</v>
          </cell>
          <cell r="R125">
            <v>0</v>
          </cell>
          <cell r="S125" t="str">
            <v>Jan1900</v>
          </cell>
          <cell r="T125" t="str">
            <v>Jan1900</v>
          </cell>
          <cell r="U125" t="e">
            <v>#VALUE!</v>
          </cell>
          <cell r="V125" t="e">
            <v>#VALUE!</v>
          </cell>
          <cell r="W125" t="str">
            <v/>
          </cell>
          <cell r="X125" t="str">
            <v>INV-9900</v>
          </cell>
          <cell r="Y125" t="str">
            <v>Jan</v>
          </cell>
          <cell r="Z125">
            <v>1900</v>
          </cell>
          <cell r="AA125" t="str">
            <v>9900</v>
          </cell>
          <cell r="AB125" t="str">
            <v>9900-107</v>
          </cell>
          <cell r="AC125">
            <v>107</v>
          </cell>
          <cell r="AD125">
            <v>0</v>
          </cell>
          <cell r="AE125">
            <v>0</v>
          </cell>
          <cell r="AF125" t="str">
            <v/>
          </cell>
          <cell r="AG125" t="str">
            <v/>
          </cell>
          <cell r="AH125">
            <v>1</v>
          </cell>
          <cell r="AI125">
            <v>1</v>
          </cell>
          <cell r="AK125" t="str">
            <v>INV--9900-107</v>
          </cell>
          <cell r="AL125">
            <v>0</v>
          </cell>
          <cell r="AN125" t="str">
            <v>INVOICE</v>
          </cell>
          <cell r="AR125" t="str">
            <v/>
          </cell>
          <cell r="AS125" t="str">
            <v/>
          </cell>
          <cell r="AT125" t="str">
            <v/>
          </cell>
          <cell r="AU125" t="str">
            <v/>
          </cell>
          <cell r="AV125" t="str">
            <v/>
          </cell>
          <cell r="AW125" t="str">
            <v/>
          </cell>
          <cell r="AX125" t="str">
            <v/>
          </cell>
          <cell r="AY125" t="str">
            <v/>
          </cell>
          <cell r="AZ125" t="str">
            <v/>
          </cell>
          <cell r="BB125" t="str">
            <v/>
          </cell>
          <cell r="BC125" t="str">
            <v/>
          </cell>
          <cell r="BF125" t="str">
            <v/>
          </cell>
          <cell r="BI125">
            <v>0</v>
          </cell>
          <cell r="BJ125">
            <v>0</v>
          </cell>
          <cell r="BK125">
            <v>30</v>
          </cell>
          <cell r="BP125" t="str">
            <v/>
          </cell>
          <cell r="BQ125" t="str">
            <v/>
          </cell>
          <cell r="BR125" t="str">
            <v/>
          </cell>
          <cell r="BS125" t="str">
            <v/>
          </cell>
        </row>
        <row r="126">
          <cell r="B126" t="str">
            <v>INV--9900-108</v>
          </cell>
          <cell r="C126" t="str">
            <v/>
          </cell>
          <cell r="D126" t="e">
            <v>#VALUE!</v>
          </cell>
          <cell r="E126" t="str">
            <v>Jan1900</v>
          </cell>
          <cell r="F126">
            <v>31</v>
          </cell>
          <cell r="G126" t="e">
            <v>#VALUE!</v>
          </cell>
          <cell r="H126">
            <v>1</v>
          </cell>
          <cell r="I126">
            <v>1</v>
          </cell>
          <cell r="J126">
            <v>0</v>
          </cell>
          <cell r="K126" t="str">
            <v>0Jan1900</v>
          </cell>
          <cell r="L126" t="str">
            <v>Buildings</v>
          </cell>
          <cell r="M126" t="str">
            <v>BuildingsJan1900</v>
          </cell>
          <cell r="N126">
            <v>0</v>
          </cell>
          <cell r="O126">
            <v>0</v>
          </cell>
          <cell r="Q126" t="e">
            <v>#VALUE!</v>
          </cell>
          <cell r="R126">
            <v>0</v>
          </cell>
          <cell r="S126" t="str">
            <v>Jan1900</v>
          </cell>
          <cell r="T126" t="str">
            <v>Jan1900</v>
          </cell>
          <cell r="U126" t="e">
            <v>#VALUE!</v>
          </cell>
          <cell r="V126" t="e">
            <v>#VALUE!</v>
          </cell>
          <cell r="W126" t="str">
            <v/>
          </cell>
          <cell r="X126" t="str">
            <v>INV-9900</v>
          </cell>
          <cell r="Y126" t="str">
            <v>Jan</v>
          </cell>
          <cell r="Z126">
            <v>1900</v>
          </cell>
          <cell r="AA126" t="str">
            <v>9900</v>
          </cell>
          <cell r="AB126" t="str">
            <v>9900-108</v>
          </cell>
          <cell r="AC126">
            <v>108</v>
          </cell>
          <cell r="AD126">
            <v>0</v>
          </cell>
          <cell r="AE126">
            <v>0</v>
          </cell>
          <cell r="AF126" t="str">
            <v/>
          </cell>
          <cell r="AG126" t="str">
            <v/>
          </cell>
          <cell r="AH126">
            <v>1</v>
          </cell>
          <cell r="AI126">
            <v>1</v>
          </cell>
          <cell r="AK126" t="str">
            <v>INV--9900-108</v>
          </cell>
          <cell r="AL126">
            <v>0</v>
          </cell>
          <cell r="AN126" t="str">
            <v>INVOICE</v>
          </cell>
          <cell r="AR126" t="str">
            <v/>
          </cell>
          <cell r="AS126" t="str">
            <v/>
          </cell>
          <cell r="AT126" t="str">
            <v/>
          </cell>
          <cell r="AU126" t="str">
            <v/>
          </cell>
          <cell r="AV126" t="str">
            <v/>
          </cell>
          <cell r="AW126" t="str">
            <v/>
          </cell>
          <cell r="AX126" t="str">
            <v/>
          </cell>
          <cell r="AY126" t="str">
            <v/>
          </cell>
          <cell r="AZ126" t="str">
            <v/>
          </cell>
          <cell r="BB126" t="str">
            <v/>
          </cell>
          <cell r="BC126" t="str">
            <v/>
          </cell>
          <cell r="BF126" t="str">
            <v/>
          </cell>
          <cell r="BI126">
            <v>0</v>
          </cell>
          <cell r="BJ126">
            <v>0</v>
          </cell>
          <cell r="BK126">
            <v>30</v>
          </cell>
          <cell r="BP126" t="str">
            <v/>
          </cell>
          <cell r="BQ126" t="str">
            <v/>
          </cell>
          <cell r="BR126" t="str">
            <v/>
          </cell>
          <cell r="BS126" t="str">
            <v/>
          </cell>
        </row>
        <row r="127">
          <cell r="B127" t="str">
            <v>INV--9900-109</v>
          </cell>
          <cell r="C127" t="str">
            <v/>
          </cell>
          <cell r="D127" t="e">
            <v>#VALUE!</v>
          </cell>
          <cell r="E127" t="str">
            <v>Jan1900</v>
          </cell>
          <cell r="F127">
            <v>31</v>
          </cell>
          <cell r="G127" t="e">
            <v>#VALUE!</v>
          </cell>
          <cell r="H127">
            <v>1</v>
          </cell>
          <cell r="I127">
            <v>1</v>
          </cell>
          <cell r="J127">
            <v>0</v>
          </cell>
          <cell r="K127" t="str">
            <v>0Jan1900</v>
          </cell>
          <cell r="L127" t="str">
            <v>Buildings</v>
          </cell>
          <cell r="M127" t="str">
            <v>BuildingsJan1900</v>
          </cell>
          <cell r="N127">
            <v>0</v>
          </cell>
          <cell r="O127">
            <v>0</v>
          </cell>
          <cell r="Q127" t="e">
            <v>#VALUE!</v>
          </cell>
          <cell r="R127">
            <v>0</v>
          </cell>
          <cell r="S127" t="str">
            <v>Jan1900</v>
          </cell>
          <cell r="T127" t="str">
            <v>Jan1900</v>
          </cell>
          <cell r="U127" t="e">
            <v>#VALUE!</v>
          </cell>
          <cell r="V127" t="e">
            <v>#VALUE!</v>
          </cell>
          <cell r="W127" t="str">
            <v/>
          </cell>
          <cell r="X127" t="str">
            <v>INV-9900</v>
          </cell>
          <cell r="Y127" t="str">
            <v>Jan</v>
          </cell>
          <cell r="Z127">
            <v>1900</v>
          </cell>
          <cell r="AA127" t="str">
            <v>9900</v>
          </cell>
          <cell r="AB127" t="str">
            <v>9900-109</v>
          </cell>
          <cell r="AC127">
            <v>109</v>
          </cell>
          <cell r="AD127">
            <v>0</v>
          </cell>
          <cell r="AE127">
            <v>0</v>
          </cell>
          <cell r="AF127" t="str">
            <v/>
          </cell>
          <cell r="AG127" t="str">
            <v/>
          </cell>
          <cell r="AH127">
            <v>1</v>
          </cell>
          <cell r="AI127">
            <v>1</v>
          </cell>
          <cell r="AK127" t="str">
            <v>INV--9900-109</v>
          </cell>
          <cell r="AL127">
            <v>0</v>
          </cell>
          <cell r="AN127" t="str">
            <v>INVOICE</v>
          </cell>
          <cell r="AR127" t="str">
            <v/>
          </cell>
          <cell r="AS127" t="str">
            <v/>
          </cell>
          <cell r="AT127" t="str">
            <v/>
          </cell>
          <cell r="AU127" t="str">
            <v/>
          </cell>
          <cell r="AV127" t="str">
            <v/>
          </cell>
          <cell r="AW127" t="str">
            <v/>
          </cell>
          <cell r="AX127" t="str">
            <v/>
          </cell>
          <cell r="AY127" t="str">
            <v/>
          </cell>
          <cell r="AZ127" t="str">
            <v/>
          </cell>
          <cell r="BB127" t="str">
            <v/>
          </cell>
          <cell r="BC127" t="str">
            <v/>
          </cell>
          <cell r="BF127" t="str">
            <v/>
          </cell>
          <cell r="BI127">
            <v>0</v>
          </cell>
          <cell r="BJ127">
            <v>0</v>
          </cell>
          <cell r="BK127">
            <v>30</v>
          </cell>
          <cell r="BP127" t="str">
            <v/>
          </cell>
          <cell r="BQ127" t="str">
            <v/>
          </cell>
          <cell r="BR127" t="str">
            <v/>
          </cell>
          <cell r="BS127" t="str">
            <v/>
          </cell>
        </row>
        <row r="128">
          <cell r="B128" t="str">
            <v>INV--9900-110</v>
          </cell>
          <cell r="C128" t="str">
            <v/>
          </cell>
          <cell r="D128" t="e">
            <v>#VALUE!</v>
          </cell>
          <cell r="E128" t="str">
            <v>Jan1900</v>
          </cell>
          <cell r="F128">
            <v>31</v>
          </cell>
          <cell r="G128" t="e">
            <v>#VALUE!</v>
          </cell>
          <cell r="H128">
            <v>1</v>
          </cell>
          <cell r="I128">
            <v>1</v>
          </cell>
          <cell r="J128">
            <v>0</v>
          </cell>
          <cell r="K128" t="str">
            <v>0Jan1900</v>
          </cell>
          <cell r="L128" t="str">
            <v>Buildings</v>
          </cell>
          <cell r="M128" t="str">
            <v>BuildingsJan1900</v>
          </cell>
          <cell r="N128">
            <v>0</v>
          </cell>
          <cell r="O128">
            <v>0</v>
          </cell>
          <cell r="Q128" t="e">
            <v>#VALUE!</v>
          </cell>
          <cell r="R128">
            <v>0</v>
          </cell>
          <cell r="S128" t="str">
            <v>Jan1900</v>
          </cell>
          <cell r="T128" t="str">
            <v>Jan1900</v>
          </cell>
          <cell r="U128" t="e">
            <v>#VALUE!</v>
          </cell>
          <cell r="V128" t="e">
            <v>#VALUE!</v>
          </cell>
          <cell r="W128" t="str">
            <v/>
          </cell>
          <cell r="X128" t="str">
            <v>INV-9900</v>
          </cell>
          <cell r="Y128" t="str">
            <v>Jan</v>
          </cell>
          <cell r="Z128">
            <v>1900</v>
          </cell>
          <cell r="AA128" t="str">
            <v>9900</v>
          </cell>
          <cell r="AB128" t="str">
            <v>9900-110</v>
          </cell>
          <cell r="AC128">
            <v>110</v>
          </cell>
          <cell r="AD128">
            <v>0</v>
          </cell>
          <cell r="AE128">
            <v>0</v>
          </cell>
          <cell r="AF128" t="str">
            <v/>
          </cell>
          <cell r="AG128" t="str">
            <v/>
          </cell>
          <cell r="AH128">
            <v>1</v>
          </cell>
          <cell r="AI128">
            <v>1</v>
          </cell>
          <cell r="AK128" t="str">
            <v>INV--9900-110</v>
          </cell>
          <cell r="AL128">
            <v>0</v>
          </cell>
          <cell r="AN128" t="str">
            <v>INVOICE</v>
          </cell>
          <cell r="AR128" t="str">
            <v/>
          </cell>
          <cell r="AS128" t="str">
            <v/>
          </cell>
          <cell r="AT128" t="str">
            <v/>
          </cell>
          <cell r="AU128" t="str">
            <v/>
          </cell>
          <cell r="AV128" t="str">
            <v/>
          </cell>
          <cell r="AW128" t="str">
            <v/>
          </cell>
          <cell r="AX128" t="str">
            <v/>
          </cell>
          <cell r="AY128" t="str">
            <v/>
          </cell>
          <cell r="AZ128" t="str">
            <v/>
          </cell>
          <cell r="BB128" t="str">
            <v/>
          </cell>
          <cell r="BC128" t="str">
            <v/>
          </cell>
          <cell r="BF128" t="str">
            <v/>
          </cell>
          <cell r="BI128">
            <v>0</v>
          </cell>
          <cell r="BJ128">
            <v>0</v>
          </cell>
          <cell r="BK128">
            <v>30</v>
          </cell>
          <cell r="BP128" t="str">
            <v/>
          </cell>
          <cell r="BQ128" t="str">
            <v/>
          </cell>
          <cell r="BR128" t="str">
            <v/>
          </cell>
          <cell r="BS128" t="str">
            <v/>
          </cell>
        </row>
        <row r="129">
          <cell r="B129" t="str">
            <v>INV--9900-111</v>
          </cell>
          <cell r="C129" t="str">
            <v/>
          </cell>
          <cell r="D129" t="e">
            <v>#VALUE!</v>
          </cell>
          <cell r="E129" t="str">
            <v>Jan1900</v>
          </cell>
          <cell r="F129">
            <v>31</v>
          </cell>
          <cell r="G129" t="e">
            <v>#VALUE!</v>
          </cell>
          <cell r="H129">
            <v>1</v>
          </cell>
          <cell r="I129">
            <v>1</v>
          </cell>
          <cell r="J129">
            <v>0</v>
          </cell>
          <cell r="K129" t="str">
            <v>0Jan1900</v>
          </cell>
          <cell r="L129" t="str">
            <v>Buildings</v>
          </cell>
          <cell r="M129" t="str">
            <v>BuildingsJan1900</v>
          </cell>
          <cell r="N129">
            <v>0</v>
          </cell>
          <cell r="O129">
            <v>0</v>
          </cell>
          <cell r="Q129" t="e">
            <v>#VALUE!</v>
          </cell>
          <cell r="R129">
            <v>0</v>
          </cell>
          <cell r="S129" t="str">
            <v>Jan1900</v>
          </cell>
          <cell r="T129" t="str">
            <v>Jan1900</v>
          </cell>
          <cell r="U129" t="e">
            <v>#VALUE!</v>
          </cell>
          <cell r="V129" t="e">
            <v>#VALUE!</v>
          </cell>
          <cell r="W129" t="str">
            <v/>
          </cell>
          <cell r="X129" t="str">
            <v>INV-9900</v>
          </cell>
          <cell r="Y129" t="str">
            <v>Jan</v>
          </cell>
          <cell r="Z129">
            <v>1900</v>
          </cell>
          <cell r="AA129" t="str">
            <v>9900</v>
          </cell>
          <cell r="AB129" t="str">
            <v>9900-111</v>
          </cell>
          <cell r="AC129">
            <v>111</v>
          </cell>
          <cell r="AD129">
            <v>0</v>
          </cell>
          <cell r="AE129">
            <v>0</v>
          </cell>
          <cell r="AF129" t="str">
            <v/>
          </cell>
          <cell r="AG129" t="str">
            <v/>
          </cell>
          <cell r="AH129">
            <v>1</v>
          </cell>
          <cell r="AI129">
            <v>1</v>
          </cell>
          <cell r="AK129" t="str">
            <v>INV--9900-111</v>
          </cell>
          <cell r="AL129">
            <v>0</v>
          </cell>
          <cell r="AN129" t="str">
            <v>INVOICE</v>
          </cell>
          <cell r="AR129" t="str">
            <v/>
          </cell>
          <cell r="AS129" t="str">
            <v/>
          </cell>
          <cell r="AT129" t="str">
            <v/>
          </cell>
          <cell r="AU129" t="str">
            <v/>
          </cell>
          <cell r="AV129" t="str">
            <v/>
          </cell>
          <cell r="AW129" t="str">
            <v/>
          </cell>
          <cell r="AX129" t="str">
            <v/>
          </cell>
          <cell r="AY129" t="str">
            <v/>
          </cell>
          <cell r="AZ129" t="str">
            <v/>
          </cell>
          <cell r="BB129" t="str">
            <v/>
          </cell>
          <cell r="BC129" t="str">
            <v/>
          </cell>
          <cell r="BF129" t="str">
            <v/>
          </cell>
          <cell r="BI129">
            <v>0</v>
          </cell>
          <cell r="BJ129">
            <v>0</v>
          </cell>
          <cell r="BK129">
            <v>30</v>
          </cell>
          <cell r="BP129" t="str">
            <v/>
          </cell>
          <cell r="BQ129" t="str">
            <v/>
          </cell>
          <cell r="BR129" t="str">
            <v/>
          </cell>
          <cell r="BS129" t="str">
            <v/>
          </cell>
        </row>
        <row r="130">
          <cell r="B130" t="str">
            <v>INV--9900-112</v>
          </cell>
          <cell r="C130" t="str">
            <v/>
          </cell>
          <cell r="D130" t="e">
            <v>#VALUE!</v>
          </cell>
          <cell r="E130" t="str">
            <v>Jan1900</v>
          </cell>
          <cell r="F130">
            <v>31</v>
          </cell>
          <cell r="G130" t="e">
            <v>#VALUE!</v>
          </cell>
          <cell r="H130">
            <v>1</v>
          </cell>
          <cell r="I130">
            <v>1</v>
          </cell>
          <cell r="J130">
            <v>0</v>
          </cell>
          <cell r="K130" t="str">
            <v>0Jan1900</v>
          </cell>
          <cell r="L130" t="str">
            <v>Buildings</v>
          </cell>
          <cell r="M130" t="str">
            <v>BuildingsJan1900</v>
          </cell>
          <cell r="N130">
            <v>0</v>
          </cell>
          <cell r="O130">
            <v>0</v>
          </cell>
          <cell r="Q130" t="e">
            <v>#VALUE!</v>
          </cell>
          <cell r="R130">
            <v>0</v>
          </cell>
          <cell r="S130" t="str">
            <v>Jan1900</v>
          </cell>
          <cell r="T130" t="str">
            <v>Jan1900</v>
          </cell>
          <cell r="U130" t="e">
            <v>#VALUE!</v>
          </cell>
          <cell r="V130" t="e">
            <v>#VALUE!</v>
          </cell>
          <cell r="W130" t="str">
            <v/>
          </cell>
          <cell r="X130" t="str">
            <v>INV-9900</v>
          </cell>
          <cell r="Y130" t="str">
            <v>Jan</v>
          </cell>
          <cell r="Z130">
            <v>1900</v>
          </cell>
          <cell r="AA130" t="str">
            <v>9900</v>
          </cell>
          <cell r="AB130" t="str">
            <v>9900-112</v>
          </cell>
          <cell r="AC130">
            <v>112</v>
          </cell>
          <cell r="AD130">
            <v>0</v>
          </cell>
          <cell r="AE130">
            <v>0</v>
          </cell>
          <cell r="AF130" t="str">
            <v/>
          </cell>
          <cell r="AG130" t="str">
            <v/>
          </cell>
          <cell r="AH130">
            <v>1</v>
          </cell>
          <cell r="AI130">
            <v>1</v>
          </cell>
          <cell r="AK130" t="str">
            <v>INV--9900-112</v>
          </cell>
          <cell r="AL130">
            <v>0</v>
          </cell>
          <cell r="AN130" t="str">
            <v>INVOICE</v>
          </cell>
          <cell r="AR130" t="str">
            <v/>
          </cell>
          <cell r="AS130" t="str">
            <v/>
          </cell>
          <cell r="AT130" t="str">
            <v/>
          </cell>
          <cell r="AU130" t="str">
            <v/>
          </cell>
          <cell r="AV130" t="str">
            <v/>
          </cell>
          <cell r="AW130" t="str">
            <v/>
          </cell>
          <cell r="AX130" t="str">
            <v/>
          </cell>
          <cell r="AY130" t="str">
            <v/>
          </cell>
          <cell r="AZ130" t="str">
            <v/>
          </cell>
          <cell r="BB130" t="str">
            <v/>
          </cell>
          <cell r="BC130" t="str">
            <v/>
          </cell>
          <cell r="BF130" t="str">
            <v/>
          </cell>
          <cell r="BI130">
            <v>0</v>
          </cell>
          <cell r="BJ130">
            <v>0</v>
          </cell>
          <cell r="BK130">
            <v>30</v>
          </cell>
          <cell r="BP130" t="str">
            <v/>
          </cell>
          <cell r="BQ130" t="str">
            <v/>
          </cell>
          <cell r="BR130" t="str">
            <v/>
          </cell>
          <cell r="BS130" t="str">
            <v/>
          </cell>
        </row>
        <row r="131">
          <cell r="B131" t="str">
            <v>INV--9900-113</v>
          </cell>
          <cell r="C131" t="str">
            <v/>
          </cell>
          <cell r="D131" t="e">
            <v>#VALUE!</v>
          </cell>
          <cell r="E131" t="str">
            <v>Jan1900</v>
          </cell>
          <cell r="F131">
            <v>31</v>
          </cell>
          <cell r="G131" t="e">
            <v>#VALUE!</v>
          </cell>
          <cell r="H131">
            <v>1</v>
          </cell>
          <cell r="I131">
            <v>1</v>
          </cell>
          <cell r="J131">
            <v>0</v>
          </cell>
          <cell r="K131" t="str">
            <v>0Jan1900</v>
          </cell>
          <cell r="L131" t="str">
            <v>Buildings</v>
          </cell>
          <cell r="M131" t="str">
            <v>BuildingsJan1900</v>
          </cell>
          <cell r="N131">
            <v>0</v>
          </cell>
          <cell r="O131">
            <v>0</v>
          </cell>
          <cell r="Q131" t="e">
            <v>#VALUE!</v>
          </cell>
          <cell r="R131">
            <v>0</v>
          </cell>
          <cell r="S131" t="str">
            <v>Jan1900</v>
          </cell>
          <cell r="T131" t="str">
            <v>Jan1900</v>
          </cell>
          <cell r="U131" t="e">
            <v>#VALUE!</v>
          </cell>
          <cell r="V131" t="e">
            <v>#VALUE!</v>
          </cell>
          <cell r="W131" t="str">
            <v/>
          </cell>
          <cell r="X131" t="str">
            <v>INV-9900</v>
          </cell>
          <cell r="Y131" t="str">
            <v>Jan</v>
          </cell>
          <cell r="Z131">
            <v>1900</v>
          </cell>
          <cell r="AA131" t="str">
            <v>9900</v>
          </cell>
          <cell r="AB131" t="str">
            <v>9900-113</v>
          </cell>
          <cell r="AC131">
            <v>113</v>
          </cell>
          <cell r="AD131">
            <v>0</v>
          </cell>
          <cell r="AE131">
            <v>0</v>
          </cell>
          <cell r="AF131" t="str">
            <v/>
          </cell>
          <cell r="AG131" t="str">
            <v/>
          </cell>
          <cell r="AH131">
            <v>1</v>
          </cell>
          <cell r="AI131">
            <v>1</v>
          </cell>
          <cell r="AK131" t="str">
            <v>INV--9900-113</v>
          </cell>
          <cell r="AL131">
            <v>0</v>
          </cell>
          <cell r="AN131" t="str">
            <v>INVOICE</v>
          </cell>
          <cell r="AR131" t="str">
            <v/>
          </cell>
          <cell r="AS131" t="str">
            <v/>
          </cell>
          <cell r="AT131" t="str">
            <v/>
          </cell>
          <cell r="AU131" t="str">
            <v/>
          </cell>
          <cell r="AV131" t="str">
            <v/>
          </cell>
          <cell r="AW131" t="str">
            <v/>
          </cell>
          <cell r="AX131" t="str">
            <v/>
          </cell>
          <cell r="AY131" t="str">
            <v/>
          </cell>
          <cell r="AZ131" t="str">
            <v/>
          </cell>
          <cell r="BB131" t="str">
            <v/>
          </cell>
          <cell r="BC131" t="str">
            <v/>
          </cell>
          <cell r="BF131" t="str">
            <v/>
          </cell>
          <cell r="BI131">
            <v>0</v>
          </cell>
          <cell r="BJ131">
            <v>0</v>
          </cell>
          <cell r="BK131">
            <v>30</v>
          </cell>
          <cell r="BP131" t="str">
            <v/>
          </cell>
          <cell r="BQ131" t="str">
            <v/>
          </cell>
          <cell r="BR131" t="str">
            <v/>
          </cell>
          <cell r="BS131" t="str">
            <v/>
          </cell>
        </row>
        <row r="132">
          <cell r="B132" t="str">
            <v>INV--9900-114</v>
          </cell>
          <cell r="C132" t="str">
            <v/>
          </cell>
          <cell r="D132" t="e">
            <v>#VALUE!</v>
          </cell>
          <cell r="E132" t="str">
            <v>Jan1900</v>
          </cell>
          <cell r="F132">
            <v>31</v>
          </cell>
          <cell r="G132" t="e">
            <v>#VALUE!</v>
          </cell>
          <cell r="H132">
            <v>1</v>
          </cell>
          <cell r="I132">
            <v>1</v>
          </cell>
          <cell r="J132">
            <v>0</v>
          </cell>
          <cell r="K132" t="str">
            <v>0Jan1900</v>
          </cell>
          <cell r="L132" t="str">
            <v>Buildings</v>
          </cell>
          <cell r="M132" t="str">
            <v>BuildingsJan1900</v>
          </cell>
          <cell r="N132">
            <v>0</v>
          </cell>
          <cell r="O132">
            <v>0</v>
          </cell>
          <cell r="Q132" t="e">
            <v>#VALUE!</v>
          </cell>
          <cell r="R132">
            <v>0</v>
          </cell>
          <cell r="S132" t="str">
            <v>Jan1900</v>
          </cell>
          <cell r="T132" t="str">
            <v>Jan1900</v>
          </cell>
          <cell r="U132" t="e">
            <v>#VALUE!</v>
          </cell>
          <cell r="V132" t="e">
            <v>#VALUE!</v>
          </cell>
          <cell r="W132" t="str">
            <v/>
          </cell>
          <cell r="X132" t="str">
            <v>INV-9900</v>
          </cell>
          <cell r="Y132" t="str">
            <v>Jan</v>
          </cell>
          <cell r="Z132">
            <v>1900</v>
          </cell>
          <cell r="AA132" t="str">
            <v>9900</v>
          </cell>
          <cell r="AB132" t="str">
            <v>9900-114</v>
          </cell>
          <cell r="AC132">
            <v>114</v>
          </cell>
          <cell r="AD132">
            <v>0</v>
          </cell>
          <cell r="AE132">
            <v>0</v>
          </cell>
          <cell r="AF132" t="str">
            <v/>
          </cell>
          <cell r="AG132" t="str">
            <v/>
          </cell>
          <cell r="AH132">
            <v>1</v>
          </cell>
          <cell r="AI132">
            <v>1</v>
          </cell>
          <cell r="AK132" t="str">
            <v>INV--9900-114</v>
          </cell>
          <cell r="AL132">
            <v>0</v>
          </cell>
          <cell r="AN132" t="str">
            <v>INVOICE</v>
          </cell>
          <cell r="AR132" t="str">
            <v/>
          </cell>
          <cell r="AS132" t="str">
            <v/>
          </cell>
          <cell r="AT132" t="str">
            <v/>
          </cell>
          <cell r="AU132" t="str">
            <v/>
          </cell>
          <cell r="AV132" t="str">
            <v/>
          </cell>
          <cell r="AW132" t="str">
            <v/>
          </cell>
          <cell r="AX132" t="str">
            <v/>
          </cell>
          <cell r="AY132" t="str">
            <v/>
          </cell>
          <cell r="AZ132" t="str">
            <v/>
          </cell>
          <cell r="BB132" t="str">
            <v/>
          </cell>
          <cell r="BC132" t="str">
            <v/>
          </cell>
          <cell r="BF132" t="str">
            <v/>
          </cell>
          <cell r="BI132">
            <v>0</v>
          </cell>
          <cell r="BJ132">
            <v>0</v>
          </cell>
          <cell r="BK132">
            <v>30</v>
          </cell>
          <cell r="BP132" t="str">
            <v/>
          </cell>
          <cell r="BQ132" t="str">
            <v/>
          </cell>
          <cell r="BR132" t="str">
            <v/>
          </cell>
          <cell r="BS132" t="str">
            <v/>
          </cell>
        </row>
        <row r="133">
          <cell r="B133" t="str">
            <v>INV--9900-115</v>
          </cell>
          <cell r="C133" t="str">
            <v/>
          </cell>
          <cell r="D133" t="e">
            <v>#VALUE!</v>
          </cell>
          <cell r="E133" t="str">
            <v>Jan1900</v>
          </cell>
          <cell r="F133">
            <v>31</v>
          </cell>
          <cell r="G133" t="e">
            <v>#VALUE!</v>
          </cell>
          <cell r="H133">
            <v>1</v>
          </cell>
          <cell r="I133">
            <v>1</v>
          </cell>
          <cell r="J133">
            <v>0</v>
          </cell>
          <cell r="K133" t="str">
            <v>0Jan1900</v>
          </cell>
          <cell r="L133" t="str">
            <v>Buildings</v>
          </cell>
          <cell r="M133" t="str">
            <v>BuildingsJan1900</v>
          </cell>
          <cell r="N133">
            <v>0</v>
          </cell>
          <cell r="O133">
            <v>0</v>
          </cell>
          <cell r="Q133" t="e">
            <v>#VALUE!</v>
          </cell>
          <cell r="R133">
            <v>0</v>
          </cell>
          <cell r="S133" t="str">
            <v>Jan1900</v>
          </cell>
          <cell r="T133" t="str">
            <v>Jan1900</v>
          </cell>
          <cell r="U133" t="e">
            <v>#VALUE!</v>
          </cell>
          <cell r="V133" t="e">
            <v>#VALUE!</v>
          </cell>
          <cell r="W133" t="str">
            <v/>
          </cell>
          <cell r="X133" t="str">
            <v>INV-9900</v>
          </cell>
          <cell r="Y133" t="str">
            <v>Jan</v>
          </cell>
          <cell r="Z133">
            <v>1900</v>
          </cell>
          <cell r="AA133" t="str">
            <v>9900</v>
          </cell>
          <cell r="AB133" t="str">
            <v>9900-115</v>
          </cell>
          <cell r="AC133">
            <v>115</v>
          </cell>
          <cell r="AD133">
            <v>0</v>
          </cell>
          <cell r="AE133">
            <v>0</v>
          </cell>
          <cell r="AF133" t="str">
            <v/>
          </cell>
          <cell r="AG133" t="str">
            <v/>
          </cell>
          <cell r="AH133">
            <v>1</v>
          </cell>
          <cell r="AI133">
            <v>1</v>
          </cell>
          <cell r="AK133" t="str">
            <v>INV--9900-115</v>
          </cell>
          <cell r="AL133">
            <v>0</v>
          </cell>
          <cell r="AN133" t="str">
            <v>INVOICE</v>
          </cell>
          <cell r="AR133" t="str">
            <v/>
          </cell>
          <cell r="AS133" t="str">
            <v/>
          </cell>
          <cell r="AT133" t="str">
            <v/>
          </cell>
          <cell r="AU133" t="str">
            <v/>
          </cell>
          <cell r="AV133" t="str">
            <v/>
          </cell>
          <cell r="AW133" t="str">
            <v/>
          </cell>
          <cell r="AX133" t="str">
            <v/>
          </cell>
          <cell r="AY133" t="str">
            <v/>
          </cell>
          <cell r="AZ133" t="str">
            <v/>
          </cell>
          <cell r="BB133" t="str">
            <v/>
          </cell>
          <cell r="BC133" t="str">
            <v/>
          </cell>
          <cell r="BF133" t="str">
            <v/>
          </cell>
          <cell r="BI133">
            <v>0</v>
          </cell>
          <cell r="BJ133">
            <v>0</v>
          </cell>
          <cell r="BK133">
            <v>30</v>
          </cell>
          <cell r="BP133" t="str">
            <v/>
          </cell>
          <cell r="BQ133" t="str">
            <v/>
          </cell>
          <cell r="BR133" t="str">
            <v/>
          </cell>
          <cell r="BS133" t="str">
            <v/>
          </cell>
        </row>
        <row r="134">
          <cell r="B134" t="str">
            <v>INV--9900-116</v>
          </cell>
          <cell r="C134" t="str">
            <v/>
          </cell>
          <cell r="D134" t="e">
            <v>#VALUE!</v>
          </cell>
          <cell r="E134" t="str">
            <v>Jan1900</v>
          </cell>
          <cell r="F134">
            <v>31</v>
          </cell>
          <cell r="G134" t="e">
            <v>#VALUE!</v>
          </cell>
          <cell r="H134">
            <v>1</v>
          </cell>
          <cell r="I134">
            <v>1</v>
          </cell>
          <cell r="J134">
            <v>0</v>
          </cell>
          <cell r="K134" t="str">
            <v>0Jan1900</v>
          </cell>
          <cell r="L134" t="str">
            <v>Buildings</v>
          </cell>
          <cell r="M134" t="str">
            <v>BuildingsJan1900</v>
          </cell>
          <cell r="N134">
            <v>0</v>
          </cell>
          <cell r="O134">
            <v>0</v>
          </cell>
          <cell r="Q134" t="e">
            <v>#VALUE!</v>
          </cell>
          <cell r="R134">
            <v>0</v>
          </cell>
          <cell r="S134" t="str">
            <v>Jan1900</v>
          </cell>
          <cell r="T134" t="str">
            <v>Jan1900</v>
          </cell>
          <cell r="U134" t="e">
            <v>#VALUE!</v>
          </cell>
          <cell r="V134" t="e">
            <v>#VALUE!</v>
          </cell>
          <cell r="W134" t="str">
            <v/>
          </cell>
          <cell r="X134" t="str">
            <v>INV-9900</v>
          </cell>
          <cell r="Y134" t="str">
            <v>Jan</v>
          </cell>
          <cell r="Z134">
            <v>1900</v>
          </cell>
          <cell r="AA134" t="str">
            <v>9900</v>
          </cell>
          <cell r="AB134" t="str">
            <v>9900-116</v>
          </cell>
          <cell r="AC134">
            <v>116</v>
          </cell>
          <cell r="AD134">
            <v>0</v>
          </cell>
          <cell r="AE134">
            <v>0</v>
          </cell>
          <cell r="AF134" t="str">
            <v/>
          </cell>
          <cell r="AG134" t="str">
            <v/>
          </cell>
          <cell r="AH134">
            <v>1</v>
          </cell>
          <cell r="AI134">
            <v>1</v>
          </cell>
          <cell r="AK134" t="str">
            <v>INV--9900-116</v>
          </cell>
          <cell r="AL134">
            <v>0</v>
          </cell>
          <cell r="AN134" t="str">
            <v>INVOICE</v>
          </cell>
          <cell r="AR134" t="str">
            <v/>
          </cell>
          <cell r="AS134" t="str">
            <v/>
          </cell>
          <cell r="AT134" t="str">
            <v/>
          </cell>
          <cell r="AU134" t="str">
            <v/>
          </cell>
          <cell r="AV134" t="str">
            <v/>
          </cell>
          <cell r="AW134" t="str">
            <v/>
          </cell>
          <cell r="AX134" t="str">
            <v/>
          </cell>
          <cell r="AY134" t="str">
            <v/>
          </cell>
          <cell r="AZ134" t="str">
            <v/>
          </cell>
          <cell r="BB134" t="str">
            <v/>
          </cell>
          <cell r="BC134" t="str">
            <v/>
          </cell>
          <cell r="BF134" t="str">
            <v/>
          </cell>
          <cell r="BI134">
            <v>0</v>
          </cell>
          <cell r="BJ134">
            <v>0</v>
          </cell>
          <cell r="BK134">
            <v>30</v>
          </cell>
          <cell r="BP134" t="str">
            <v/>
          </cell>
          <cell r="BQ134" t="str">
            <v/>
          </cell>
          <cell r="BR134" t="str">
            <v/>
          </cell>
          <cell r="BS134" t="str">
            <v/>
          </cell>
        </row>
        <row r="135">
          <cell r="B135" t="str">
            <v>INV--9900-117</v>
          </cell>
          <cell r="C135" t="str">
            <v/>
          </cell>
          <cell r="D135" t="e">
            <v>#VALUE!</v>
          </cell>
          <cell r="E135" t="str">
            <v>Jan1900</v>
          </cell>
          <cell r="F135">
            <v>31</v>
          </cell>
          <cell r="G135" t="e">
            <v>#VALUE!</v>
          </cell>
          <cell r="H135">
            <v>1</v>
          </cell>
          <cell r="I135">
            <v>1</v>
          </cell>
          <cell r="J135">
            <v>0</v>
          </cell>
          <cell r="K135" t="str">
            <v>0Jan1900</v>
          </cell>
          <cell r="L135" t="str">
            <v>Buildings</v>
          </cell>
          <cell r="M135" t="str">
            <v>BuildingsJan1900</v>
          </cell>
          <cell r="N135">
            <v>0</v>
          </cell>
          <cell r="O135">
            <v>0</v>
          </cell>
          <cell r="Q135" t="e">
            <v>#VALUE!</v>
          </cell>
          <cell r="R135">
            <v>0</v>
          </cell>
          <cell r="S135" t="str">
            <v>Jan1900</v>
          </cell>
          <cell r="T135" t="str">
            <v>Jan1900</v>
          </cell>
          <cell r="U135" t="e">
            <v>#VALUE!</v>
          </cell>
          <cell r="V135" t="e">
            <v>#VALUE!</v>
          </cell>
          <cell r="W135" t="str">
            <v/>
          </cell>
          <cell r="X135" t="str">
            <v>INV-9900</v>
          </cell>
          <cell r="Y135" t="str">
            <v>Jan</v>
          </cell>
          <cell r="Z135">
            <v>1900</v>
          </cell>
          <cell r="AA135" t="str">
            <v>9900</v>
          </cell>
          <cell r="AB135" t="str">
            <v>9900-117</v>
          </cell>
          <cell r="AC135">
            <v>117</v>
          </cell>
          <cell r="AD135">
            <v>0</v>
          </cell>
          <cell r="AE135">
            <v>0</v>
          </cell>
          <cell r="AF135" t="str">
            <v/>
          </cell>
          <cell r="AG135" t="str">
            <v/>
          </cell>
          <cell r="AH135">
            <v>1</v>
          </cell>
          <cell r="AI135">
            <v>1</v>
          </cell>
          <cell r="AK135" t="str">
            <v>INV--9900-117</v>
          </cell>
          <cell r="AL135">
            <v>0</v>
          </cell>
          <cell r="AN135" t="str">
            <v>INVOICE</v>
          </cell>
          <cell r="AR135" t="str">
            <v/>
          </cell>
          <cell r="AS135" t="str">
            <v/>
          </cell>
          <cell r="AT135" t="str">
            <v/>
          </cell>
          <cell r="AU135" t="str">
            <v/>
          </cell>
          <cell r="AV135" t="str">
            <v/>
          </cell>
          <cell r="AW135" t="str">
            <v/>
          </cell>
          <cell r="AX135" t="str">
            <v/>
          </cell>
          <cell r="AY135" t="str">
            <v/>
          </cell>
          <cell r="AZ135" t="str">
            <v/>
          </cell>
          <cell r="BB135" t="str">
            <v/>
          </cell>
          <cell r="BC135" t="str">
            <v/>
          </cell>
          <cell r="BF135" t="str">
            <v/>
          </cell>
          <cell r="BI135">
            <v>0</v>
          </cell>
          <cell r="BJ135">
            <v>0</v>
          </cell>
          <cell r="BK135">
            <v>30</v>
          </cell>
          <cell r="BP135" t="str">
            <v/>
          </cell>
          <cell r="BQ135" t="str">
            <v/>
          </cell>
          <cell r="BR135" t="str">
            <v/>
          </cell>
          <cell r="BS135" t="str">
            <v/>
          </cell>
        </row>
        <row r="136">
          <cell r="B136" t="str">
            <v>INV--9900-118</v>
          </cell>
          <cell r="C136" t="str">
            <v/>
          </cell>
          <cell r="D136" t="e">
            <v>#VALUE!</v>
          </cell>
          <cell r="E136" t="str">
            <v>Jan1900</v>
          </cell>
          <cell r="F136">
            <v>31</v>
          </cell>
          <cell r="G136" t="e">
            <v>#VALUE!</v>
          </cell>
          <cell r="H136">
            <v>1</v>
          </cell>
          <cell r="I136">
            <v>1</v>
          </cell>
          <cell r="J136">
            <v>0</v>
          </cell>
          <cell r="K136" t="str">
            <v>0Jan1900</v>
          </cell>
          <cell r="L136" t="str">
            <v>Buildings</v>
          </cell>
          <cell r="M136" t="str">
            <v>BuildingsJan1900</v>
          </cell>
          <cell r="N136">
            <v>0</v>
          </cell>
          <cell r="O136">
            <v>0</v>
          </cell>
          <cell r="Q136" t="e">
            <v>#VALUE!</v>
          </cell>
          <cell r="R136">
            <v>0</v>
          </cell>
          <cell r="S136" t="str">
            <v>Jan1900</v>
          </cell>
          <cell r="T136" t="str">
            <v>Jan1900</v>
          </cell>
          <cell r="U136" t="e">
            <v>#VALUE!</v>
          </cell>
          <cell r="V136" t="e">
            <v>#VALUE!</v>
          </cell>
          <cell r="W136" t="str">
            <v/>
          </cell>
          <cell r="X136" t="str">
            <v>INV-9900</v>
          </cell>
          <cell r="Y136" t="str">
            <v>Jan</v>
          </cell>
          <cell r="Z136">
            <v>1900</v>
          </cell>
          <cell r="AA136" t="str">
            <v>9900</v>
          </cell>
          <cell r="AB136" t="str">
            <v>9900-118</v>
          </cell>
          <cell r="AC136">
            <v>118</v>
          </cell>
          <cell r="AD136">
            <v>0</v>
          </cell>
          <cell r="AE136">
            <v>0</v>
          </cell>
          <cell r="AF136" t="str">
            <v/>
          </cell>
          <cell r="AG136" t="str">
            <v/>
          </cell>
          <cell r="AH136">
            <v>1</v>
          </cell>
          <cell r="AI136">
            <v>1</v>
          </cell>
          <cell r="AK136" t="str">
            <v>INV--9900-118</v>
          </cell>
          <cell r="AL136">
            <v>0</v>
          </cell>
          <cell r="AN136" t="str">
            <v>INVOICE</v>
          </cell>
          <cell r="AR136" t="str">
            <v/>
          </cell>
          <cell r="AS136" t="str">
            <v/>
          </cell>
          <cell r="AT136" t="str">
            <v/>
          </cell>
          <cell r="AU136" t="str">
            <v/>
          </cell>
          <cell r="AV136" t="str">
            <v/>
          </cell>
          <cell r="AW136" t="str">
            <v/>
          </cell>
          <cell r="AX136" t="str">
            <v/>
          </cell>
          <cell r="AY136" t="str">
            <v/>
          </cell>
          <cell r="AZ136" t="str">
            <v/>
          </cell>
          <cell r="BB136" t="str">
            <v/>
          </cell>
          <cell r="BC136" t="str">
            <v/>
          </cell>
          <cell r="BF136" t="str">
            <v/>
          </cell>
          <cell r="BI136">
            <v>0</v>
          </cell>
          <cell r="BJ136">
            <v>0</v>
          </cell>
          <cell r="BK136">
            <v>30</v>
          </cell>
          <cell r="BP136" t="str">
            <v/>
          </cell>
          <cell r="BQ136" t="str">
            <v/>
          </cell>
          <cell r="BR136" t="str">
            <v/>
          </cell>
          <cell r="BS136" t="str">
            <v/>
          </cell>
        </row>
        <row r="137">
          <cell r="B137" t="str">
            <v>INV--9900-119</v>
          </cell>
          <cell r="C137" t="str">
            <v/>
          </cell>
          <cell r="D137" t="e">
            <v>#VALUE!</v>
          </cell>
          <cell r="E137" t="str">
            <v>Jan1900</v>
          </cell>
          <cell r="F137">
            <v>31</v>
          </cell>
          <cell r="G137" t="e">
            <v>#VALUE!</v>
          </cell>
          <cell r="H137">
            <v>1</v>
          </cell>
          <cell r="I137">
            <v>1</v>
          </cell>
          <cell r="J137">
            <v>0</v>
          </cell>
          <cell r="K137" t="str">
            <v>0Jan1900</v>
          </cell>
          <cell r="L137" t="str">
            <v>Buildings</v>
          </cell>
          <cell r="M137" t="str">
            <v>BuildingsJan1900</v>
          </cell>
          <cell r="N137">
            <v>0</v>
          </cell>
          <cell r="O137">
            <v>0</v>
          </cell>
          <cell r="Q137" t="e">
            <v>#VALUE!</v>
          </cell>
          <cell r="R137">
            <v>0</v>
          </cell>
          <cell r="S137" t="str">
            <v>Jan1900</v>
          </cell>
          <cell r="T137" t="str">
            <v>Jan1900</v>
          </cell>
          <cell r="U137" t="e">
            <v>#VALUE!</v>
          </cell>
          <cell r="V137" t="e">
            <v>#VALUE!</v>
          </cell>
          <cell r="W137" t="str">
            <v/>
          </cell>
          <cell r="X137" t="str">
            <v>INV-9900</v>
          </cell>
          <cell r="Y137" t="str">
            <v>Jan</v>
          </cell>
          <cell r="Z137">
            <v>1900</v>
          </cell>
          <cell r="AA137" t="str">
            <v>9900</v>
          </cell>
          <cell r="AB137" t="str">
            <v>9900-119</v>
          </cell>
          <cell r="AC137">
            <v>119</v>
          </cell>
          <cell r="AD137">
            <v>0</v>
          </cell>
          <cell r="AE137">
            <v>0</v>
          </cell>
          <cell r="AF137" t="str">
            <v/>
          </cell>
          <cell r="AG137" t="str">
            <v/>
          </cell>
          <cell r="AH137">
            <v>1</v>
          </cell>
          <cell r="AI137">
            <v>1</v>
          </cell>
          <cell r="AK137" t="str">
            <v>INV--9900-119</v>
          </cell>
          <cell r="AL137">
            <v>0</v>
          </cell>
          <cell r="AN137" t="str">
            <v>INVOICE</v>
          </cell>
          <cell r="AR137" t="str">
            <v/>
          </cell>
          <cell r="AS137" t="str">
            <v/>
          </cell>
          <cell r="AT137" t="str">
            <v/>
          </cell>
          <cell r="AU137" t="str">
            <v/>
          </cell>
          <cell r="AV137" t="str">
            <v/>
          </cell>
          <cell r="AW137" t="str">
            <v/>
          </cell>
          <cell r="AX137" t="str">
            <v/>
          </cell>
          <cell r="AY137" t="str">
            <v/>
          </cell>
          <cell r="AZ137" t="str">
            <v/>
          </cell>
          <cell r="BB137" t="str">
            <v/>
          </cell>
          <cell r="BC137" t="str">
            <v/>
          </cell>
          <cell r="BF137" t="str">
            <v/>
          </cell>
          <cell r="BI137">
            <v>0</v>
          </cell>
          <cell r="BJ137">
            <v>0</v>
          </cell>
          <cell r="BK137">
            <v>30</v>
          </cell>
          <cell r="BP137" t="str">
            <v/>
          </cell>
          <cell r="BQ137" t="str">
            <v/>
          </cell>
          <cell r="BR137" t="str">
            <v/>
          </cell>
          <cell r="BS137" t="str">
            <v/>
          </cell>
        </row>
        <row r="138">
          <cell r="B138" t="str">
            <v>INV--9900-120</v>
          </cell>
          <cell r="C138" t="str">
            <v/>
          </cell>
          <cell r="D138" t="e">
            <v>#VALUE!</v>
          </cell>
          <cell r="E138" t="str">
            <v>Jan1900</v>
          </cell>
          <cell r="F138">
            <v>31</v>
          </cell>
          <cell r="G138" t="e">
            <v>#VALUE!</v>
          </cell>
          <cell r="H138">
            <v>1</v>
          </cell>
          <cell r="I138">
            <v>1</v>
          </cell>
          <cell r="J138">
            <v>0</v>
          </cell>
          <cell r="K138" t="str">
            <v>0Jan1900</v>
          </cell>
          <cell r="L138" t="str">
            <v>Buildings</v>
          </cell>
          <cell r="M138" t="str">
            <v>BuildingsJan1900</v>
          </cell>
          <cell r="N138">
            <v>0</v>
          </cell>
          <cell r="O138">
            <v>0</v>
          </cell>
          <cell r="Q138" t="e">
            <v>#VALUE!</v>
          </cell>
          <cell r="R138">
            <v>0</v>
          </cell>
          <cell r="S138" t="str">
            <v>Jan1900</v>
          </cell>
          <cell r="T138" t="str">
            <v>Jan1900</v>
          </cell>
          <cell r="U138" t="e">
            <v>#VALUE!</v>
          </cell>
          <cell r="V138" t="e">
            <v>#VALUE!</v>
          </cell>
          <cell r="W138" t="str">
            <v/>
          </cell>
          <cell r="X138" t="str">
            <v>INV-9900</v>
          </cell>
          <cell r="Y138" t="str">
            <v>Jan</v>
          </cell>
          <cell r="Z138">
            <v>1900</v>
          </cell>
          <cell r="AA138" t="str">
            <v>9900</v>
          </cell>
          <cell r="AB138" t="str">
            <v>9900-120</v>
          </cell>
          <cell r="AC138">
            <v>120</v>
          </cell>
          <cell r="AD138">
            <v>0</v>
          </cell>
          <cell r="AE138">
            <v>0</v>
          </cell>
          <cell r="AF138" t="str">
            <v/>
          </cell>
          <cell r="AG138" t="str">
            <v/>
          </cell>
          <cell r="AH138">
            <v>1</v>
          </cell>
          <cell r="AI138">
            <v>1</v>
          </cell>
          <cell r="AK138" t="str">
            <v>INV--9900-120</v>
          </cell>
          <cell r="AL138">
            <v>0</v>
          </cell>
          <cell r="AN138" t="str">
            <v>INVOICE</v>
          </cell>
          <cell r="AR138" t="str">
            <v/>
          </cell>
          <cell r="AS138" t="str">
            <v/>
          </cell>
          <cell r="AT138" t="str">
            <v/>
          </cell>
          <cell r="AU138" t="str">
            <v/>
          </cell>
          <cell r="AV138" t="str">
            <v/>
          </cell>
          <cell r="AW138" t="str">
            <v/>
          </cell>
          <cell r="AX138" t="str">
            <v/>
          </cell>
          <cell r="AY138" t="str">
            <v/>
          </cell>
          <cell r="AZ138" t="str">
            <v/>
          </cell>
          <cell r="BB138" t="str">
            <v/>
          </cell>
          <cell r="BC138" t="str">
            <v/>
          </cell>
          <cell r="BF138" t="str">
            <v/>
          </cell>
          <cell r="BI138">
            <v>0</v>
          </cell>
          <cell r="BJ138">
            <v>0</v>
          </cell>
          <cell r="BK138">
            <v>30</v>
          </cell>
          <cell r="BP138" t="str">
            <v/>
          </cell>
          <cell r="BQ138" t="str">
            <v/>
          </cell>
          <cell r="BR138" t="str">
            <v/>
          </cell>
          <cell r="BS138" t="str">
            <v/>
          </cell>
        </row>
        <row r="139">
          <cell r="B139" t="str">
            <v>INV--9900-121</v>
          </cell>
          <cell r="C139" t="str">
            <v/>
          </cell>
          <cell r="D139" t="e">
            <v>#VALUE!</v>
          </cell>
          <cell r="E139" t="str">
            <v>Jan1900</v>
          </cell>
          <cell r="F139">
            <v>31</v>
          </cell>
          <cell r="G139" t="e">
            <v>#VALUE!</v>
          </cell>
          <cell r="H139">
            <v>1</v>
          </cell>
          <cell r="I139">
            <v>1</v>
          </cell>
          <cell r="J139">
            <v>0</v>
          </cell>
          <cell r="K139" t="str">
            <v>0Jan1900</v>
          </cell>
          <cell r="L139" t="str">
            <v>Buildings</v>
          </cell>
          <cell r="M139" t="str">
            <v>BuildingsJan1900</v>
          </cell>
          <cell r="N139">
            <v>0</v>
          </cell>
          <cell r="O139">
            <v>0</v>
          </cell>
          <cell r="Q139" t="e">
            <v>#VALUE!</v>
          </cell>
          <cell r="R139">
            <v>0</v>
          </cell>
          <cell r="S139" t="str">
            <v>Jan1900</v>
          </cell>
          <cell r="T139" t="str">
            <v>Jan1900</v>
          </cell>
          <cell r="U139" t="e">
            <v>#VALUE!</v>
          </cell>
          <cell r="V139" t="e">
            <v>#VALUE!</v>
          </cell>
          <cell r="W139" t="str">
            <v/>
          </cell>
          <cell r="X139" t="str">
            <v>INV-9900</v>
          </cell>
          <cell r="Y139" t="str">
            <v>Jan</v>
          </cell>
          <cell r="Z139">
            <v>1900</v>
          </cell>
          <cell r="AA139" t="str">
            <v>9900</v>
          </cell>
          <cell r="AB139" t="str">
            <v>9900-121</v>
          </cell>
          <cell r="AC139">
            <v>121</v>
          </cell>
          <cell r="AD139">
            <v>0</v>
          </cell>
          <cell r="AE139">
            <v>0</v>
          </cell>
          <cell r="AF139" t="str">
            <v/>
          </cell>
          <cell r="AG139" t="str">
            <v/>
          </cell>
          <cell r="AH139">
            <v>1</v>
          </cell>
          <cell r="AI139">
            <v>1</v>
          </cell>
          <cell r="AK139" t="str">
            <v>INV--9900-121</v>
          </cell>
          <cell r="AL139">
            <v>0</v>
          </cell>
          <cell r="AN139" t="str">
            <v>INVOICE</v>
          </cell>
          <cell r="AR139" t="str">
            <v/>
          </cell>
          <cell r="AS139" t="str">
            <v/>
          </cell>
          <cell r="AT139" t="str">
            <v/>
          </cell>
          <cell r="AU139" t="str">
            <v/>
          </cell>
          <cell r="AV139" t="str">
            <v/>
          </cell>
          <cell r="AW139" t="str">
            <v/>
          </cell>
          <cell r="AX139" t="str">
            <v/>
          </cell>
          <cell r="AY139" t="str">
            <v/>
          </cell>
          <cell r="AZ139" t="str">
            <v/>
          </cell>
          <cell r="BB139" t="str">
            <v/>
          </cell>
          <cell r="BC139" t="str">
            <v/>
          </cell>
          <cell r="BF139" t="str">
            <v/>
          </cell>
          <cell r="BI139">
            <v>0</v>
          </cell>
          <cell r="BJ139">
            <v>0</v>
          </cell>
          <cell r="BK139">
            <v>30</v>
          </cell>
          <cell r="BP139" t="str">
            <v/>
          </cell>
          <cell r="BQ139" t="str">
            <v/>
          </cell>
          <cell r="BR139" t="str">
            <v/>
          </cell>
          <cell r="BS139" t="str">
            <v/>
          </cell>
        </row>
        <row r="140">
          <cell r="B140" t="str">
            <v>INV--9900-122</v>
          </cell>
          <cell r="C140" t="str">
            <v/>
          </cell>
          <cell r="D140" t="e">
            <v>#VALUE!</v>
          </cell>
          <cell r="E140" t="str">
            <v>Jan1900</v>
          </cell>
          <cell r="F140">
            <v>31</v>
          </cell>
          <cell r="G140" t="e">
            <v>#VALUE!</v>
          </cell>
          <cell r="H140">
            <v>1</v>
          </cell>
          <cell r="I140">
            <v>1</v>
          </cell>
          <cell r="J140">
            <v>0</v>
          </cell>
          <cell r="K140" t="str">
            <v>0Jan1900</v>
          </cell>
          <cell r="L140" t="str">
            <v>Buildings</v>
          </cell>
          <cell r="M140" t="str">
            <v>BuildingsJan1900</v>
          </cell>
          <cell r="N140">
            <v>0</v>
          </cell>
          <cell r="O140">
            <v>0</v>
          </cell>
          <cell r="Q140" t="e">
            <v>#VALUE!</v>
          </cell>
          <cell r="R140">
            <v>0</v>
          </cell>
          <cell r="S140" t="str">
            <v>Jan1900</v>
          </cell>
          <cell r="T140" t="str">
            <v>Jan1900</v>
          </cell>
          <cell r="U140" t="e">
            <v>#VALUE!</v>
          </cell>
          <cell r="V140" t="e">
            <v>#VALUE!</v>
          </cell>
          <cell r="W140" t="str">
            <v/>
          </cell>
          <cell r="X140" t="str">
            <v>INV-9900</v>
          </cell>
          <cell r="Y140" t="str">
            <v>Jan</v>
          </cell>
          <cell r="Z140">
            <v>1900</v>
          </cell>
          <cell r="AA140" t="str">
            <v>9900</v>
          </cell>
          <cell r="AB140" t="str">
            <v>9900-122</v>
          </cell>
          <cell r="AC140">
            <v>122</v>
          </cell>
          <cell r="AD140">
            <v>0</v>
          </cell>
          <cell r="AE140">
            <v>0</v>
          </cell>
          <cell r="AF140" t="str">
            <v/>
          </cell>
          <cell r="AG140" t="str">
            <v/>
          </cell>
          <cell r="AH140">
            <v>1</v>
          </cell>
          <cell r="AI140">
            <v>1</v>
          </cell>
          <cell r="AK140" t="str">
            <v>INV--9900-122</v>
          </cell>
          <cell r="AL140">
            <v>0</v>
          </cell>
          <cell r="AN140" t="str">
            <v>INVOICE</v>
          </cell>
          <cell r="AR140" t="str">
            <v/>
          </cell>
          <cell r="AS140" t="str">
            <v/>
          </cell>
          <cell r="AT140" t="str">
            <v/>
          </cell>
          <cell r="AU140" t="str">
            <v/>
          </cell>
          <cell r="AV140" t="str">
            <v/>
          </cell>
          <cell r="AW140" t="str">
            <v/>
          </cell>
          <cell r="AX140" t="str">
            <v/>
          </cell>
          <cell r="AY140" t="str">
            <v/>
          </cell>
          <cell r="AZ140" t="str">
            <v/>
          </cell>
          <cell r="BB140" t="str">
            <v/>
          </cell>
          <cell r="BC140" t="str">
            <v/>
          </cell>
          <cell r="BF140" t="str">
            <v/>
          </cell>
          <cell r="BI140">
            <v>0</v>
          </cell>
          <cell r="BJ140">
            <v>0</v>
          </cell>
          <cell r="BK140">
            <v>30</v>
          </cell>
          <cell r="BP140" t="str">
            <v/>
          </cell>
          <cell r="BQ140" t="str">
            <v/>
          </cell>
          <cell r="BR140" t="str">
            <v/>
          </cell>
          <cell r="BS140" t="str">
            <v/>
          </cell>
        </row>
        <row r="141">
          <cell r="B141" t="str">
            <v>INV--9900-123</v>
          </cell>
          <cell r="C141" t="str">
            <v/>
          </cell>
          <cell r="D141" t="e">
            <v>#VALUE!</v>
          </cell>
          <cell r="E141" t="str">
            <v>Jan1900</v>
          </cell>
          <cell r="F141">
            <v>31</v>
          </cell>
          <cell r="G141" t="e">
            <v>#VALUE!</v>
          </cell>
          <cell r="H141">
            <v>1</v>
          </cell>
          <cell r="I141">
            <v>1</v>
          </cell>
          <cell r="J141">
            <v>0</v>
          </cell>
          <cell r="K141" t="str">
            <v>0Jan1900</v>
          </cell>
          <cell r="L141" t="str">
            <v>Buildings</v>
          </cell>
          <cell r="M141" t="str">
            <v>BuildingsJan1900</v>
          </cell>
          <cell r="N141">
            <v>0</v>
          </cell>
          <cell r="O141">
            <v>0</v>
          </cell>
          <cell r="Q141" t="e">
            <v>#VALUE!</v>
          </cell>
          <cell r="R141">
            <v>0</v>
          </cell>
          <cell r="S141" t="str">
            <v>Jan1900</v>
          </cell>
          <cell r="T141" t="str">
            <v>Jan1900</v>
          </cell>
          <cell r="U141" t="e">
            <v>#VALUE!</v>
          </cell>
          <cell r="V141" t="e">
            <v>#VALUE!</v>
          </cell>
          <cell r="W141" t="str">
            <v/>
          </cell>
          <cell r="X141" t="str">
            <v>INV-9900</v>
          </cell>
          <cell r="Y141" t="str">
            <v>Jan</v>
          </cell>
          <cell r="Z141">
            <v>1900</v>
          </cell>
          <cell r="AA141" t="str">
            <v>9900</v>
          </cell>
          <cell r="AB141" t="str">
            <v>9900-123</v>
          </cell>
          <cell r="AC141">
            <v>123</v>
          </cell>
          <cell r="AD141">
            <v>0</v>
          </cell>
          <cell r="AE141">
            <v>0</v>
          </cell>
          <cell r="AF141" t="str">
            <v/>
          </cell>
          <cell r="AG141" t="str">
            <v/>
          </cell>
          <cell r="AH141">
            <v>1</v>
          </cell>
          <cell r="AI141">
            <v>1</v>
          </cell>
          <cell r="AK141" t="str">
            <v>INV--9900-123</v>
          </cell>
          <cell r="AL141">
            <v>0</v>
          </cell>
          <cell r="AN141" t="str">
            <v>INVOICE</v>
          </cell>
          <cell r="AR141" t="str">
            <v/>
          </cell>
          <cell r="AS141" t="str">
            <v/>
          </cell>
          <cell r="AT141" t="str">
            <v/>
          </cell>
          <cell r="AU141" t="str">
            <v/>
          </cell>
          <cell r="AV141" t="str">
            <v/>
          </cell>
          <cell r="AW141" t="str">
            <v/>
          </cell>
          <cell r="AX141" t="str">
            <v/>
          </cell>
          <cell r="AY141" t="str">
            <v/>
          </cell>
          <cell r="AZ141" t="str">
            <v/>
          </cell>
          <cell r="BB141" t="str">
            <v/>
          </cell>
          <cell r="BC141" t="str">
            <v/>
          </cell>
          <cell r="BF141" t="str">
            <v/>
          </cell>
          <cell r="BI141">
            <v>0</v>
          </cell>
          <cell r="BJ141">
            <v>0</v>
          </cell>
          <cell r="BK141">
            <v>30</v>
          </cell>
          <cell r="BP141" t="str">
            <v/>
          </cell>
          <cell r="BQ141" t="str">
            <v/>
          </cell>
          <cell r="BR141" t="str">
            <v/>
          </cell>
          <cell r="BS141" t="str">
            <v/>
          </cell>
        </row>
        <row r="142">
          <cell r="B142" t="str">
            <v>INV--9900-124</v>
          </cell>
          <cell r="C142" t="str">
            <v/>
          </cell>
          <cell r="D142" t="e">
            <v>#VALUE!</v>
          </cell>
          <cell r="E142" t="str">
            <v>Jan1900</v>
          </cell>
          <cell r="F142">
            <v>31</v>
          </cell>
          <cell r="G142" t="e">
            <v>#VALUE!</v>
          </cell>
          <cell r="H142">
            <v>1</v>
          </cell>
          <cell r="I142">
            <v>1</v>
          </cell>
          <cell r="J142">
            <v>0</v>
          </cell>
          <cell r="K142" t="str">
            <v>0Jan1900</v>
          </cell>
          <cell r="L142" t="str">
            <v>Buildings</v>
          </cell>
          <cell r="M142" t="str">
            <v>BuildingsJan1900</v>
          </cell>
          <cell r="N142">
            <v>0</v>
          </cell>
          <cell r="O142">
            <v>0</v>
          </cell>
          <cell r="Q142" t="e">
            <v>#VALUE!</v>
          </cell>
          <cell r="R142">
            <v>0</v>
          </cell>
          <cell r="S142" t="str">
            <v>Jan1900</v>
          </cell>
          <cell r="T142" t="str">
            <v>Jan1900</v>
          </cell>
          <cell r="U142" t="e">
            <v>#VALUE!</v>
          </cell>
          <cell r="V142" t="e">
            <v>#VALUE!</v>
          </cell>
          <cell r="W142" t="str">
            <v/>
          </cell>
          <cell r="X142" t="str">
            <v>INV-9900</v>
          </cell>
          <cell r="Y142" t="str">
            <v>Jan</v>
          </cell>
          <cell r="Z142">
            <v>1900</v>
          </cell>
          <cell r="AA142" t="str">
            <v>9900</v>
          </cell>
          <cell r="AB142" t="str">
            <v>9900-124</v>
          </cell>
          <cell r="AC142">
            <v>124</v>
          </cell>
          <cell r="AD142">
            <v>0</v>
          </cell>
          <cell r="AE142">
            <v>0</v>
          </cell>
          <cell r="AF142" t="str">
            <v/>
          </cell>
          <cell r="AG142" t="str">
            <v/>
          </cell>
          <cell r="AH142">
            <v>1</v>
          </cell>
          <cell r="AI142">
            <v>1</v>
          </cell>
          <cell r="AK142" t="str">
            <v>INV--9900-124</v>
          </cell>
          <cell r="AL142">
            <v>0</v>
          </cell>
          <cell r="AN142" t="str">
            <v>INVOICE</v>
          </cell>
          <cell r="AR142" t="str">
            <v/>
          </cell>
          <cell r="AS142" t="str">
            <v/>
          </cell>
          <cell r="AT142" t="str">
            <v/>
          </cell>
          <cell r="AU142" t="str">
            <v/>
          </cell>
          <cell r="AV142" t="str">
            <v/>
          </cell>
          <cell r="AW142" t="str">
            <v/>
          </cell>
          <cell r="AX142" t="str">
            <v/>
          </cell>
          <cell r="AY142" t="str">
            <v/>
          </cell>
          <cell r="AZ142" t="str">
            <v/>
          </cell>
          <cell r="BB142" t="str">
            <v/>
          </cell>
          <cell r="BC142" t="str">
            <v/>
          </cell>
          <cell r="BF142" t="str">
            <v/>
          </cell>
          <cell r="BI142">
            <v>0</v>
          </cell>
          <cell r="BJ142">
            <v>0</v>
          </cell>
          <cell r="BK142">
            <v>30</v>
          </cell>
          <cell r="BP142" t="str">
            <v/>
          </cell>
          <cell r="BQ142" t="str">
            <v/>
          </cell>
          <cell r="BR142" t="str">
            <v/>
          </cell>
          <cell r="BS142" t="str">
            <v/>
          </cell>
        </row>
        <row r="143">
          <cell r="B143" t="str">
            <v>INV--9900-125</v>
          </cell>
          <cell r="C143" t="str">
            <v/>
          </cell>
          <cell r="D143" t="e">
            <v>#VALUE!</v>
          </cell>
          <cell r="E143" t="str">
            <v>Jan1900</v>
          </cell>
          <cell r="F143">
            <v>31</v>
          </cell>
          <cell r="G143" t="e">
            <v>#VALUE!</v>
          </cell>
          <cell r="H143">
            <v>1</v>
          </cell>
          <cell r="I143">
            <v>1</v>
          </cell>
          <cell r="J143">
            <v>0</v>
          </cell>
          <cell r="K143" t="str">
            <v>0Jan1900</v>
          </cell>
          <cell r="L143" t="str">
            <v>Buildings</v>
          </cell>
          <cell r="M143" t="str">
            <v>BuildingsJan1900</v>
          </cell>
          <cell r="N143">
            <v>0</v>
          </cell>
          <cell r="O143">
            <v>0</v>
          </cell>
          <cell r="Q143" t="e">
            <v>#VALUE!</v>
          </cell>
          <cell r="R143">
            <v>0</v>
          </cell>
          <cell r="S143" t="str">
            <v>Jan1900</v>
          </cell>
          <cell r="T143" t="str">
            <v>Jan1900</v>
          </cell>
          <cell r="U143" t="e">
            <v>#VALUE!</v>
          </cell>
          <cell r="V143" t="e">
            <v>#VALUE!</v>
          </cell>
          <cell r="W143" t="str">
            <v/>
          </cell>
          <cell r="X143" t="str">
            <v>INV-9900</v>
          </cell>
          <cell r="Y143" t="str">
            <v>Jan</v>
          </cell>
          <cell r="Z143">
            <v>1900</v>
          </cell>
          <cell r="AA143" t="str">
            <v>9900</v>
          </cell>
          <cell r="AB143" t="str">
            <v>9900-125</v>
          </cell>
          <cell r="AC143">
            <v>125</v>
          </cell>
          <cell r="AD143">
            <v>0</v>
          </cell>
          <cell r="AE143">
            <v>0</v>
          </cell>
          <cell r="AF143" t="str">
            <v/>
          </cell>
          <cell r="AG143" t="str">
            <v/>
          </cell>
          <cell r="AH143">
            <v>1</v>
          </cell>
          <cell r="AI143">
            <v>1</v>
          </cell>
          <cell r="AK143" t="str">
            <v>INV--9900-125</v>
          </cell>
          <cell r="AL143">
            <v>0</v>
          </cell>
          <cell r="AN143" t="str">
            <v>INVOICE</v>
          </cell>
          <cell r="AR143" t="str">
            <v/>
          </cell>
          <cell r="AS143" t="str">
            <v/>
          </cell>
          <cell r="AT143" t="str">
            <v/>
          </cell>
          <cell r="AU143" t="str">
            <v/>
          </cell>
          <cell r="AV143" t="str">
            <v/>
          </cell>
          <cell r="AW143" t="str">
            <v/>
          </cell>
          <cell r="AX143" t="str">
            <v/>
          </cell>
          <cell r="AY143" t="str">
            <v/>
          </cell>
          <cell r="AZ143" t="str">
            <v/>
          </cell>
          <cell r="BB143" t="str">
            <v/>
          </cell>
          <cell r="BC143" t="str">
            <v/>
          </cell>
          <cell r="BF143" t="str">
            <v/>
          </cell>
          <cell r="BI143">
            <v>0</v>
          </cell>
          <cell r="BJ143">
            <v>0</v>
          </cell>
          <cell r="BK143">
            <v>30</v>
          </cell>
          <cell r="BP143" t="str">
            <v/>
          </cell>
          <cell r="BQ143" t="str">
            <v/>
          </cell>
          <cell r="BR143" t="str">
            <v/>
          </cell>
          <cell r="BS143" t="str">
            <v/>
          </cell>
        </row>
        <row r="144">
          <cell r="B144" t="str">
            <v>INV--9900-126</v>
          </cell>
          <cell r="C144" t="str">
            <v/>
          </cell>
          <cell r="D144" t="e">
            <v>#VALUE!</v>
          </cell>
          <cell r="E144" t="str">
            <v>Jan1900</v>
          </cell>
          <cell r="F144">
            <v>31</v>
          </cell>
          <cell r="G144" t="e">
            <v>#VALUE!</v>
          </cell>
          <cell r="H144">
            <v>1</v>
          </cell>
          <cell r="I144">
            <v>1</v>
          </cell>
          <cell r="J144">
            <v>0</v>
          </cell>
          <cell r="K144" t="str">
            <v>0Jan1900</v>
          </cell>
          <cell r="L144" t="str">
            <v>Buildings</v>
          </cell>
          <cell r="M144" t="str">
            <v>BuildingsJan1900</v>
          </cell>
          <cell r="N144">
            <v>0</v>
          </cell>
          <cell r="O144">
            <v>0</v>
          </cell>
          <cell r="Q144" t="e">
            <v>#VALUE!</v>
          </cell>
          <cell r="R144">
            <v>0</v>
          </cell>
          <cell r="S144" t="str">
            <v>Jan1900</v>
          </cell>
          <cell r="T144" t="str">
            <v>Jan1900</v>
          </cell>
          <cell r="U144" t="e">
            <v>#VALUE!</v>
          </cell>
          <cell r="V144" t="e">
            <v>#VALUE!</v>
          </cell>
          <cell r="W144" t="str">
            <v/>
          </cell>
          <cell r="X144" t="str">
            <v>INV-9900</v>
          </cell>
          <cell r="Y144" t="str">
            <v>Jan</v>
          </cell>
          <cell r="Z144">
            <v>1900</v>
          </cell>
          <cell r="AA144" t="str">
            <v>9900</v>
          </cell>
          <cell r="AB144" t="str">
            <v>9900-126</v>
          </cell>
          <cell r="AC144">
            <v>126</v>
          </cell>
          <cell r="AD144">
            <v>0</v>
          </cell>
          <cell r="AE144">
            <v>0</v>
          </cell>
          <cell r="AF144" t="str">
            <v/>
          </cell>
          <cell r="AG144" t="str">
            <v/>
          </cell>
          <cell r="AH144">
            <v>1</v>
          </cell>
          <cell r="AI144">
            <v>1</v>
          </cell>
          <cell r="AK144" t="str">
            <v>INV--9900-126</v>
          </cell>
          <cell r="AL144">
            <v>0</v>
          </cell>
          <cell r="AN144" t="str">
            <v>INVOICE</v>
          </cell>
          <cell r="AR144" t="str">
            <v/>
          </cell>
          <cell r="AS144" t="str">
            <v/>
          </cell>
          <cell r="AT144" t="str">
            <v/>
          </cell>
          <cell r="AU144" t="str">
            <v/>
          </cell>
          <cell r="AV144" t="str">
            <v/>
          </cell>
          <cell r="AW144" t="str">
            <v/>
          </cell>
          <cell r="AX144" t="str">
            <v/>
          </cell>
          <cell r="AY144" t="str">
            <v/>
          </cell>
          <cell r="AZ144" t="str">
            <v/>
          </cell>
          <cell r="BB144" t="str">
            <v/>
          </cell>
          <cell r="BC144" t="str">
            <v/>
          </cell>
          <cell r="BF144" t="str">
            <v/>
          </cell>
          <cell r="BI144">
            <v>0</v>
          </cell>
          <cell r="BJ144">
            <v>0</v>
          </cell>
          <cell r="BK144">
            <v>30</v>
          </cell>
          <cell r="BP144" t="str">
            <v/>
          </cell>
          <cell r="BQ144" t="str">
            <v/>
          </cell>
          <cell r="BR144" t="str">
            <v/>
          </cell>
          <cell r="BS144" t="str">
            <v/>
          </cell>
        </row>
        <row r="145">
          <cell r="B145" t="str">
            <v>INV--9900-127</v>
          </cell>
          <cell r="C145" t="str">
            <v/>
          </cell>
          <cell r="D145" t="e">
            <v>#VALUE!</v>
          </cell>
          <cell r="E145" t="str">
            <v>Jan1900</v>
          </cell>
          <cell r="F145">
            <v>31</v>
          </cell>
          <cell r="G145" t="e">
            <v>#VALUE!</v>
          </cell>
          <cell r="H145">
            <v>1</v>
          </cell>
          <cell r="I145">
            <v>1</v>
          </cell>
          <cell r="J145">
            <v>0</v>
          </cell>
          <cell r="K145" t="str">
            <v>0Jan1900</v>
          </cell>
          <cell r="L145" t="str">
            <v>Buildings</v>
          </cell>
          <cell r="M145" t="str">
            <v>BuildingsJan1900</v>
          </cell>
          <cell r="N145">
            <v>0</v>
          </cell>
          <cell r="O145">
            <v>0</v>
          </cell>
          <cell r="Q145" t="e">
            <v>#VALUE!</v>
          </cell>
          <cell r="R145">
            <v>0</v>
          </cell>
          <cell r="S145" t="str">
            <v>Jan1900</v>
          </cell>
          <cell r="T145" t="str">
            <v>Jan1900</v>
          </cell>
          <cell r="U145" t="e">
            <v>#VALUE!</v>
          </cell>
          <cell r="V145" t="e">
            <v>#VALUE!</v>
          </cell>
          <cell r="W145" t="str">
            <v/>
          </cell>
          <cell r="X145" t="str">
            <v>INV-9900</v>
          </cell>
          <cell r="Y145" t="str">
            <v>Jan</v>
          </cell>
          <cell r="Z145">
            <v>1900</v>
          </cell>
          <cell r="AA145" t="str">
            <v>9900</v>
          </cell>
          <cell r="AB145" t="str">
            <v>9900-127</v>
          </cell>
          <cell r="AC145">
            <v>127</v>
          </cell>
          <cell r="AD145">
            <v>0</v>
          </cell>
          <cell r="AE145">
            <v>0</v>
          </cell>
          <cell r="AF145" t="str">
            <v/>
          </cell>
          <cell r="AG145" t="str">
            <v/>
          </cell>
          <cell r="AH145">
            <v>1</v>
          </cell>
          <cell r="AI145">
            <v>1</v>
          </cell>
          <cell r="AK145" t="str">
            <v>INV--9900-127</v>
          </cell>
          <cell r="AL145">
            <v>0</v>
          </cell>
          <cell r="AN145" t="str">
            <v>INVOICE</v>
          </cell>
          <cell r="AR145" t="str">
            <v/>
          </cell>
          <cell r="AS145" t="str">
            <v/>
          </cell>
          <cell r="AT145" t="str">
            <v/>
          </cell>
          <cell r="AU145" t="str">
            <v/>
          </cell>
          <cell r="AV145" t="str">
            <v/>
          </cell>
          <cell r="AW145" t="str">
            <v/>
          </cell>
          <cell r="AX145" t="str">
            <v/>
          </cell>
          <cell r="AY145" t="str">
            <v/>
          </cell>
          <cell r="AZ145" t="str">
            <v/>
          </cell>
          <cell r="BB145" t="str">
            <v/>
          </cell>
          <cell r="BC145" t="str">
            <v/>
          </cell>
          <cell r="BF145" t="str">
            <v/>
          </cell>
          <cell r="BI145">
            <v>0</v>
          </cell>
          <cell r="BJ145">
            <v>0</v>
          </cell>
          <cell r="BK145">
            <v>30</v>
          </cell>
          <cell r="BP145" t="str">
            <v/>
          </cell>
          <cell r="BQ145" t="str">
            <v/>
          </cell>
          <cell r="BR145" t="str">
            <v/>
          </cell>
          <cell r="BS145" t="str">
            <v/>
          </cell>
        </row>
        <row r="146">
          <cell r="B146" t="str">
            <v>INV--9900-128</v>
          </cell>
          <cell r="C146" t="str">
            <v/>
          </cell>
          <cell r="D146" t="e">
            <v>#VALUE!</v>
          </cell>
          <cell r="E146" t="str">
            <v>Jan1900</v>
          </cell>
          <cell r="F146">
            <v>31</v>
          </cell>
          <cell r="G146" t="e">
            <v>#VALUE!</v>
          </cell>
          <cell r="H146">
            <v>1</v>
          </cell>
          <cell r="I146">
            <v>1</v>
          </cell>
          <cell r="J146">
            <v>0</v>
          </cell>
          <cell r="K146" t="str">
            <v>0Jan1900</v>
          </cell>
          <cell r="L146" t="str">
            <v>Buildings</v>
          </cell>
          <cell r="M146" t="str">
            <v>BuildingsJan1900</v>
          </cell>
          <cell r="N146">
            <v>0</v>
          </cell>
          <cell r="O146">
            <v>0</v>
          </cell>
          <cell r="Q146" t="e">
            <v>#VALUE!</v>
          </cell>
          <cell r="R146">
            <v>0</v>
          </cell>
          <cell r="S146" t="str">
            <v>Jan1900</v>
          </cell>
          <cell r="T146" t="str">
            <v>Jan1900</v>
          </cell>
          <cell r="U146" t="e">
            <v>#VALUE!</v>
          </cell>
          <cell r="V146" t="e">
            <v>#VALUE!</v>
          </cell>
          <cell r="W146" t="str">
            <v/>
          </cell>
          <cell r="X146" t="str">
            <v>INV-9900</v>
          </cell>
          <cell r="Y146" t="str">
            <v>Jan</v>
          </cell>
          <cell r="Z146">
            <v>1900</v>
          </cell>
          <cell r="AA146" t="str">
            <v>9900</v>
          </cell>
          <cell r="AB146" t="str">
            <v>9900-128</v>
          </cell>
          <cell r="AC146">
            <v>128</v>
          </cell>
          <cell r="AD146">
            <v>0</v>
          </cell>
          <cell r="AE146">
            <v>0</v>
          </cell>
          <cell r="AF146" t="str">
            <v/>
          </cell>
          <cell r="AG146" t="str">
            <v/>
          </cell>
          <cell r="AH146">
            <v>1</v>
          </cell>
          <cell r="AI146">
            <v>1</v>
          </cell>
          <cell r="AK146" t="str">
            <v>INV--9900-128</v>
          </cell>
          <cell r="AL146">
            <v>0</v>
          </cell>
          <cell r="AN146" t="str">
            <v>INVOICE</v>
          </cell>
          <cell r="AR146" t="str">
            <v/>
          </cell>
          <cell r="AS146" t="str">
            <v/>
          </cell>
          <cell r="AT146" t="str">
            <v/>
          </cell>
          <cell r="AU146" t="str">
            <v/>
          </cell>
          <cell r="AV146" t="str">
            <v/>
          </cell>
          <cell r="AW146" t="str">
            <v/>
          </cell>
          <cell r="AX146" t="str">
            <v/>
          </cell>
          <cell r="AY146" t="str">
            <v/>
          </cell>
          <cell r="AZ146" t="str">
            <v/>
          </cell>
          <cell r="BB146" t="str">
            <v/>
          </cell>
          <cell r="BC146" t="str">
            <v/>
          </cell>
          <cell r="BF146" t="str">
            <v/>
          </cell>
          <cell r="BI146">
            <v>0</v>
          </cell>
          <cell r="BJ146">
            <v>0</v>
          </cell>
          <cell r="BK146">
            <v>30</v>
          </cell>
          <cell r="BP146" t="str">
            <v/>
          </cell>
          <cell r="BQ146" t="str">
            <v/>
          </cell>
          <cell r="BR146" t="str">
            <v/>
          </cell>
          <cell r="BS146" t="str">
            <v/>
          </cell>
        </row>
        <row r="147">
          <cell r="B147" t="str">
            <v>INV--9900-129</v>
          </cell>
          <cell r="C147" t="str">
            <v/>
          </cell>
          <cell r="D147" t="e">
            <v>#VALUE!</v>
          </cell>
          <cell r="E147" t="str">
            <v>Jan1900</v>
          </cell>
          <cell r="F147">
            <v>31</v>
          </cell>
          <cell r="G147" t="e">
            <v>#VALUE!</v>
          </cell>
          <cell r="H147">
            <v>1</v>
          </cell>
          <cell r="I147">
            <v>1</v>
          </cell>
          <cell r="J147">
            <v>0</v>
          </cell>
          <cell r="K147" t="str">
            <v>0Jan1900</v>
          </cell>
          <cell r="L147" t="str">
            <v>Buildings</v>
          </cell>
          <cell r="M147" t="str">
            <v>BuildingsJan1900</v>
          </cell>
          <cell r="N147">
            <v>0</v>
          </cell>
          <cell r="O147">
            <v>0</v>
          </cell>
          <cell r="Q147" t="e">
            <v>#VALUE!</v>
          </cell>
          <cell r="R147">
            <v>0</v>
          </cell>
          <cell r="S147" t="str">
            <v>Jan1900</v>
          </cell>
          <cell r="T147" t="str">
            <v>Jan1900</v>
          </cell>
          <cell r="U147" t="e">
            <v>#VALUE!</v>
          </cell>
          <cell r="V147" t="e">
            <v>#VALUE!</v>
          </cell>
          <cell r="W147" t="str">
            <v/>
          </cell>
          <cell r="X147" t="str">
            <v>INV-9900</v>
          </cell>
          <cell r="Y147" t="str">
            <v>Jan</v>
          </cell>
          <cell r="Z147">
            <v>1900</v>
          </cell>
          <cell r="AA147" t="str">
            <v>9900</v>
          </cell>
          <cell r="AB147" t="str">
            <v>9900-129</v>
          </cell>
          <cell r="AC147">
            <v>129</v>
          </cell>
          <cell r="AD147">
            <v>0</v>
          </cell>
          <cell r="AE147">
            <v>0</v>
          </cell>
          <cell r="AF147" t="str">
            <v/>
          </cell>
          <cell r="AG147" t="str">
            <v/>
          </cell>
          <cell r="AH147">
            <v>1</v>
          </cell>
          <cell r="AI147">
            <v>1</v>
          </cell>
          <cell r="AK147" t="str">
            <v>INV--9900-129</v>
          </cell>
          <cell r="AL147">
            <v>0</v>
          </cell>
          <cell r="AN147" t="str">
            <v>INVOICE</v>
          </cell>
          <cell r="AR147" t="str">
            <v/>
          </cell>
          <cell r="AS147" t="str">
            <v/>
          </cell>
          <cell r="AT147" t="str">
            <v/>
          </cell>
          <cell r="AU147" t="str">
            <v/>
          </cell>
          <cell r="AV147" t="str">
            <v/>
          </cell>
          <cell r="AW147" t="str">
            <v/>
          </cell>
          <cell r="AX147" t="str">
            <v/>
          </cell>
          <cell r="AY147" t="str">
            <v/>
          </cell>
          <cell r="AZ147" t="str">
            <v/>
          </cell>
          <cell r="BB147" t="str">
            <v/>
          </cell>
          <cell r="BC147" t="str">
            <v/>
          </cell>
          <cell r="BF147" t="str">
            <v/>
          </cell>
          <cell r="BI147">
            <v>0</v>
          </cell>
          <cell r="BJ147">
            <v>0</v>
          </cell>
          <cell r="BK147">
            <v>30</v>
          </cell>
          <cell r="BP147" t="str">
            <v/>
          </cell>
          <cell r="BQ147" t="str">
            <v/>
          </cell>
          <cell r="BR147" t="str">
            <v/>
          </cell>
          <cell r="BS147" t="str">
            <v/>
          </cell>
        </row>
        <row r="148">
          <cell r="B148" t="str">
            <v>INV--9900-130</v>
          </cell>
          <cell r="C148" t="str">
            <v/>
          </cell>
          <cell r="D148" t="e">
            <v>#VALUE!</v>
          </cell>
          <cell r="E148" t="str">
            <v>Jan1900</v>
          </cell>
          <cell r="F148">
            <v>31</v>
          </cell>
          <cell r="G148" t="e">
            <v>#VALUE!</v>
          </cell>
          <cell r="H148">
            <v>1</v>
          </cell>
          <cell r="I148">
            <v>1</v>
          </cell>
          <cell r="J148">
            <v>0</v>
          </cell>
          <cell r="K148" t="str">
            <v>0Jan1900</v>
          </cell>
          <cell r="L148" t="str">
            <v>Buildings</v>
          </cell>
          <cell r="M148" t="str">
            <v>BuildingsJan1900</v>
          </cell>
          <cell r="N148">
            <v>0</v>
          </cell>
          <cell r="O148">
            <v>0</v>
          </cell>
          <cell r="Q148" t="e">
            <v>#VALUE!</v>
          </cell>
          <cell r="R148">
            <v>0</v>
          </cell>
          <cell r="S148" t="str">
            <v>Jan1900</v>
          </cell>
          <cell r="T148" t="str">
            <v>Jan1900</v>
          </cell>
          <cell r="U148" t="e">
            <v>#VALUE!</v>
          </cell>
          <cell r="V148" t="e">
            <v>#VALUE!</v>
          </cell>
          <cell r="W148" t="str">
            <v/>
          </cell>
          <cell r="X148" t="str">
            <v>INV-9900</v>
          </cell>
          <cell r="Y148" t="str">
            <v>Jan</v>
          </cell>
          <cell r="Z148">
            <v>1900</v>
          </cell>
          <cell r="AA148" t="str">
            <v>9900</v>
          </cell>
          <cell r="AB148" t="str">
            <v>9900-130</v>
          </cell>
          <cell r="AC148">
            <v>130</v>
          </cell>
          <cell r="AD148">
            <v>0</v>
          </cell>
          <cell r="AE148">
            <v>0</v>
          </cell>
          <cell r="AF148" t="str">
            <v/>
          </cell>
          <cell r="AG148" t="str">
            <v/>
          </cell>
          <cell r="AH148">
            <v>1</v>
          </cell>
          <cell r="AI148">
            <v>1</v>
          </cell>
          <cell r="AK148" t="str">
            <v>INV--9900-130</v>
          </cell>
          <cell r="AL148">
            <v>0</v>
          </cell>
          <cell r="AN148" t="str">
            <v>INVOICE</v>
          </cell>
          <cell r="AR148" t="str">
            <v/>
          </cell>
          <cell r="AS148" t="str">
            <v/>
          </cell>
          <cell r="AT148" t="str">
            <v/>
          </cell>
          <cell r="AU148" t="str">
            <v/>
          </cell>
          <cell r="AV148" t="str">
            <v/>
          </cell>
          <cell r="AW148" t="str">
            <v/>
          </cell>
          <cell r="AX148" t="str">
            <v/>
          </cell>
          <cell r="AY148" t="str">
            <v/>
          </cell>
          <cell r="AZ148" t="str">
            <v/>
          </cell>
          <cell r="BB148" t="str">
            <v/>
          </cell>
          <cell r="BC148" t="str">
            <v/>
          </cell>
          <cell r="BF148" t="str">
            <v/>
          </cell>
          <cell r="BI148">
            <v>0</v>
          </cell>
          <cell r="BJ148">
            <v>0</v>
          </cell>
          <cell r="BK148">
            <v>30</v>
          </cell>
          <cell r="BP148" t="str">
            <v/>
          </cell>
          <cell r="BQ148" t="str">
            <v/>
          </cell>
          <cell r="BR148" t="str">
            <v/>
          </cell>
          <cell r="BS148" t="str">
            <v/>
          </cell>
        </row>
        <row r="149">
          <cell r="B149" t="str">
            <v>INV--9900-131</v>
          </cell>
          <cell r="C149" t="str">
            <v/>
          </cell>
          <cell r="D149" t="e">
            <v>#VALUE!</v>
          </cell>
          <cell r="E149" t="str">
            <v>Jan1900</v>
          </cell>
          <cell r="F149">
            <v>31</v>
          </cell>
          <cell r="G149" t="e">
            <v>#VALUE!</v>
          </cell>
          <cell r="H149">
            <v>1</v>
          </cell>
          <cell r="I149">
            <v>1</v>
          </cell>
          <cell r="J149">
            <v>0</v>
          </cell>
          <cell r="K149" t="str">
            <v>0Jan1900</v>
          </cell>
          <cell r="L149" t="str">
            <v>Buildings</v>
          </cell>
          <cell r="M149" t="str">
            <v>BuildingsJan1900</v>
          </cell>
          <cell r="N149">
            <v>0</v>
          </cell>
          <cell r="O149">
            <v>0</v>
          </cell>
          <cell r="Q149" t="e">
            <v>#VALUE!</v>
          </cell>
          <cell r="R149">
            <v>0</v>
          </cell>
          <cell r="S149" t="str">
            <v>Jan1900</v>
          </cell>
          <cell r="T149" t="str">
            <v>Jan1900</v>
          </cell>
          <cell r="U149" t="e">
            <v>#VALUE!</v>
          </cell>
          <cell r="V149" t="e">
            <v>#VALUE!</v>
          </cell>
          <cell r="W149" t="str">
            <v/>
          </cell>
          <cell r="X149" t="str">
            <v>INV-9900</v>
          </cell>
          <cell r="Y149" t="str">
            <v>Jan</v>
          </cell>
          <cell r="Z149">
            <v>1900</v>
          </cell>
          <cell r="AA149" t="str">
            <v>9900</v>
          </cell>
          <cell r="AB149" t="str">
            <v>9900-131</v>
          </cell>
          <cell r="AC149">
            <v>131</v>
          </cell>
          <cell r="AD149">
            <v>0</v>
          </cell>
          <cell r="AE149">
            <v>0</v>
          </cell>
          <cell r="AF149" t="str">
            <v/>
          </cell>
          <cell r="AG149" t="str">
            <v/>
          </cell>
          <cell r="AH149">
            <v>1</v>
          </cell>
          <cell r="AI149">
            <v>1</v>
          </cell>
          <cell r="AK149" t="str">
            <v>INV--9900-131</v>
          </cell>
          <cell r="AL149">
            <v>0</v>
          </cell>
          <cell r="AN149" t="str">
            <v>INVOICE</v>
          </cell>
          <cell r="AR149" t="str">
            <v/>
          </cell>
          <cell r="AS149" t="str">
            <v/>
          </cell>
          <cell r="AT149" t="str">
            <v/>
          </cell>
          <cell r="AU149" t="str">
            <v/>
          </cell>
          <cell r="AV149" t="str">
            <v/>
          </cell>
          <cell r="AW149" t="str">
            <v/>
          </cell>
          <cell r="AX149" t="str">
            <v/>
          </cell>
          <cell r="AY149" t="str">
            <v/>
          </cell>
          <cell r="AZ149" t="str">
            <v/>
          </cell>
          <cell r="BB149" t="str">
            <v/>
          </cell>
          <cell r="BC149" t="str">
            <v/>
          </cell>
          <cell r="BF149" t="str">
            <v/>
          </cell>
          <cell r="BI149">
            <v>0</v>
          </cell>
          <cell r="BJ149">
            <v>0</v>
          </cell>
          <cell r="BK149">
            <v>30</v>
          </cell>
          <cell r="BP149" t="str">
            <v/>
          </cell>
          <cell r="BQ149" t="str">
            <v/>
          </cell>
          <cell r="BR149" t="str">
            <v/>
          </cell>
          <cell r="BS149" t="str">
            <v/>
          </cell>
        </row>
        <row r="150">
          <cell r="B150" t="str">
            <v>INV--9900-132</v>
          </cell>
          <cell r="C150" t="str">
            <v/>
          </cell>
          <cell r="D150" t="e">
            <v>#VALUE!</v>
          </cell>
          <cell r="E150" t="str">
            <v>Jan1900</v>
          </cell>
          <cell r="F150">
            <v>31</v>
          </cell>
          <cell r="G150" t="e">
            <v>#VALUE!</v>
          </cell>
          <cell r="H150">
            <v>1</v>
          </cell>
          <cell r="I150">
            <v>1</v>
          </cell>
          <cell r="J150">
            <v>0</v>
          </cell>
          <cell r="K150" t="str">
            <v>0Jan1900</v>
          </cell>
          <cell r="L150" t="str">
            <v>Buildings</v>
          </cell>
          <cell r="M150" t="str">
            <v>BuildingsJan1900</v>
          </cell>
          <cell r="N150">
            <v>0</v>
          </cell>
          <cell r="O150">
            <v>0</v>
          </cell>
          <cell r="Q150" t="e">
            <v>#VALUE!</v>
          </cell>
          <cell r="R150">
            <v>0</v>
          </cell>
          <cell r="S150" t="str">
            <v>Jan1900</v>
          </cell>
          <cell r="T150" t="str">
            <v>Jan1900</v>
          </cell>
          <cell r="U150" t="e">
            <v>#VALUE!</v>
          </cell>
          <cell r="V150" t="e">
            <v>#VALUE!</v>
          </cell>
          <cell r="W150" t="str">
            <v/>
          </cell>
          <cell r="X150" t="str">
            <v>INV-9900</v>
          </cell>
          <cell r="Y150" t="str">
            <v>Jan</v>
          </cell>
          <cell r="Z150">
            <v>1900</v>
          </cell>
          <cell r="AA150" t="str">
            <v>9900</v>
          </cell>
          <cell r="AB150" t="str">
            <v>9900-132</v>
          </cell>
          <cell r="AC150">
            <v>132</v>
          </cell>
          <cell r="AD150">
            <v>0</v>
          </cell>
          <cell r="AE150">
            <v>0</v>
          </cell>
          <cell r="AF150" t="str">
            <v/>
          </cell>
          <cell r="AG150" t="str">
            <v/>
          </cell>
          <cell r="AH150">
            <v>1</v>
          </cell>
          <cell r="AI150">
            <v>1</v>
          </cell>
          <cell r="AK150" t="str">
            <v>INV--9900-132</v>
          </cell>
          <cell r="AL150">
            <v>0</v>
          </cell>
          <cell r="AN150" t="str">
            <v>INVOICE</v>
          </cell>
          <cell r="AR150" t="str">
            <v/>
          </cell>
          <cell r="AS150" t="str">
            <v/>
          </cell>
          <cell r="AT150" t="str">
            <v/>
          </cell>
          <cell r="AU150" t="str">
            <v/>
          </cell>
          <cell r="AV150" t="str">
            <v/>
          </cell>
          <cell r="AW150" t="str">
            <v/>
          </cell>
          <cell r="AX150" t="str">
            <v/>
          </cell>
          <cell r="AY150" t="str">
            <v/>
          </cell>
          <cell r="AZ150" t="str">
            <v/>
          </cell>
          <cell r="BB150" t="str">
            <v/>
          </cell>
          <cell r="BC150" t="str">
            <v/>
          </cell>
          <cell r="BF150" t="str">
            <v/>
          </cell>
          <cell r="BI150">
            <v>0</v>
          </cell>
          <cell r="BJ150">
            <v>0</v>
          </cell>
          <cell r="BK150">
            <v>30</v>
          </cell>
          <cell r="BP150" t="str">
            <v/>
          </cell>
          <cell r="BQ150" t="str">
            <v/>
          </cell>
          <cell r="BR150" t="str">
            <v/>
          </cell>
          <cell r="BS150" t="str">
            <v/>
          </cell>
        </row>
        <row r="151">
          <cell r="B151" t="str">
            <v>INV--9900-133</v>
          </cell>
          <cell r="C151" t="str">
            <v/>
          </cell>
          <cell r="D151" t="e">
            <v>#VALUE!</v>
          </cell>
          <cell r="E151" t="str">
            <v>Jan1900</v>
          </cell>
          <cell r="F151">
            <v>31</v>
          </cell>
          <cell r="G151" t="e">
            <v>#VALUE!</v>
          </cell>
          <cell r="H151">
            <v>1</v>
          </cell>
          <cell r="I151">
            <v>1</v>
          </cell>
          <cell r="J151">
            <v>0</v>
          </cell>
          <cell r="K151" t="str">
            <v>0Jan1900</v>
          </cell>
          <cell r="L151" t="str">
            <v>Buildings</v>
          </cell>
          <cell r="M151" t="str">
            <v>BuildingsJan1900</v>
          </cell>
          <cell r="N151">
            <v>0</v>
          </cell>
          <cell r="O151">
            <v>0</v>
          </cell>
          <cell r="Q151" t="e">
            <v>#VALUE!</v>
          </cell>
          <cell r="R151">
            <v>0</v>
          </cell>
          <cell r="S151" t="str">
            <v>Jan1900</v>
          </cell>
          <cell r="T151" t="str">
            <v>Jan1900</v>
          </cell>
          <cell r="U151" t="e">
            <v>#VALUE!</v>
          </cell>
          <cell r="V151" t="e">
            <v>#VALUE!</v>
          </cell>
          <cell r="W151" t="str">
            <v/>
          </cell>
          <cell r="X151" t="str">
            <v>INV-9900</v>
          </cell>
          <cell r="Y151" t="str">
            <v>Jan</v>
          </cell>
          <cell r="Z151">
            <v>1900</v>
          </cell>
          <cell r="AA151" t="str">
            <v>9900</v>
          </cell>
          <cell r="AB151" t="str">
            <v>9900-133</v>
          </cell>
          <cell r="AC151">
            <v>133</v>
          </cell>
          <cell r="AD151">
            <v>0</v>
          </cell>
          <cell r="AE151">
            <v>0</v>
          </cell>
          <cell r="AF151" t="str">
            <v/>
          </cell>
          <cell r="AG151" t="str">
            <v/>
          </cell>
          <cell r="AH151">
            <v>1</v>
          </cell>
          <cell r="AI151">
            <v>1</v>
          </cell>
          <cell r="AK151" t="str">
            <v>INV--9900-133</v>
          </cell>
          <cell r="AL151">
            <v>0</v>
          </cell>
          <cell r="AN151" t="str">
            <v>INVOICE</v>
          </cell>
          <cell r="AR151" t="str">
            <v/>
          </cell>
          <cell r="AS151" t="str">
            <v/>
          </cell>
          <cell r="AT151" t="str">
            <v/>
          </cell>
          <cell r="AU151" t="str">
            <v/>
          </cell>
          <cell r="AV151" t="str">
            <v/>
          </cell>
          <cell r="AW151" t="str">
            <v/>
          </cell>
          <cell r="AX151" t="str">
            <v/>
          </cell>
          <cell r="AY151" t="str">
            <v/>
          </cell>
          <cell r="AZ151" t="str">
            <v/>
          </cell>
          <cell r="BB151" t="str">
            <v/>
          </cell>
          <cell r="BC151" t="str">
            <v/>
          </cell>
          <cell r="BF151" t="str">
            <v/>
          </cell>
          <cell r="BI151">
            <v>0</v>
          </cell>
          <cell r="BJ151">
            <v>0</v>
          </cell>
          <cell r="BK151">
            <v>30</v>
          </cell>
          <cell r="BP151" t="str">
            <v/>
          </cell>
          <cell r="BQ151" t="str">
            <v/>
          </cell>
          <cell r="BR151" t="str">
            <v/>
          </cell>
          <cell r="BS151" t="str">
            <v/>
          </cell>
        </row>
        <row r="152">
          <cell r="B152" t="str">
            <v>INV--9900-134</v>
          </cell>
          <cell r="C152" t="str">
            <v/>
          </cell>
          <cell r="D152" t="e">
            <v>#VALUE!</v>
          </cell>
          <cell r="E152" t="str">
            <v>Jan1900</v>
          </cell>
          <cell r="F152">
            <v>31</v>
          </cell>
          <cell r="G152" t="e">
            <v>#VALUE!</v>
          </cell>
          <cell r="H152">
            <v>1</v>
          </cell>
          <cell r="I152">
            <v>1</v>
          </cell>
          <cell r="J152">
            <v>0</v>
          </cell>
          <cell r="K152" t="str">
            <v>0Jan1900</v>
          </cell>
          <cell r="L152" t="str">
            <v>Buildings</v>
          </cell>
          <cell r="M152" t="str">
            <v>BuildingsJan1900</v>
          </cell>
          <cell r="N152">
            <v>0</v>
          </cell>
          <cell r="O152">
            <v>0</v>
          </cell>
          <cell r="Q152" t="e">
            <v>#VALUE!</v>
          </cell>
          <cell r="R152">
            <v>0</v>
          </cell>
          <cell r="S152" t="str">
            <v>Jan1900</v>
          </cell>
          <cell r="T152" t="str">
            <v>Jan1900</v>
          </cell>
          <cell r="U152" t="e">
            <v>#VALUE!</v>
          </cell>
          <cell r="V152" t="e">
            <v>#VALUE!</v>
          </cell>
          <cell r="W152" t="str">
            <v/>
          </cell>
          <cell r="X152" t="str">
            <v>INV-9900</v>
          </cell>
          <cell r="Y152" t="str">
            <v>Jan</v>
          </cell>
          <cell r="Z152">
            <v>1900</v>
          </cell>
          <cell r="AA152" t="str">
            <v>9900</v>
          </cell>
          <cell r="AB152" t="str">
            <v>9900-134</v>
          </cell>
          <cell r="AC152">
            <v>134</v>
          </cell>
          <cell r="AD152">
            <v>0</v>
          </cell>
          <cell r="AE152">
            <v>0</v>
          </cell>
          <cell r="AF152" t="str">
            <v/>
          </cell>
          <cell r="AG152" t="str">
            <v/>
          </cell>
          <cell r="AH152">
            <v>1</v>
          </cell>
          <cell r="AI152">
            <v>1</v>
          </cell>
          <cell r="AK152" t="str">
            <v>INV--9900-134</v>
          </cell>
          <cell r="AL152">
            <v>0</v>
          </cell>
          <cell r="AN152" t="str">
            <v>INVOICE</v>
          </cell>
          <cell r="AR152" t="str">
            <v/>
          </cell>
          <cell r="AS152" t="str">
            <v/>
          </cell>
          <cell r="AT152" t="str">
            <v/>
          </cell>
          <cell r="AU152" t="str">
            <v/>
          </cell>
          <cell r="AV152" t="str">
            <v/>
          </cell>
          <cell r="AW152" t="str">
            <v/>
          </cell>
          <cell r="AX152" t="str">
            <v/>
          </cell>
          <cell r="AY152" t="str">
            <v/>
          </cell>
          <cell r="AZ152" t="str">
            <v/>
          </cell>
          <cell r="BB152" t="str">
            <v/>
          </cell>
          <cell r="BC152" t="str">
            <v/>
          </cell>
          <cell r="BF152" t="str">
            <v/>
          </cell>
          <cell r="BI152">
            <v>0</v>
          </cell>
          <cell r="BJ152">
            <v>0</v>
          </cell>
          <cell r="BK152">
            <v>30</v>
          </cell>
          <cell r="BP152" t="str">
            <v/>
          </cell>
          <cell r="BQ152" t="str">
            <v/>
          </cell>
          <cell r="BR152" t="str">
            <v/>
          </cell>
          <cell r="BS152" t="str">
            <v/>
          </cell>
        </row>
        <row r="153">
          <cell r="B153" t="str">
            <v>INV--9900-135</v>
          </cell>
          <cell r="C153" t="str">
            <v/>
          </cell>
          <cell r="D153" t="e">
            <v>#VALUE!</v>
          </cell>
          <cell r="E153" t="str">
            <v>Jan1900</v>
          </cell>
          <cell r="F153">
            <v>31</v>
          </cell>
          <cell r="G153" t="e">
            <v>#VALUE!</v>
          </cell>
          <cell r="H153">
            <v>1</v>
          </cell>
          <cell r="I153">
            <v>1</v>
          </cell>
          <cell r="J153">
            <v>0</v>
          </cell>
          <cell r="K153" t="str">
            <v>0Jan1900</v>
          </cell>
          <cell r="L153" t="str">
            <v>Buildings</v>
          </cell>
          <cell r="M153" t="str">
            <v>BuildingsJan1900</v>
          </cell>
          <cell r="N153">
            <v>0</v>
          </cell>
          <cell r="O153">
            <v>0</v>
          </cell>
          <cell r="Q153" t="e">
            <v>#VALUE!</v>
          </cell>
          <cell r="R153">
            <v>0</v>
          </cell>
          <cell r="S153" t="str">
            <v>Jan1900</v>
          </cell>
          <cell r="T153" t="str">
            <v>Jan1900</v>
          </cell>
          <cell r="U153" t="e">
            <v>#VALUE!</v>
          </cell>
          <cell r="V153" t="e">
            <v>#VALUE!</v>
          </cell>
          <cell r="W153" t="str">
            <v/>
          </cell>
          <cell r="X153" t="str">
            <v>INV-9900</v>
          </cell>
          <cell r="Y153" t="str">
            <v>Jan</v>
          </cell>
          <cell r="Z153">
            <v>1900</v>
          </cell>
          <cell r="AA153" t="str">
            <v>9900</v>
          </cell>
          <cell r="AB153" t="str">
            <v>9900-135</v>
          </cell>
          <cell r="AC153">
            <v>135</v>
          </cell>
          <cell r="AD153">
            <v>0</v>
          </cell>
          <cell r="AE153">
            <v>0</v>
          </cell>
          <cell r="AF153" t="str">
            <v/>
          </cell>
          <cell r="AG153" t="str">
            <v/>
          </cell>
          <cell r="AH153">
            <v>1</v>
          </cell>
          <cell r="AI153">
            <v>1</v>
          </cell>
          <cell r="AK153" t="str">
            <v>INV--9900-135</v>
          </cell>
          <cell r="AL153">
            <v>0</v>
          </cell>
          <cell r="AN153" t="str">
            <v>INVOICE</v>
          </cell>
          <cell r="AR153" t="str">
            <v/>
          </cell>
          <cell r="AS153" t="str">
            <v/>
          </cell>
          <cell r="AT153" t="str">
            <v/>
          </cell>
          <cell r="AU153" t="str">
            <v/>
          </cell>
          <cell r="AV153" t="str">
            <v/>
          </cell>
          <cell r="AW153" t="str">
            <v/>
          </cell>
          <cell r="AX153" t="str">
            <v/>
          </cell>
          <cell r="AY153" t="str">
            <v/>
          </cell>
          <cell r="AZ153" t="str">
            <v/>
          </cell>
          <cell r="BB153" t="str">
            <v/>
          </cell>
          <cell r="BC153" t="str">
            <v/>
          </cell>
          <cell r="BF153" t="str">
            <v/>
          </cell>
          <cell r="BI153">
            <v>0</v>
          </cell>
          <cell r="BJ153">
            <v>0</v>
          </cell>
          <cell r="BK153">
            <v>30</v>
          </cell>
          <cell r="BP153" t="str">
            <v/>
          </cell>
          <cell r="BQ153" t="str">
            <v/>
          </cell>
          <cell r="BR153" t="str">
            <v/>
          </cell>
          <cell r="BS153" t="str">
            <v/>
          </cell>
        </row>
        <row r="154">
          <cell r="B154" t="str">
            <v>INV--9900-136</v>
          </cell>
          <cell r="C154" t="str">
            <v/>
          </cell>
          <cell r="D154" t="e">
            <v>#VALUE!</v>
          </cell>
          <cell r="E154" t="str">
            <v>Jan1900</v>
          </cell>
          <cell r="F154">
            <v>31</v>
          </cell>
          <cell r="G154" t="e">
            <v>#VALUE!</v>
          </cell>
          <cell r="H154">
            <v>1</v>
          </cell>
          <cell r="I154">
            <v>1</v>
          </cell>
          <cell r="J154">
            <v>0</v>
          </cell>
          <cell r="K154" t="str">
            <v>0Jan1900</v>
          </cell>
          <cell r="L154" t="str">
            <v>Buildings</v>
          </cell>
          <cell r="M154" t="str">
            <v>BuildingsJan1900</v>
          </cell>
          <cell r="N154">
            <v>0</v>
          </cell>
          <cell r="O154">
            <v>0</v>
          </cell>
          <cell r="Q154" t="e">
            <v>#VALUE!</v>
          </cell>
          <cell r="R154">
            <v>0</v>
          </cell>
          <cell r="S154" t="str">
            <v>Jan1900</v>
          </cell>
          <cell r="T154" t="str">
            <v>Jan1900</v>
          </cell>
          <cell r="U154" t="e">
            <v>#VALUE!</v>
          </cell>
          <cell r="V154" t="e">
            <v>#VALUE!</v>
          </cell>
          <cell r="W154" t="str">
            <v/>
          </cell>
          <cell r="X154" t="str">
            <v>INV-9900</v>
          </cell>
          <cell r="Y154" t="str">
            <v>Jan</v>
          </cell>
          <cell r="Z154">
            <v>1900</v>
          </cell>
          <cell r="AA154" t="str">
            <v>9900</v>
          </cell>
          <cell r="AB154" t="str">
            <v>9900-136</v>
          </cell>
          <cell r="AC154">
            <v>136</v>
          </cell>
          <cell r="AD154">
            <v>0</v>
          </cell>
          <cell r="AE154">
            <v>0</v>
          </cell>
          <cell r="AF154" t="str">
            <v/>
          </cell>
          <cell r="AG154" t="str">
            <v/>
          </cell>
          <cell r="AH154">
            <v>1</v>
          </cell>
          <cell r="AI154">
            <v>1</v>
          </cell>
          <cell r="AK154" t="str">
            <v>INV--9900-136</v>
          </cell>
          <cell r="AL154">
            <v>0</v>
          </cell>
          <cell r="AN154" t="str">
            <v>INVOICE</v>
          </cell>
          <cell r="AR154" t="str">
            <v/>
          </cell>
          <cell r="AS154" t="str">
            <v/>
          </cell>
          <cell r="AT154" t="str">
            <v/>
          </cell>
          <cell r="AU154" t="str">
            <v/>
          </cell>
          <cell r="AV154" t="str">
            <v/>
          </cell>
          <cell r="AW154" t="str">
            <v/>
          </cell>
          <cell r="AX154" t="str">
            <v/>
          </cell>
          <cell r="AY154" t="str">
            <v/>
          </cell>
          <cell r="AZ154" t="str">
            <v/>
          </cell>
          <cell r="BB154" t="str">
            <v/>
          </cell>
          <cell r="BC154" t="str">
            <v/>
          </cell>
          <cell r="BF154" t="str">
            <v/>
          </cell>
          <cell r="BI154">
            <v>0</v>
          </cell>
          <cell r="BJ154">
            <v>0</v>
          </cell>
          <cell r="BK154">
            <v>30</v>
          </cell>
          <cell r="BP154" t="str">
            <v/>
          </cell>
          <cell r="BQ154" t="str">
            <v/>
          </cell>
          <cell r="BR154" t="str">
            <v/>
          </cell>
          <cell r="BS154" t="str">
            <v/>
          </cell>
        </row>
        <row r="155">
          <cell r="B155" t="str">
            <v>INV--9900-137</v>
          </cell>
          <cell r="C155" t="str">
            <v/>
          </cell>
          <cell r="D155" t="e">
            <v>#VALUE!</v>
          </cell>
          <cell r="E155" t="str">
            <v>Jan1900</v>
          </cell>
          <cell r="F155">
            <v>31</v>
          </cell>
          <cell r="G155" t="e">
            <v>#VALUE!</v>
          </cell>
          <cell r="H155">
            <v>1</v>
          </cell>
          <cell r="I155">
            <v>1</v>
          </cell>
          <cell r="J155">
            <v>0</v>
          </cell>
          <cell r="K155" t="str">
            <v>0Jan1900</v>
          </cell>
          <cell r="L155" t="str">
            <v>Buildings</v>
          </cell>
          <cell r="M155" t="str">
            <v>BuildingsJan1900</v>
          </cell>
          <cell r="N155">
            <v>0</v>
          </cell>
          <cell r="O155">
            <v>0</v>
          </cell>
          <cell r="Q155" t="e">
            <v>#VALUE!</v>
          </cell>
          <cell r="R155">
            <v>0</v>
          </cell>
          <cell r="S155" t="str">
            <v>Jan1900</v>
          </cell>
          <cell r="T155" t="str">
            <v>Jan1900</v>
          </cell>
          <cell r="U155" t="e">
            <v>#VALUE!</v>
          </cell>
          <cell r="V155" t="e">
            <v>#VALUE!</v>
          </cell>
          <cell r="W155" t="str">
            <v/>
          </cell>
          <cell r="X155" t="str">
            <v>INV-9900</v>
          </cell>
          <cell r="Y155" t="str">
            <v>Jan</v>
          </cell>
          <cell r="Z155">
            <v>1900</v>
          </cell>
          <cell r="AA155" t="str">
            <v>9900</v>
          </cell>
          <cell r="AB155" t="str">
            <v>9900-137</v>
          </cell>
          <cell r="AC155">
            <v>137</v>
          </cell>
          <cell r="AD155">
            <v>0</v>
          </cell>
          <cell r="AE155">
            <v>0</v>
          </cell>
          <cell r="AF155" t="str">
            <v/>
          </cell>
          <cell r="AG155" t="str">
            <v/>
          </cell>
          <cell r="AH155">
            <v>1</v>
          </cell>
          <cell r="AI155">
            <v>1</v>
          </cell>
          <cell r="AK155" t="str">
            <v>INV--9900-137</v>
          </cell>
          <cell r="AL155">
            <v>0</v>
          </cell>
          <cell r="AN155" t="str">
            <v>INVOICE</v>
          </cell>
          <cell r="AR155" t="str">
            <v/>
          </cell>
          <cell r="AS155" t="str">
            <v/>
          </cell>
          <cell r="AT155" t="str">
            <v/>
          </cell>
          <cell r="AU155" t="str">
            <v/>
          </cell>
          <cell r="AV155" t="str">
            <v/>
          </cell>
          <cell r="AW155" t="str">
            <v/>
          </cell>
          <cell r="AX155" t="str">
            <v/>
          </cell>
          <cell r="AY155" t="str">
            <v/>
          </cell>
          <cell r="AZ155" t="str">
            <v/>
          </cell>
          <cell r="BB155" t="str">
            <v/>
          </cell>
          <cell r="BC155" t="str">
            <v/>
          </cell>
          <cell r="BF155" t="str">
            <v/>
          </cell>
          <cell r="BI155">
            <v>0</v>
          </cell>
          <cell r="BJ155">
            <v>0</v>
          </cell>
          <cell r="BK155">
            <v>30</v>
          </cell>
          <cell r="BP155" t="str">
            <v/>
          </cell>
          <cell r="BQ155" t="str">
            <v/>
          </cell>
          <cell r="BR155" t="str">
            <v/>
          </cell>
          <cell r="BS155" t="str">
            <v/>
          </cell>
        </row>
        <row r="156">
          <cell r="B156" t="str">
            <v>INV--9900-138</v>
          </cell>
          <cell r="C156" t="str">
            <v/>
          </cell>
          <cell r="D156" t="e">
            <v>#VALUE!</v>
          </cell>
          <cell r="E156" t="str">
            <v>Jan1900</v>
          </cell>
          <cell r="F156">
            <v>31</v>
          </cell>
          <cell r="G156" t="e">
            <v>#VALUE!</v>
          </cell>
          <cell r="H156">
            <v>1</v>
          </cell>
          <cell r="I156">
            <v>1</v>
          </cell>
          <cell r="J156">
            <v>0</v>
          </cell>
          <cell r="K156" t="str">
            <v>0Jan1900</v>
          </cell>
          <cell r="L156" t="str">
            <v>Buildings</v>
          </cell>
          <cell r="M156" t="str">
            <v>BuildingsJan1900</v>
          </cell>
          <cell r="N156">
            <v>0</v>
          </cell>
          <cell r="O156">
            <v>0</v>
          </cell>
          <cell r="Q156" t="e">
            <v>#VALUE!</v>
          </cell>
          <cell r="R156">
            <v>0</v>
          </cell>
          <cell r="S156" t="str">
            <v>Jan1900</v>
          </cell>
          <cell r="T156" t="str">
            <v>Jan1900</v>
          </cell>
          <cell r="U156" t="e">
            <v>#VALUE!</v>
          </cell>
          <cell r="V156" t="e">
            <v>#VALUE!</v>
          </cell>
          <cell r="W156" t="str">
            <v/>
          </cell>
          <cell r="X156" t="str">
            <v>INV-9900</v>
          </cell>
          <cell r="Y156" t="str">
            <v>Jan</v>
          </cell>
          <cell r="Z156">
            <v>1900</v>
          </cell>
          <cell r="AA156" t="str">
            <v>9900</v>
          </cell>
          <cell r="AB156" t="str">
            <v>9900-138</v>
          </cell>
          <cell r="AC156">
            <v>138</v>
          </cell>
          <cell r="AD156">
            <v>0</v>
          </cell>
          <cell r="AE156">
            <v>0</v>
          </cell>
          <cell r="AF156" t="str">
            <v/>
          </cell>
          <cell r="AG156" t="str">
            <v/>
          </cell>
          <cell r="AH156">
            <v>1</v>
          </cell>
          <cell r="AI156">
            <v>1</v>
          </cell>
          <cell r="AK156" t="str">
            <v>INV--9900-138</v>
          </cell>
          <cell r="AL156">
            <v>0</v>
          </cell>
          <cell r="AN156" t="str">
            <v>INVOICE</v>
          </cell>
          <cell r="AR156" t="str">
            <v/>
          </cell>
          <cell r="AS156" t="str">
            <v/>
          </cell>
          <cell r="AT156" t="str">
            <v/>
          </cell>
          <cell r="AU156" t="str">
            <v/>
          </cell>
          <cell r="AV156" t="str">
            <v/>
          </cell>
          <cell r="AW156" t="str">
            <v/>
          </cell>
          <cell r="AX156" t="str">
            <v/>
          </cell>
          <cell r="AY156" t="str">
            <v/>
          </cell>
          <cell r="AZ156" t="str">
            <v/>
          </cell>
          <cell r="BB156" t="str">
            <v/>
          </cell>
          <cell r="BC156" t="str">
            <v/>
          </cell>
          <cell r="BF156" t="str">
            <v/>
          </cell>
          <cell r="BI156">
            <v>0</v>
          </cell>
          <cell r="BJ156">
            <v>0</v>
          </cell>
          <cell r="BK156">
            <v>30</v>
          </cell>
          <cell r="BP156" t="str">
            <v/>
          </cell>
          <cell r="BQ156" t="str">
            <v/>
          </cell>
          <cell r="BR156" t="str">
            <v/>
          </cell>
          <cell r="BS156" t="str">
            <v/>
          </cell>
        </row>
        <row r="157">
          <cell r="B157" t="str">
            <v>INV--9900-139</v>
          </cell>
          <cell r="C157" t="str">
            <v/>
          </cell>
          <cell r="D157" t="e">
            <v>#VALUE!</v>
          </cell>
          <cell r="E157" t="str">
            <v>Jan1900</v>
          </cell>
          <cell r="F157">
            <v>31</v>
          </cell>
          <cell r="G157" t="e">
            <v>#VALUE!</v>
          </cell>
          <cell r="H157">
            <v>1</v>
          </cell>
          <cell r="I157">
            <v>1</v>
          </cell>
          <cell r="J157">
            <v>0</v>
          </cell>
          <cell r="K157" t="str">
            <v>0Jan1900</v>
          </cell>
          <cell r="L157" t="str">
            <v>Buildings</v>
          </cell>
          <cell r="M157" t="str">
            <v>BuildingsJan1900</v>
          </cell>
          <cell r="N157">
            <v>0</v>
          </cell>
          <cell r="O157">
            <v>0</v>
          </cell>
          <cell r="Q157" t="e">
            <v>#VALUE!</v>
          </cell>
          <cell r="R157">
            <v>0</v>
          </cell>
          <cell r="S157" t="str">
            <v>Jan1900</v>
          </cell>
          <cell r="T157" t="str">
            <v>Jan1900</v>
          </cell>
          <cell r="U157" t="e">
            <v>#VALUE!</v>
          </cell>
          <cell r="V157" t="e">
            <v>#VALUE!</v>
          </cell>
          <cell r="W157" t="str">
            <v/>
          </cell>
          <cell r="X157" t="str">
            <v>INV-9900</v>
          </cell>
          <cell r="Y157" t="str">
            <v>Jan</v>
          </cell>
          <cell r="Z157">
            <v>1900</v>
          </cell>
          <cell r="AA157" t="str">
            <v>9900</v>
          </cell>
          <cell r="AB157" t="str">
            <v>9900-139</v>
          </cell>
          <cell r="AC157">
            <v>139</v>
          </cell>
          <cell r="AD157">
            <v>0</v>
          </cell>
          <cell r="AE157">
            <v>0</v>
          </cell>
          <cell r="AF157" t="str">
            <v/>
          </cell>
          <cell r="AG157" t="str">
            <v/>
          </cell>
          <cell r="AH157">
            <v>1</v>
          </cell>
          <cell r="AI157">
            <v>1</v>
          </cell>
          <cell r="AK157" t="str">
            <v>INV--9900-139</v>
          </cell>
          <cell r="AL157">
            <v>0</v>
          </cell>
          <cell r="AN157" t="str">
            <v>INVOICE</v>
          </cell>
          <cell r="AR157" t="str">
            <v/>
          </cell>
          <cell r="AS157" t="str">
            <v/>
          </cell>
          <cell r="AT157" t="str">
            <v/>
          </cell>
          <cell r="AU157" t="str">
            <v/>
          </cell>
          <cell r="AV157" t="str">
            <v/>
          </cell>
          <cell r="AW157" t="str">
            <v/>
          </cell>
          <cell r="AX157" t="str">
            <v/>
          </cell>
          <cell r="AY157" t="str">
            <v/>
          </cell>
          <cell r="AZ157" t="str">
            <v/>
          </cell>
          <cell r="BB157" t="str">
            <v/>
          </cell>
          <cell r="BC157" t="str">
            <v/>
          </cell>
          <cell r="BF157" t="str">
            <v/>
          </cell>
          <cell r="BI157">
            <v>0</v>
          </cell>
          <cell r="BJ157">
            <v>0</v>
          </cell>
          <cell r="BK157">
            <v>30</v>
          </cell>
          <cell r="BP157" t="str">
            <v/>
          </cell>
          <cell r="BQ157" t="str">
            <v/>
          </cell>
          <cell r="BR157" t="str">
            <v/>
          </cell>
          <cell r="BS157" t="str">
            <v/>
          </cell>
        </row>
        <row r="158">
          <cell r="B158" t="str">
            <v>INV--9900-140</v>
          </cell>
          <cell r="C158" t="str">
            <v/>
          </cell>
          <cell r="D158" t="e">
            <v>#VALUE!</v>
          </cell>
          <cell r="E158" t="str">
            <v>Jan1900</v>
          </cell>
          <cell r="F158">
            <v>31</v>
          </cell>
          <cell r="G158" t="e">
            <v>#VALUE!</v>
          </cell>
          <cell r="H158">
            <v>1</v>
          </cell>
          <cell r="I158">
            <v>1</v>
          </cell>
          <cell r="J158">
            <v>0</v>
          </cell>
          <cell r="K158" t="str">
            <v>0Jan1900</v>
          </cell>
          <cell r="L158" t="str">
            <v>Buildings</v>
          </cell>
          <cell r="M158" t="str">
            <v>BuildingsJan1900</v>
          </cell>
          <cell r="N158">
            <v>0</v>
          </cell>
          <cell r="O158">
            <v>0</v>
          </cell>
          <cell r="Q158" t="e">
            <v>#VALUE!</v>
          </cell>
          <cell r="R158">
            <v>0</v>
          </cell>
          <cell r="S158" t="str">
            <v>Jan1900</v>
          </cell>
          <cell r="T158" t="str">
            <v>Jan1900</v>
          </cell>
          <cell r="U158" t="e">
            <v>#VALUE!</v>
          </cell>
          <cell r="V158" t="e">
            <v>#VALUE!</v>
          </cell>
          <cell r="W158" t="str">
            <v/>
          </cell>
          <cell r="X158" t="str">
            <v>INV-9900</v>
          </cell>
          <cell r="Y158" t="str">
            <v>Jan</v>
          </cell>
          <cell r="Z158">
            <v>1900</v>
          </cell>
          <cell r="AA158" t="str">
            <v>9900</v>
          </cell>
          <cell r="AB158" t="str">
            <v>9900-140</v>
          </cell>
          <cell r="AC158">
            <v>140</v>
          </cell>
          <cell r="AD158">
            <v>0</v>
          </cell>
          <cell r="AE158">
            <v>0</v>
          </cell>
          <cell r="AF158" t="str">
            <v/>
          </cell>
          <cell r="AG158" t="str">
            <v/>
          </cell>
          <cell r="AH158">
            <v>1</v>
          </cell>
          <cell r="AI158">
            <v>1</v>
          </cell>
          <cell r="AK158" t="str">
            <v>INV--9900-140</v>
          </cell>
          <cell r="AL158">
            <v>0</v>
          </cell>
          <cell r="AN158" t="str">
            <v>INVOICE</v>
          </cell>
          <cell r="AR158" t="str">
            <v/>
          </cell>
          <cell r="AS158" t="str">
            <v/>
          </cell>
          <cell r="AT158" t="str">
            <v/>
          </cell>
          <cell r="AU158" t="str">
            <v/>
          </cell>
          <cell r="AV158" t="str">
            <v/>
          </cell>
          <cell r="AW158" t="str">
            <v/>
          </cell>
          <cell r="AX158" t="str">
            <v/>
          </cell>
          <cell r="AY158" t="str">
            <v/>
          </cell>
          <cell r="AZ158" t="str">
            <v/>
          </cell>
          <cell r="BB158" t="str">
            <v/>
          </cell>
          <cell r="BC158" t="str">
            <v/>
          </cell>
          <cell r="BF158" t="str">
            <v/>
          </cell>
          <cell r="BI158">
            <v>0</v>
          </cell>
          <cell r="BJ158">
            <v>0</v>
          </cell>
          <cell r="BK158">
            <v>30</v>
          </cell>
          <cell r="BP158" t="str">
            <v/>
          </cell>
          <cell r="BQ158" t="str">
            <v/>
          </cell>
          <cell r="BR158" t="str">
            <v/>
          </cell>
          <cell r="BS158" t="str">
            <v/>
          </cell>
        </row>
        <row r="159">
          <cell r="B159" t="str">
            <v>INV--9900-141</v>
          </cell>
          <cell r="C159" t="str">
            <v/>
          </cell>
          <cell r="D159" t="e">
            <v>#VALUE!</v>
          </cell>
          <cell r="E159" t="str">
            <v>Jan1900</v>
          </cell>
          <cell r="F159">
            <v>31</v>
          </cell>
          <cell r="G159" t="e">
            <v>#VALUE!</v>
          </cell>
          <cell r="H159">
            <v>1</v>
          </cell>
          <cell r="I159">
            <v>1</v>
          </cell>
          <cell r="J159">
            <v>0</v>
          </cell>
          <cell r="K159" t="str">
            <v>0Jan1900</v>
          </cell>
          <cell r="L159" t="str">
            <v>Buildings</v>
          </cell>
          <cell r="M159" t="str">
            <v>BuildingsJan1900</v>
          </cell>
          <cell r="N159">
            <v>0</v>
          </cell>
          <cell r="O159">
            <v>0</v>
          </cell>
          <cell r="Q159" t="e">
            <v>#VALUE!</v>
          </cell>
          <cell r="R159">
            <v>0</v>
          </cell>
          <cell r="S159" t="str">
            <v>Jan1900</v>
          </cell>
          <cell r="T159" t="str">
            <v>Jan1900</v>
          </cell>
          <cell r="U159" t="e">
            <v>#VALUE!</v>
          </cell>
          <cell r="V159" t="e">
            <v>#VALUE!</v>
          </cell>
          <cell r="W159" t="str">
            <v/>
          </cell>
          <cell r="X159" t="str">
            <v>INV-9900</v>
          </cell>
          <cell r="Y159" t="str">
            <v>Jan</v>
          </cell>
          <cell r="Z159">
            <v>1900</v>
          </cell>
          <cell r="AA159" t="str">
            <v>9900</v>
          </cell>
          <cell r="AB159" t="str">
            <v>9900-141</v>
          </cell>
          <cell r="AC159">
            <v>141</v>
          </cell>
          <cell r="AD159">
            <v>0</v>
          </cell>
          <cell r="AE159">
            <v>0</v>
          </cell>
          <cell r="AF159" t="str">
            <v/>
          </cell>
          <cell r="AG159" t="str">
            <v/>
          </cell>
          <cell r="AH159">
            <v>1</v>
          </cell>
          <cell r="AI159">
            <v>1</v>
          </cell>
          <cell r="AK159" t="str">
            <v>INV--9900-141</v>
          </cell>
          <cell r="AL159">
            <v>0</v>
          </cell>
          <cell r="AN159" t="str">
            <v>INVOICE</v>
          </cell>
          <cell r="AR159" t="str">
            <v/>
          </cell>
          <cell r="AS159" t="str">
            <v/>
          </cell>
          <cell r="AT159" t="str">
            <v/>
          </cell>
          <cell r="AU159" t="str">
            <v/>
          </cell>
          <cell r="AV159" t="str">
            <v/>
          </cell>
          <cell r="AW159" t="str">
            <v/>
          </cell>
          <cell r="AX159" t="str">
            <v/>
          </cell>
          <cell r="AY159" t="str">
            <v/>
          </cell>
          <cell r="AZ159" t="str">
            <v/>
          </cell>
          <cell r="BB159" t="str">
            <v/>
          </cell>
          <cell r="BC159" t="str">
            <v/>
          </cell>
          <cell r="BF159" t="str">
            <v/>
          </cell>
          <cell r="BI159">
            <v>0</v>
          </cell>
          <cell r="BJ159">
            <v>0</v>
          </cell>
          <cell r="BK159">
            <v>30</v>
          </cell>
          <cell r="BP159" t="str">
            <v/>
          </cell>
          <cell r="BQ159" t="str">
            <v/>
          </cell>
          <cell r="BR159" t="str">
            <v/>
          </cell>
          <cell r="BS159" t="str">
            <v/>
          </cell>
        </row>
        <row r="160">
          <cell r="B160" t="str">
            <v>INV--9900-142</v>
          </cell>
          <cell r="C160" t="str">
            <v/>
          </cell>
          <cell r="D160" t="e">
            <v>#VALUE!</v>
          </cell>
          <cell r="E160" t="str">
            <v>Jan1900</v>
          </cell>
          <cell r="F160">
            <v>31</v>
          </cell>
          <cell r="G160" t="e">
            <v>#VALUE!</v>
          </cell>
          <cell r="H160">
            <v>1</v>
          </cell>
          <cell r="I160">
            <v>1</v>
          </cell>
          <cell r="J160">
            <v>0</v>
          </cell>
          <cell r="K160" t="str">
            <v>0Jan1900</v>
          </cell>
          <cell r="L160" t="str">
            <v>Buildings</v>
          </cell>
          <cell r="M160" t="str">
            <v>BuildingsJan1900</v>
          </cell>
          <cell r="N160">
            <v>0</v>
          </cell>
          <cell r="O160">
            <v>0</v>
          </cell>
          <cell r="Q160" t="e">
            <v>#VALUE!</v>
          </cell>
          <cell r="R160">
            <v>0</v>
          </cell>
          <cell r="S160" t="str">
            <v>Jan1900</v>
          </cell>
          <cell r="T160" t="str">
            <v>Jan1900</v>
          </cell>
          <cell r="U160" t="e">
            <v>#VALUE!</v>
          </cell>
          <cell r="V160" t="e">
            <v>#VALUE!</v>
          </cell>
          <cell r="W160" t="str">
            <v/>
          </cell>
          <cell r="X160" t="str">
            <v>INV-9900</v>
          </cell>
          <cell r="Y160" t="str">
            <v>Jan</v>
          </cell>
          <cell r="Z160">
            <v>1900</v>
          </cell>
          <cell r="AA160" t="str">
            <v>9900</v>
          </cell>
          <cell r="AB160" t="str">
            <v>9900-142</v>
          </cell>
          <cell r="AC160">
            <v>142</v>
          </cell>
          <cell r="AD160">
            <v>0</v>
          </cell>
          <cell r="AE160">
            <v>0</v>
          </cell>
          <cell r="AF160" t="str">
            <v/>
          </cell>
          <cell r="AG160" t="str">
            <v/>
          </cell>
          <cell r="AH160">
            <v>1</v>
          </cell>
          <cell r="AI160">
            <v>1</v>
          </cell>
          <cell r="AK160" t="str">
            <v>INV--9900-142</v>
          </cell>
          <cell r="AL160">
            <v>0</v>
          </cell>
          <cell r="AN160" t="str">
            <v>INVOICE</v>
          </cell>
          <cell r="AR160" t="str">
            <v/>
          </cell>
          <cell r="AS160" t="str">
            <v/>
          </cell>
          <cell r="AT160" t="str">
            <v/>
          </cell>
          <cell r="AU160" t="str">
            <v/>
          </cell>
          <cell r="AV160" t="str">
            <v/>
          </cell>
          <cell r="AW160" t="str">
            <v/>
          </cell>
          <cell r="AX160" t="str">
            <v/>
          </cell>
          <cell r="AY160" t="str">
            <v/>
          </cell>
          <cell r="AZ160" t="str">
            <v/>
          </cell>
          <cell r="BB160" t="str">
            <v/>
          </cell>
          <cell r="BC160" t="str">
            <v/>
          </cell>
          <cell r="BF160" t="str">
            <v/>
          </cell>
          <cell r="BI160">
            <v>0</v>
          </cell>
          <cell r="BJ160">
            <v>0</v>
          </cell>
          <cell r="BK160">
            <v>30</v>
          </cell>
          <cell r="BP160" t="str">
            <v/>
          </cell>
          <cell r="BQ160" t="str">
            <v/>
          </cell>
          <cell r="BR160" t="str">
            <v/>
          </cell>
          <cell r="BS160" t="str">
            <v/>
          </cell>
        </row>
        <row r="161">
          <cell r="B161" t="str">
            <v>INV--9900-143</v>
          </cell>
          <cell r="C161" t="str">
            <v/>
          </cell>
          <cell r="D161" t="e">
            <v>#VALUE!</v>
          </cell>
          <cell r="E161" t="str">
            <v>Jan1900</v>
          </cell>
          <cell r="F161">
            <v>31</v>
          </cell>
          <cell r="G161" t="e">
            <v>#VALUE!</v>
          </cell>
          <cell r="H161">
            <v>1</v>
          </cell>
          <cell r="I161">
            <v>1</v>
          </cell>
          <cell r="J161">
            <v>0</v>
          </cell>
          <cell r="K161" t="str">
            <v>0Jan1900</v>
          </cell>
          <cell r="L161" t="str">
            <v>Buildings</v>
          </cell>
          <cell r="M161" t="str">
            <v>BuildingsJan1900</v>
          </cell>
          <cell r="N161">
            <v>0</v>
          </cell>
          <cell r="O161">
            <v>0</v>
          </cell>
          <cell r="Q161" t="e">
            <v>#VALUE!</v>
          </cell>
          <cell r="R161">
            <v>0</v>
          </cell>
          <cell r="S161" t="str">
            <v>Jan1900</v>
          </cell>
          <cell r="T161" t="str">
            <v>Jan1900</v>
          </cell>
          <cell r="U161" t="e">
            <v>#VALUE!</v>
          </cell>
          <cell r="V161" t="e">
            <v>#VALUE!</v>
          </cell>
          <cell r="W161" t="str">
            <v/>
          </cell>
          <cell r="X161" t="str">
            <v>INV-9900</v>
          </cell>
          <cell r="Y161" t="str">
            <v>Jan</v>
          </cell>
          <cell r="Z161">
            <v>1900</v>
          </cell>
          <cell r="AA161" t="str">
            <v>9900</v>
          </cell>
          <cell r="AB161" t="str">
            <v>9900-143</v>
          </cell>
          <cell r="AC161">
            <v>143</v>
          </cell>
          <cell r="AD161">
            <v>0</v>
          </cell>
          <cell r="AE161">
            <v>0</v>
          </cell>
          <cell r="AF161" t="str">
            <v/>
          </cell>
          <cell r="AG161" t="str">
            <v/>
          </cell>
          <cell r="AH161">
            <v>1</v>
          </cell>
          <cell r="AI161">
            <v>1</v>
          </cell>
          <cell r="AK161" t="str">
            <v>INV--9900-143</v>
          </cell>
          <cell r="AL161">
            <v>0</v>
          </cell>
          <cell r="AN161" t="str">
            <v>INVOICE</v>
          </cell>
          <cell r="AR161" t="str">
            <v/>
          </cell>
          <cell r="AS161" t="str">
            <v/>
          </cell>
          <cell r="AT161" t="str">
            <v/>
          </cell>
          <cell r="AU161" t="str">
            <v/>
          </cell>
          <cell r="AV161" t="str">
            <v/>
          </cell>
          <cell r="AW161" t="str">
            <v/>
          </cell>
          <cell r="AX161" t="str">
            <v/>
          </cell>
          <cell r="AY161" t="str">
            <v/>
          </cell>
          <cell r="AZ161" t="str">
            <v/>
          </cell>
          <cell r="BB161" t="str">
            <v/>
          </cell>
          <cell r="BC161" t="str">
            <v/>
          </cell>
          <cell r="BF161" t="str">
            <v/>
          </cell>
          <cell r="BI161">
            <v>0</v>
          </cell>
          <cell r="BJ161">
            <v>0</v>
          </cell>
          <cell r="BK161">
            <v>30</v>
          </cell>
          <cell r="BP161" t="str">
            <v/>
          </cell>
          <cell r="BQ161" t="str">
            <v/>
          </cell>
          <cell r="BR161" t="str">
            <v/>
          </cell>
          <cell r="BS161" t="str">
            <v/>
          </cell>
        </row>
        <row r="162">
          <cell r="B162" t="str">
            <v>INV--9900-144</v>
          </cell>
          <cell r="C162" t="str">
            <v/>
          </cell>
          <cell r="D162" t="e">
            <v>#VALUE!</v>
          </cell>
          <cell r="E162" t="str">
            <v>Jan1900</v>
          </cell>
          <cell r="F162">
            <v>31</v>
          </cell>
          <cell r="G162" t="e">
            <v>#VALUE!</v>
          </cell>
          <cell r="H162">
            <v>1</v>
          </cell>
          <cell r="I162">
            <v>1</v>
          </cell>
          <cell r="J162">
            <v>0</v>
          </cell>
          <cell r="K162" t="str">
            <v>0Jan1900</v>
          </cell>
          <cell r="L162" t="str">
            <v>Buildings</v>
          </cell>
          <cell r="M162" t="str">
            <v>BuildingsJan1900</v>
          </cell>
          <cell r="N162">
            <v>0</v>
          </cell>
          <cell r="O162">
            <v>0</v>
          </cell>
          <cell r="Q162" t="e">
            <v>#VALUE!</v>
          </cell>
          <cell r="R162">
            <v>0</v>
          </cell>
          <cell r="S162" t="str">
            <v>Jan1900</v>
          </cell>
          <cell r="T162" t="str">
            <v>Jan1900</v>
          </cell>
          <cell r="U162" t="e">
            <v>#VALUE!</v>
          </cell>
          <cell r="V162" t="e">
            <v>#VALUE!</v>
          </cell>
          <cell r="W162" t="str">
            <v/>
          </cell>
          <cell r="X162" t="str">
            <v>INV-9900</v>
          </cell>
          <cell r="Y162" t="str">
            <v>Jan</v>
          </cell>
          <cell r="Z162">
            <v>1900</v>
          </cell>
          <cell r="AA162" t="str">
            <v>9900</v>
          </cell>
          <cell r="AB162" t="str">
            <v>9900-144</v>
          </cell>
          <cell r="AC162">
            <v>144</v>
          </cell>
          <cell r="AD162">
            <v>0</v>
          </cell>
          <cell r="AE162">
            <v>0</v>
          </cell>
          <cell r="AF162" t="str">
            <v/>
          </cell>
          <cell r="AG162" t="str">
            <v/>
          </cell>
          <cell r="AH162">
            <v>1</v>
          </cell>
          <cell r="AI162">
            <v>1</v>
          </cell>
          <cell r="AK162" t="str">
            <v>INV--9900-144</v>
          </cell>
          <cell r="AL162">
            <v>0</v>
          </cell>
          <cell r="AN162" t="str">
            <v>INVOICE</v>
          </cell>
          <cell r="AR162" t="str">
            <v/>
          </cell>
          <cell r="AS162" t="str">
            <v/>
          </cell>
          <cell r="AT162" t="str">
            <v/>
          </cell>
          <cell r="AU162" t="str">
            <v/>
          </cell>
          <cell r="AV162" t="str">
            <v/>
          </cell>
          <cell r="AW162" t="str">
            <v/>
          </cell>
          <cell r="AX162" t="str">
            <v/>
          </cell>
          <cell r="AY162" t="str">
            <v/>
          </cell>
          <cell r="AZ162" t="str">
            <v/>
          </cell>
          <cell r="BB162" t="str">
            <v/>
          </cell>
          <cell r="BC162" t="str">
            <v/>
          </cell>
          <cell r="BF162" t="str">
            <v/>
          </cell>
          <cell r="BI162">
            <v>0</v>
          </cell>
          <cell r="BJ162">
            <v>0</v>
          </cell>
          <cell r="BK162">
            <v>30</v>
          </cell>
          <cell r="BP162" t="str">
            <v/>
          </cell>
          <cell r="BQ162" t="str">
            <v/>
          </cell>
          <cell r="BR162" t="str">
            <v/>
          </cell>
          <cell r="BS162" t="str">
            <v/>
          </cell>
        </row>
        <row r="163">
          <cell r="B163" t="str">
            <v>INV--9900-145</v>
          </cell>
          <cell r="C163" t="str">
            <v/>
          </cell>
          <cell r="D163" t="e">
            <v>#VALUE!</v>
          </cell>
          <cell r="E163" t="str">
            <v>Jan1900</v>
          </cell>
          <cell r="F163">
            <v>31</v>
          </cell>
          <cell r="G163" t="e">
            <v>#VALUE!</v>
          </cell>
          <cell r="H163">
            <v>1</v>
          </cell>
          <cell r="I163">
            <v>1</v>
          </cell>
          <cell r="J163">
            <v>0</v>
          </cell>
          <cell r="K163" t="str">
            <v>0Jan1900</v>
          </cell>
          <cell r="L163" t="str">
            <v>Buildings</v>
          </cell>
          <cell r="M163" t="str">
            <v>BuildingsJan1900</v>
          </cell>
          <cell r="N163">
            <v>0</v>
          </cell>
          <cell r="O163">
            <v>0</v>
          </cell>
          <cell r="Q163" t="e">
            <v>#VALUE!</v>
          </cell>
          <cell r="R163">
            <v>0</v>
          </cell>
          <cell r="S163" t="str">
            <v>Jan1900</v>
          </cell>
          <cell r="T163" t="str">
            <v>Jan1900</v>
          </cell>
          <cell r="U163" t="e">
            <v>#VALUE!</v>
          </cell>
          <cell r="V163" t="e">
            <v>#VALUE!</v>
          </cell>
          <cell r="W163" t="str">
            <v/>
          </cell>
          <cell r="X163" t="str">
            <v>INV-9900</v>
          </cell>
          <cell r="Y163" t="str">
            <v>Jan</v>
          </cell>
          <cell r="Z163">
            <v>1900</v>
          </cell>
          <cell r="AA163" t="str">
            <v>9900</v>
          </cell>
          <cell r="AB163" t="str">
            <v>9900-145</v>
          </cell>
          <cell r="AC163">
            <v>145</v>
          </cell>
          <cell r="AD163">
            <v>0</v>
          </cell>
          <cell r="AE163">
            <v>0</v>
          </cell>
          <cell r="AF163" t="str">
            <v/>
          </cell>
          <cell r="AG163" t="str">
            <v/>
          </cell>
          <cell r="AH163">
            <v>1</v>
          </cell>
          <cell r="AI163">
            <v>1</v>
          </cell>
          <cell r="AK163" t="str">
            <v>INV--9900-145</v>
          </cell>
          <cell r="AL163">
            <v>0</v>
          </cell>
          <cell r="AN163" t="str">
            <v>INVOICE</v>
          </cell>
          <cell r="AR163" t="str">
            <v/>
          </cell>
          <cell r="AS163" t="str">
            <v/>
          </cell>
          <cell r="AT163" t="str">
            <v/>
          </cell>
          <cell r="AU163" t="str">
            <v/>
          </cell>
          <cell r="AV163" t="str">
            <v/>
          </cell>
          <cell r="AW163" t="str">
            <v/>
          </cell>
          <cell r="AX163" t="str">
            <v/>
          </cell>
          <cell r="AY163" t="str">
            <v/>
          </cell>
          <cell r="AZ163" t="str">
            <v/>
          </cell>
          <cell r="BB163" t="str">
            <v/>
          </cell>
          <cell r="BC163" t="str">
            <v/>
          </cell>
          <cell r="BF163" t="str">
            <v/>
          </cell>
          <cell r="BI163">
            <v>0</v>
          </cell>
          <cell r="BJ163">
            <v>0</v>
          </cell>
          <cell r="BK163">
            <v>30</v>
          </cell>
          <cell r="BP163" t="str">
            <v/>
          </cell>
          <cell r="BQ163" t="str">
            <v/>
          </cell>
          <cell r="BR163" t="str">
            <v/>
          </cell>
          <cell r="BS163" t="str">
            <v/>
          </cell>
        </row>
        <row r="164">
          <cell r="B164" t="str">
            <v>INV--9900-146</v>
          </cell>
          <cell r="C164" t="str">
            <v/>
          </cell>
          <cell r="D164" t="e">
            <v>#VALUE!</v>
          </cell>
          <cell r="E164" t="str">
            <v>Jan1900</v>
          </cell>
          <cell r="F164">
            <v>31</v>
          </cell>
          <cell r="G164" t="e">
            <v>#VALUE!</v>
          </cell>
          <cell r="H164">
            <v>1</v>
          </cell>
          <cell r="I164">
            <v>1</v>
          </cell>
          <cell r="J164">
            <v>0</v>
          </cell>
          <cell r="K164" t="str">
            <v>0Jan1900</v>
          </cell>
          <cell r="L164" t="str">
            <v>Buildings</v>
          </cell>
          <cell r="M164" t="str">
            <v>BuildingsJan1900</v>
          </cell>
          <cell r="N164">
            <v>0</v>
          </cell>
          <cell r="O164">
            <v>0</v>
          </cell>
          <cell r="Q164" t="e">
            <v>#VALUE!</v>
          </cell>
          <cell r="R164">
            <v>0</v>
          </cell>
          <cell r="S164" t="str">
            <v>Jan1900</v>
          </cell>
          <cell r="T164" t="str">
            <v>Jan1900</v>
          </cell>
          <cell r="U164" t="e">
            <v>#VALUE!</v>
          </cell>
          <cell r="V164" t="e">
            <v>#VALUE!</v>
          </cell>
          <cell r="W164" t="str">
            <v/>
          </cell>
          <cell r="X164" t="str">
            <v>INV-9900</v>
          </cell>
          <cell r="Y164" t="str">
            <v>Jan</v>
          </cell>
          <cell r="Z164">
            <v>1900</v>
          </cell>
          <cell r="AA164" t="str">
            <v>9900</v>
          </cell>
          <cell r="AB164" t="str">
            <v>9900-146</v>
          </cell>
          <cell r="AC164">
            <v>146</v>
          </cell>
          <cell r="AD164">
            <v>0</v>
          </cell>
          <cell r="AE164">
            <v>0</v>
          </cell>
          <cell r="AF164" t="str">
            <v/>
          </cell>
          <cell r="AG164" t="str">
            <v/>
          </cell>
          <cell r="AH164">
            <v>1</v>
          </cell>
          <cell r="AI164">
            <v>1</v>
          </cell>
          <cell r="AK164" t="str">
            <v>INV--9900-146</v>
          </cell>
          <cell r="AL164">
            <v>0</v>
          </cell>
          <cell r="AN164" t="str">
            <v>INVOICE</v>
          </cell>
          <cell r="AR164" t="str">
            <v/>
          </cell>
          <cell r="AS164" t="str">
            <v/>
          </cell>
          <cell r="AT164" t="str">
            <v/>
          </cell>
          <cell r="AU164" t="str">
            <v/>
          </cell>
          <cell r="AV164" t="str">
            <v/>
          </cell>
          <cell r="AW164" t="str">
            <v/>
          </cell>
          <cell r="AX164" t="str">
            <v/>
          </cell>
          <cell r="AY164" t="str">
            <v/>
          </cell>
          <cell r="AZ164" t="str">
            <v/>
          </cell>
          <cell r="BB164" t="str">
            <v/>
          </cell>
          <cell r="BC164" t="str">
            <v/>
          </cell>
          <cell r="BF164" t="str">
            <v/>
          </cell>
          <cell r="BI164">
            <v>0</v>
          </cell>
          <cell r="BJ164">
            <v>0</v>
          </cell>
          <cell r="BK164">
            <v>30</v>
          </cell>
          <cell r="BP164" t="str">
            <v/>
          </cell>
          <cell r="BQ164" t="str">
            <v/>
          </cell>
          <cell r="BR164" t="str">
            <v/>
          </cell>
          <cell r="BS164" t="str">
            <v/>
          </cell>
        </row>
        <row r="165">
          <cell r="B165" t="str">
            <v>INV--9900-147</v>
          </cell>
          <cell r="C165" t="str">
            <v/>
          </cell>
          <cell r="D165" t="e">
            <v>#VALUE!</v>
          </cell>
          <cell r="E165" t="str">
            <v>Jan1900</v>
          </cell>
          <cell r="F165">
            <v>31</v>
          </cell>
          <cell r="G165" t="e">
            <v>#VALUE!</v>
          </cell>
          <cell r="H165">
            <v>1</v>
          </cell>
          <cell r="I165">
            <v>1</v>
          </cell>
          <cell r="J165">
            <v>0</v>
          </cell>
          <cell r="K165" t="str">
            <v>0Jan1900</v>
          </cell>
          <cell r="L165" t="str">
            <v>Buildings</v>
          </cell>
          <cell r="M165" t="str">
            <v>BuildingsJan1900</v>
          </cell>
          <cell r="N165">
            <v>0</v>
          </cell>
          <cell r="O165">
            <v>0</v>
          </cell>
          <cell r="Q165" t="e">
            <v>#VALUE!</v>
          </cell>
          <cell r="R165">
            <v>0</v>
          </cell>
          <cell r="S165" t="str">
            <v>Jan1900</v>
          </cell>
          <cell r="T165" t="str">
            <v>Jan1900</v>
          </cell>
          <cell r="U165" t="e">
            <v>#VALUE!</v>
          </cell>
          <cell r="V165" t="e">
            <v>#VALUE!</v>
          </cell>
          <cell r="W165" t="str">
            <v/>
          </cell>
          <cell r="X165" t="str">
            <v>INV-9900</v>
          </cell>
          <cell r="Y165" t="str">
            <v>Jan</v>
          </cell>
          <cell r="Z165">
            <v>1900</v>
          </cell>
          <cell r="AA165" t="str">
            <v>9900</v>
          </cell>
          <cell r="AB165" t="str">
            <v>9900-147</v>
          </cell>
          <cell r="AC165">
            <v>147</v>
          </cell>
          <cell r="AD165">
            <v>0</v>
          </cell>
          <cell r="AE165">
            <v>0</v>
          </cell>
          <cell r="AF165" t="str">
            <v/>
          </cell>
          <cell r="AG165" t="str">
            <v/>
          </cell>
          <cell r="AH165">
            <v>1</v>
          </cell>
          <cell r="AI165">
            <v>1</v>
          </cell>
          <cell r="AK165" t="str">
            <v>INV--9900-147</v>
          </cell>
          <cell r="AL165">
            <v>0</v>
          </cell>
          <cell r="AN165" t="str">
            <v>INVOICE</v>
          </cell>
          <cell r="AR165" t="str">
            <v/>
          </cell>
          <cell r="AS165" t="str">
            <v/>
          </cell>
          <cell r="AT165" t="str">
            <v/>
          </cell>
          <cell r="AU165" t="str">
            <v/>
          </cell>
          <cell r="AV165" t="str">
            <v/>
          </cell>
          <cell r="AW165" t="str">
            <v/>
          </cell>
          <cell r="AX165" t="str">
            <v/>
          </cell>
          <cell r="AY165" t="str">
            <v/>
          </cell>
          <cell r="AZ165" t="str">
            <v/>
          </cell>
          <cell r="BB165" t="str">
            <v/>
          </cell>
          <cell r="BC165" t="str">
            <v/>
          </cell>
          <cell r="BF165" t="str">
            <v/>
          </cell>
          <cell r="BI165">
            <v>0</v>
          </cell>
          <cell r="BJ165">
            <v>0</v>
          </cell>
          <cell r="BK165">
            <v>30</v>
          </cell>
          <cell r="BP165" t="str">
            <v/>
          </cell>
          <cell r="BQ165" t="str">
            <v/>
          </cell>
          <cell r="BR165" t="str">
            <v/>
          </cell>
          <cell r="BS165" t="str">
            <v/>
          </cell>
        </row>
        <row r="166">
          <cell r="B166" t="str">
            <v>INV--9900-148</v>
          </cell>
          <cell r="C166" t="str">
            <v/>
          </cell>
          <cell r="D166" t="e">
            <v>#VALUE!</v>
          </cell>
          <cell r="E166" t="str">
            <v>Jan1900</v>
          </cell>
          <cell r="F166">
            <v>31</v>
          </cell>
          <cell r="G166" t="e">
            <v>#VALUE!</v>
          </cell>
          <cell r="H166">
            <v>1</v>
          </cell>
          <cell r="I166">
            <v>1</v>
          </cell>
          <cell r="J166">
            <v>0</v>
          </cell>
          <cell r="K166" t="str">
            <v>0Jan1900</v>
          </cell>
          <cell r="L166" t="str">
            <v>Buildings</v>
          </cell>
          <cell r="M166" t="str">
            <v>BuildingsJan1900</v>
          </cell>
          <cell r="N166">
            <v>0</v>
          </cell>
          <cell r="O166">
            <v>0</v>
          </cell>
          <cell r="Q166" t="e">
            <v>#VALUE!</v>
          </cell>
          <cell r="R166">
            <v>0</v>
          </cell>
          <cell r="S166" t="str">
            <v>Jan1900</v>
          </cell>
          <cell r="T166" t="str">
            <v>Jan1900</v>
          </cell>
          <cell r="U166" t="e">
            <v>#VALUE!</v>
          </cell>
          <cell r="V166" t="e">
            <v>#VALUE!</v>
          </cell>
          <cell r="W166" t="str">
            <v/>
          </cell>
          <cell r="X166" t="str">
            <v>INV-9900</v>
          </cell>
          <cell r="Y166" t="str">
            <v>Jan</v>
          </cell>
          <cell r="Z166">
            <v>1900</v>
          </cell>
          <cell r="AA166" t="str">
            <v>9900</v>
          </cell>
          <cell r="AB166" t="str">
            <v>9900-148</v>
          </cell>
          <cell r="AC166">
            <v>148</v>
          </cell>
          <cell r="AD166">
            <v>0</v>
          </cell>
          <cell r="AE166">
            <v>0</v>
          </cell>
          <cell r="AF166" t="str">
            <v/>
          </cell>
          <cell r="AG166" t="str">
            <v/>
          </cell>
          <cell r="AH166">
            <v>1</v>
          </cell>
          <cell r="AI166">
            <v>1</v>
          </cell>
          <cell r="AK166" t="str">
            <v>INV--9900-148</v>
          </cell>
          <cell r="AL166">
            <v>0</v>
          </cell>
          <cell r="AN166" t="str">
            <v>INVOICE</v>
          </cell>
          <cell r="AR166" t="str">
            <v/>
          </cell>
          <cell r="AS166" t="str">
            <v/>
          </cell>
          <cell r="AT166" t="str">
            <v/>
          </cell>
          <cell r="AU166" t="str">
            <v/>
          </cell>
          <cell r="AV166" t="str">
            <v/>
          </cell>
          <cell r="AW166" t="str">
            <v/>
          </cell>
          <cell r="AX166" t="str">
            <v/>
          </cell>
          <cell r="AY166" t="str">
            <v/>
          </cell>
          <cell r="AZ166" t="str">
            <v/>
          </cell>
          <cell r="BB166" t="str">
            <v/>
          </cell>
          <cell r="BC166" t="str">
            <v/>
          </cell>
          <cell r="BF166" t="str">
            <v/>
          </cell>
          <cell r="BI166">
            <v>0</v>
          </cell>
          <cell r="BJ166">
            <v>0</v>
          </cell>
          <cell r="BK166">
            <v>30</v>
          </cell>
          <cell r="BP166" t="str">
            <v/>
          </cell>
          <cell r="BQ166" t="str">
            <v/>
          </cell>
          <cell r="BR166" t="str">
            <v/>
          </cell>
          <cell r="BS166" t="str">
            <v/>
          </cell>
        </row>
        <row r="167">
          <cell r="B167" t="str">
            <v>INV--9900-149</v>
          </cell>
          <cell r="C167" t="str">
            <v/>
          </cell>
          <cell r="D167" t="e">
            <v>#VALUE!</v>
          </cell>
          <cell r="E167" t="str">
            <v>Jan1900</v>
          </cell>
          <cell r="F167">
            <v>31</v>
          </cell>
          <cell r="G167" t="e">
            <v>#VALUE!</v>
          </cell>
          <cell r="H167">
            <v>1</v>
          </cell>
          <cell r="I167">
            <v>1</v>
          </cell>
          <cell r="J167">
            <v>0</v>
          </cell>
          <cell r="K167" t="str">
            <v>0Jan1900</v>
          </cell>
          <cell r="L167" t="str">
            <v>Buildings</v>
          </cell>
          <cell r="M167" t="str">
            <v>BuildingsJan1900</v>
          </cell>
          <cell r="N167">
            <v>0</v>
          </cell>
          <cell r="O167">
            <v>0</v>
          </cell>
          <cell r="Q167" t="e">
            <v>#VALUE!</v>
          </cell>
          <cell r="R167">
            <v>0</v>
          </cell>
          <cell r="S167" t="str">
            <v>Jan1900</v>
          </cell>
          <cell r="T167" t="str">
            <v>Jan1900</v>
          </cell>
          <cell r="U167" t="e">
            <v>#VALUE!</v>
          </cell>
          <cell r="V167" t="e">
            <v>#VALUE!</v>
          </cell>
          <cell r="W167" t="str">
            <v/>
          </cell>
          <cell r="X167" t="str">
            <v>INV-9900</v>
          </cell>
          <cell r="Y167" t="str">
            <v>Jan</v>
          </cell>
          <cell r="Z167">
            <v>1900</v>
          </cell>
          <cell r="AA167" t="str">
            <v>9900</v>
          </cell>
          <cell r="AB167" t="str">
            <v>9900-149</v>
          </cell>
          <cell r="AC167">
            <v>149</v>
          </cell>
          <cell r="AD167">
            <v>0</v>
          </cell>
          <cell r="AE167">
            <v>0</v>
          </cell>
          <cell r="AF167" t="str">
            <v/>
          </cell>
          <cell r="AG167" t="str">
            <v/>
          </cell>
          <cell r="AH167">
            <v>1</v>
          </cell>
          <cell r="AI167">
            <v>1</v>
          </cell>
          <cell r="AK167" t="str">
            <v>INV--9900-149</v>
          </cell>
          <cell r="AL167">
            <v>0</v>
          </cell>
          <cell r="AN167" t="str">
            <v>INVOICE</v>
          </cell>
          <cell r="AR167" t="str">
            <v/>
          </cell>
          <cell r="AS167" t="str">
            <v/>
          </cell>
          <cell r="AT167" t="str">
            <v/>
          </cell>
          <cell r="AU167" t="str">
            <v/>
          </cell>
          <cell r="AV167" t="str">
            <v/>
          </cell>
          <cell r="AW167" t="str">
            <v/>
          </cell>
          <cell r="AX167" t="str">
            <v/>
          </cell>
          <cell r="AY167" t="str">
            <v/>
          </cell>
          <cell r="AZ167" t="str">
            <v/>
          </cell>
          <cell r="BB167" t="str">
            <v/>
          </cell>
          <cell r="BC167" t="str">
            <v/>
          </cell>
          <cell r="BF167" t="str">
            <v/>
          </cell>
          <cell r="BI167">
            <v>0</v>
          </cell>
          <cell r="BJ167">
            <v>0</v>
          </cell>
          <cell r="BK167">
            <v>30</v>
          </cell>
          <cell r="BP167" t="str">
            <v/>
          </cell>
          <cell r="BQ167" t="str">
            <v/>
          </cell>
          <cell r="BR167" t="str">
            <v/>
          </cell>
          <cell r="BS167" t="str">
            <v/>
          </cell>
        </row>
        <row r="168">
          <cell r="B168" t="str">
            <v>INV--9900-150</v>
          </cell>
          <cell r="C168" t="str">
            <v/>
          </cell>
          <cell r="D168" t="e">
            <v>#VALUE!</v>
          </cell>
          <cell r="E168" t="str">
            <v>Jan1900</v>
          </cell>
          <cell r="F168">
            <v>31</v>
          </cell>
          <cell r="G168" t="e">
            <v>#VALUE!</v>
          </cell>
          <cell r="H168">
            <v>1</v>
          </cell>
          <cell r="I168">
            <v>1</v>
          </cell>
          <cell r="J168">
            <v>0</v>
          </cell>
          <cell r="K168" t="str">
            <v>0Jan1900</v>
          </cell>
          <cell r="L168" t="str">
            <v>Buildings</v>
          </cell>
          <cell r="M168" t="str">
            <v>BuildingsJan1900</v>
          </cell>
          <cell r="N168">
            <v>0</v>
          </cell>
          <cell r="O168">
            <v>0</v>
          </cell>
          <cell r="Q168" t="e">
            <v>#VALUE!</v>
          </cell>
          <cell r="R168">
            <v>0</v>
          </cell>
          <cell r="S168" t="str">
            <v>Jan1900</v>
          </cell>
          <cell r="T168" t="str">
            <v>Jan1900</v>
          </cell>
          <cell r="U168" t="e">
            <v>#VALUE!</v>
          </cell>
          <cell r="V168" t="e">
            <v>#VALUE!</v>
          </cell>
          <cell r="W168" t="str">
            <v/>
          </cell>
          <cell r="X168" t="str">
            <v>INV-9900</v>
          </cell>
          <cell r="Y168" t="str">
            <v>Jan</v>
          </cell>
          <cell r="Z168">
            <v>1900</v>
          </cell>
          <cell r="AA168" t="str">
            <v>9900</v>
          </cell>
          <cell r="AB168" t="str">
            <v>9900-150</v>
          </cell>
          <cell r="AC168">
            <v>150</v>
          </cell>
          <cell r="AD168">
            <v>0</v>
          </cell>
          <cell r="AE168">
            <v>0</v>
          </cell>
          <cell r="AF168" t="str">
            <v/>
          </cell>
          <cell r="AG168" t="str">
            <v/>
          </cell>
          <cell r="AH168">
            <v>1</v>
          </cell>
          <cell r="AI168">
            <v>1</v>
          </cell>
          <cell r="AK168" t="str">
            <v>INV--9900-150</v>
          </cell>
          <cell r="AL168">
            <v>0</v>
          </cell>
          <cell r="AN168" t="str">
            <v>INVOICE</v>
          </cell>
          <cell r="AR168" t="str">
            <v/>
          </cell>
          <cell r="AS168" t="str">
            <v/>
          </cell>
          <cell r="AT168" t="str">
            <v/>
          </cell>
          <cell r="AU168" t="str">
            <v/>
          </cell>
          <cell r="AV168" t="str">
            <v/>
          </cell>
          <cell r="AW168" t="str">
            <v/>
          </cell>
          <cell r="AX168" t="str">
            <v/>
          </cell>
          <cell r="AY168" t="str">
            <v/>
          </cell>
          <cell r="AZ168" t="str">
            <v/>
          </cell>
          <cell r="BB168" t="str">
            <v/>
          </cell>
          <cell r="BC168" t="str">
            <v/>
          </cell>
          <cell r="BF168" t="str">
            <v/>
          </cell>
          <cell r="BI168">
            <v>0</v>
          </cell>
          <cell r="BJ168">
            <v>0</v>
          </cell>
          <cell r="BK168">
            <v>30</v>
          </cell>
          <cell r="BP168" t="str">
            <v/>
          </cell>
          <cell r="BQ168" t="str">
            <v/>
          </cell>
          <cell r="BR168" t="str">
            <v/>
          </cell>
          <cell r="BS168" t="str">
            <v/>
          </cell>
        </row>
        <row r="169">
          <cell r="B169" t="str">
            <v>INV--9900-151</v>
          </cell>
          <cell r="C169" t="str">
            <v/>
          </cell>
          <cell r="D169" t="e">
            <v>#VALUE!</v>
          </cell>
          <cell r="E169" t="str">
            <v>Jan1900</v>
          </cell>
          <cell r="F169">
            <v>31</v>
          </cell>
          <cell r="G169" t="e">
            <v>#VALUE!</v>
          </cell>
          <cell r="H169">
            <v>1</v>
          </cell>
          <cell r="I169">
            <v>1</v>
          </cell>
          <cell r="J169">
            <v>0</v>
          </cell>
          <cell r="K169" t="str">
            <v>0Jan1900</v>
          </cell>
          <cell r="L169" t="str">
            <v>Buildings</v>
          </cell>
          <cell r="M169" t="str">
            <v>BuildingsJan1900</v>
          </cell>
          <cell r="N169">
            <v>0</v>
          </cell>
          <cell r="O169">
            <v>0</v>
          </cell>
          <cell r="Q169" t="e">
            <v>#VALUE!</v>
          </cell>
          <cell r="R169">
            <v>0</v>
          </cell>
          <cell r="S169" t="str">
            <v>Jan1900</v>
          </cell>
          <cell r="T169" t="str">
            <v>Jan1900</v>
          </cell>
          <cell r="U169" t="e">
            <v>#VALUE!</v>
          </cell>
          <cell r="V169" t="e">
            <v>#VALUE!</v>
          </cell>
          <cell r="W169" t="str">
            <v/>
          </cell>
          <cell r="X169" t="str">
            <v>INV-9900</v>
          </cell>
          <cell r="Y169" t="str">
            <v>Jan</v>
          </cell>
          <cell r="Z169">
            <v>1900</v>
          </cell>
          <cell r="AA169" t="str">
            <v>9900</v>
          </cell>
          <cell r="AB169" t="str">
            <v>9900-151</v>
          </cell>
          <cell r="AC169">
            <v>151</v>
          </cell>
          <cell r="AD169">
            <v>0</v>
          </cell>
          <cell r="AE169">
            <v>0</v>
          </cell>
          <cell r="AF169" t="str">
            <v/>
          </cell>
          <cell r="AG169" t="str">
            <v/>
          </cell>
          <cell r="AH169">
            <v>1</v>
          </cell>
          <cell r="AI169">
            <v>1</v>
          </cell>
          <cell r="AK169" t="str">
            <v>INV--9900-151</v>
          </cell>
          <cell r="AL169">
            <v>0</v>
          </cell>
          <cell r="AN169" t="str">
            <v>INVOICE</v>
          </cell>
          <cell r="AR169" t="str">
            <v/>
          </cell>
          <cell r="AS169" t="str">
            <v/>
          </cell>
          <cell r="AT169" t="str">
            <v/>
          </cell>
          <cell r="AU169" t="str">
            <v/>
          </cell>
          <cell r="AV169" t="str">
            <v/>
          </cell>
          <cell r="AW169" t="str">
            <v/>
          </cell>
          <cell r="AX169" t="str">
            <v/>
          </cell>
          <cell r="AY169" t="str">
            <v/>
          </cell>
          <cell r="AZ169" t="str">
            <v/>
          </cell>
          <cell r="BB169" t="str">
            <v/>
          </cell>
          <cell r="BC169" t="str">
            <v/>
          </cell>
          <cell r="BF169" t="str">
            <v/>
          </cell>
          <cell r="BI169">
            <v>0</v>
          </cell>
          <cell r="BJ169">
            <v>0</v>
          </cell>
          <cell r="BK169">
            <v>30</v>
          </cell>
          <cell r="BP169" t="str">
            <v/>
          </cell>
          <cell r="BQ169" t="str">
            <v/>
          </cell>
          <cell r="BR169" t="str">
            <v/>
          </cell>
          <cell r="BS169" t="str">
            <v/>
          </cell>
        </row>
        <row r="170">
          <cell r="B170" t="str">
            <v>INV--9900-152</v>
          </cell>
          <cell r="C170" t="str">
            <v/>
          </cell>
          <cell r="D170" t="e">
            <v>#VALUE!</v>
          </cell>
          <cell r="E170" t="str">
            <v>Jan1900</v>
          </cell>
          <cell r="F170">
            <v>31</v>
          </cell>
          <cell r="G170" t="e">
            <v>#VALUE!</v>
          </cell>
          <cell r="H170">
            <v>1</v>
          </cell>
          <cell r="I170">
            <v>1</v>
          </cell>
          <cell r="J170">
            <v>0</v>
          </cell>
          <cell r="K170" t="str">
            <v>0Jan1900</v>
          </cell>
          <cell r="L170" t="str">
            <v>Buildings</v>
          </cell>
          <cell r="M170" t="str">
            <v>BuildingsJan1900</v>
          </cell>
          <cell r="N170">
            <v>0</v>
          </cell>
          <cell r="O170">
            <v>0</v>
          </cell>
          <cell r="Q170" t="e">
            <v>#VALUE!</v>
          </cell>
          <cell r="R170">
            <v>0</v>
          </cell>
          <cell r="S170" t="str">
            <v>Jan1900</v>
          </cell>
          <cell r="T170" t="str">
            <v>Jan1900</v>
          </cell>
          <cell r="U170" t="e">
            <v>#VALUE!</v>
          </cell>
          <cell r="V170" t="e">
            <v>#VALUE!</v>
          </cell>
          <cell r="W170" t="str">
            <v/>
          </cell>
          <cell r="X170" t="str">
            <v>INV-9900</v>
          </cell>
          <cell r="Y170" t="str">
            <v>Jan</v>
          </cell>
          <cell r="Z170">
            <v>1900</v>
          </cell>
          <cell r="AA170" t="str">
            <v>9900</v>
          </cell>
          <cell r="AB170" t="str">
            <v>9900-152</v>
          </cell>
          <cell r="AC170">
            <v>152</v>
          </cell>
          <cell r="AD170">
            <v>0</v>
          </cell>
          <cell r="AE170">
            <v>0</v>
          </cell>
          <cell r="AF170" t="str">
            <v/>
          </cell>
          <cell r="AG170" t="str">
            <v/>
          </cell>
          <cell r="AH170">
            <v>1</v>
          </cell>
          <cell r="AI170">
            <v>1</v>
          </cell>
          <cell r="AK170" t="str">
            <v>INV--9900-152</v>
          </cell>
          <cell r="AL170">
            <v>0</v>
          </cell>
          <cell r="AN170" t="str">
            <v>INVOICE</v>
          </cell>
          <cell r="AR170" t="str">
            <v/>
          </cell>
          <cell r="AS170" t="str">
            <v/>
          </cell>
          <cell r="AT170" t="str">
            <v/>
          </cell>
          <cell r="AU170" t="str">
            <v/>
          </cell>
          <cell r="AV170" t="str">
            <v/>
          </cell>
          <cell r="AW170" t="str">
            <v/>
          </cell>
          <cell r="AX170" t="str">
            <v/>
          </cell>
          <cell r="AY170" t="str">
            <v/>
          </cell>
          <cell r="AZ170" t="str">
            <v/>
          </cell>
          <cell r="BB170" t="str">
            <v/>
          </cell>
          <cell r="BC170" t="str">
            <v/>
          </cell>
          <cell r="BF170" t="str">
            <v/>
          </cell>
          <cell r="BI170">
            <v>0</v>
          </cell>
          <cell r="BJ170">
            <v>0</v>
          </cell>
          <cell r="BK170">
            <v>30</v>
          </cell>
          <cell r="BP170" t="str">
            <v/>
          </cell>
          <cell r="BQ170" t="str">
            <v/>
          </cell>
          <cell r="BR170" t="str">
            <v/>
          </cell>
          <cell r="BS170" t="str">
            <v/>
          </cell>
        </row>
        <row r="171">
          <cell r="B171" t="str">
            <v>INV--9900-153</v>
          </cell>
          <cell r="C171" t="str">
            <v/>
          </cell>
          <cell r="D171" t="e">
            <v>#VALUE!</v>
          </cell>
          <cell r="E171" t="str">
            <v>Jan1900</v>
          </cell>
          <cell r="F171">
            <v>31</v>
          </cell>
          <cell r="G171" t="e">
            <v>#VALUE!</v>
          </cell>
          <cell r="H171">
            <v>1</v>
          </cell>
          <cell r="I171">
            <v>1</v>
          </cell>
          <cell r="J171">
            <v>0</v>
          </cell>
          <cell r="K171" t="str">
            <v>0Jan1900</v>
          </cell>
          <cell r="L171" t="str">
            <v>Buildings</v>
          </cell>
          <cell r="M171" t="str">
            <v>BuildingsJan1900</v>
          </cell>
          <cell r="N171">
            <v>0</v>
          </cell>
          <cell r="O171">
            <v>0</v>
          </cell>
          <cell r="Q171" t="e">
            <v>#VALUE!</v>
          </cell>
          <cell r="R171">
            <v>0</v>
          </cell>
          <cell r="S171" t="str">
            <v>Jan1900</v>
          </cell>
          <cell r="T171" t="str">
            <v>Jan1900</v>
          </cell>
          <cell r="U171" t="e">
            <v>#VALUE!</v>
          </cell>
          <cell r="V171" t="e">
            <v>#VALUE!</v>
          </cell>
          <cell r="W171" t="str">
            <v/>
          </cell>
          <cell r="X171" t="str">
            <v>INV-9900</v>
          </cell>
          <cell r="Y171" t="str">
            <v>Jan</v>
          </cell>
          <cell r="Z171">
            <v>1900</v>
          </cell>
          <cell r="AA171" t="str">
            <v>9900</v>
          </cell>
          <cell r="AB171" t="str">
            <v>9900-153</v>
          </cell>
          <cell r="AC171">
            <v>153</v>
          </cell>
          <cell r="AD171">
            <v>0</v>
          </cell>
          <cell r="AE171">
            <v>0</v>
          </cell>
          <cell r="AF171" t="str">
            <v/>
          </cell>
          <cell r="AG171" t="str">
            <v/>
          </cell>
          <cell r="AH171">
            <v>1</v>
          </cell>
          <cell r="AI171">
            <v>1</v>
          </cell>
          <cell r="AK171" t="str">
            <v>INV--9900-153</v>
          </cell>
          <cell r="AL171">
            <v>0</v>
          </cell>
          <cell r="AN171" t="str">
            <v>INVOICE</v>
          </cell>
          <cell r="AR171" t="str">
            <v/>
          </cell>
          <cell r="AS171" t="str">
            <v/>
          </cell>
          <cell r="AT171" t="str">
            <v/>
          </cell>
          <cell r="AU171" t="str">
            <v/>
          </cell>
          <cell r="AV171" t="str">
            <v/>
          </cell>
          <cell r="AW171" t="str">
            <v/>
          </cell>
          <cell r="AX171" t="str">
            <v/>
          </cell>
          <cell r="AY171" t="str">
            <v/>
          </cell>
          <cell r="AZ171" t="str">
            <v/>
          </cell>
          <cell r="BB171" t="str">
            <v/>
          </cell>
          <cell r="BC171" t="str">
            <v/>
          </cell>
          <cell r="BF171" t="str">
            <v/>
          </cell>
          <cell r="BI171">
            <v>0</v>
          </cell>
          <cell r="BJ171">
            <v>0</v>
          </cell>
          <cell r="BK171">
            <v>30</v>
          </cell>
          <cell r="BP171" t="str">
            <v/>
          </cell>
          <cell r="BQ171" t="str">
            <v/>
          </cell>
          <cell r="BR171" t="str">
            <v/>
          </cell>
          <cell r="BS171" t="str">
            <v/>
          </cell>
        </row>
        <row r="172">
          <cell r="B172" t="str">
            <v>INV--9900-154</v>
          </cell>
          <cell r="C172" t="str">
            <v/>
          </cell>
          <cell r="D172" t="e">
            <v>#VALUE!</v>
          </cell>
          <cell r="E172" t="str">
            <v>Jan1900</v>
          </cell>
          <cell r="F172">
            <v>31</v>
          </cell>
          <cell r="G172" t="e">
            <v>#VALUE!</v>
          </cell>
          <cell r="H172">
            <v>1</v>
          </cell>
          <cell r="I172">
            <v>1</v>
          </cell>
          <cell r="J172">
            <v>0</v>
          </cell>
          <cell r="K172" t="str">
            <v>0Jan1900</v>
          </cell>
          <cell r="L172" t="str">
            <v>Buildings</v>
          </cell>
          <cell r="M172" t="str">
            <v>BuildingsJan1900</v>
          </cell>
          <cell r="N172">
            <v>0</v>
          </cell>
          <cell r="O172">
            <v>0</v>
          </cell>
          <cell r="Q172" t="e">
            <v>#VALUE!</v>
          </cell>
          <cell r="R172">
            <v>0</v>
          </cell>
          <cell r="S172" t="str">
            <v>Jan1900</v>
          </cell>
          <cell r="T172" t="str">
            <v>Jan1900</v>
          </cell>
          <cell r="U172" t="e">
            <v>#VALUE!</v>
          </cell>
          <cell r="V172" t="e">
            <v>#VALUE!</v>
          </cell>
          <cell r="W172" t="str">
            <v/>
          </cell>
          <cell r="X172" t="str">
            <v>INV-9900</v>
          </cell>
          <cell r="Y172" t="str">
            <v>Jan</v>
          </cell>
          <cell r="Z172">
            <v>1900</v>
          </cell>
          <cell r="AA172" t="str">
            <v>9900</v>
          </cell>
          <cell r="AB172" t="str">
            <v>9900-154</v>
          </cell>
          <cell r="AC172">
            <v>154</v>
          </cell>
          <cell r="AD172">
            <v>0</v>
          </cell>
          <cell r="AE172">
            <v>0</v>
          </cell>
          <cell r="AF172" t="str">
            <v/>
          </cell>
          <cell r="AG172" t="str">
            <v/>
          </cell>
          <cell r="AH172">
            <v>1</v>
          </cell>
          <cell r="AI172">
            <v>1</v>
          </cell>
          <cell r="AK172" t="str">
            <v>INV--9900-154</v>
          </cell>
          <cell r="AL172">
            <v>0</v>
          </cell>
          <cell r="AN172" t="str">
            <v>INVOICE</v>
          </cell>
          <cell r="AR172" t="str">
            <v/>
          </cell>
          <cell r="AS172" t="str">
            <v/>
          </cell>
          <cell r="AT172" t="str">
            <v/>
          </cell>
          <cell r="AU172" t="str">
            <v/>
          </cell>
          <cell r="AV172" t="str">
            <v/>
          </cell>
          <cell r="AW172" t="str">
            <v/>
          </cell>
          <cell r="AX172" t="str">
            <v/>
          </cell>
          <cell r="AY172" t="str">
            <v/>
          </cell>
          <cell r="AZ172" t="str">
            <v/>
          </cell>
          <cell r="BB172" t="str">
            <v/>
          </cell>
          <cell r="BC172" t="str">
            <v/>
          </cell>
          <cell r="BF172" t="str">
            <v/>
          </cell>
          <cell r="BI172">
            <v>0</v>
          </cell>
          <cell r="BJ172">
            <v>0</v>
          </cell>
          <cell r="BK172">
            <v>30</v>
          </cell>
          <cell r="BP172" t="str">
            <v/>
          </cell>
          <cell r="BQ172" t="str">
            <v/>
          </cell>
          <cell r="BR172" t="str">
            <v/>
          </cell>
          <cell r="BS172" t="str">
            <v/>
          </cell>
        </row>
        <row r="173">
          <cell r="B173" t="str">
            <v>INV--9900-155</v>
          </cell>
          <cell r="C173" t="str">
            <v/>
          </cell>
          <cell r="D173" t="e">
            <v>#VALUE!</v>
          </cell>
          <cell r="E173" t="str">
            <v>Jan1900</v>
          </cell>
          <cell r="F173">
            <v>31</v>
          </cell>
          <cell r="G173" t="e">
            <v>#VALUE!</v>
          </cell>
          <cell r="H173">
            <v>1</v>
          </cell>
          <cell r="I173">
            <v>1</v>
          </cell>
          <cell r="J173">
            <v>0</v>
          </cell>
          <cell r="K173" t="str">
            <v>0Jan1900</v>
          </cell>
          <cell r="L173" t="str">
            <v>Buildings</v>
          </cell>
          <cell r="M173" t="str">
            <v>BuildingsJan1900</v>
          </cell>
          <cell r="N173">
            <v>0</v>
          </cell>
          <cell r="O173">
            <v>0</v>
          </cell>
          <cell r="Q173" t="e">
            <v>#VALUE!</v>
          </cell>
          <cell r="R173">
            <v>0</v>
          </cell>
          <cell r="S173" t="str">
            <v>Jan1900</v>
          </cell>
          <cell r="T173" t="str">
            <v>Jan1900</v>
          </cell>
          <cell r="U173" t="e">
            <v>#VALUE!</v>
          </cell>
          <cell r="V173" t="e">
            <v>#VALUE!</v>
          </cell>
          <cell r="W173" t="str">
            <v/>
          </cell>
          <cell r="X173" t="str">
            <v>INV-9900</v>
          </cell>
          <cell r="Y173" t="str">
            <v>Jan</v>
          </cell>
          <cell r="Z173">
            <v>1900</v>
          </cell>
          <cell r="AA173" t="str">
            <v>9900</v>
          </cell>
          <cell r="AB173" t="str">
            <v>9900-155</v>
          </cell>
          <cell r="AC173">
            <v>155</v>
          </cell>
          <cell r="AD173">
            <v>0</v>
          </cell>
          <cell r="AE173">
            <v>0</v>
          </cell>
          <cell r="AF173" t="str">
            <v/>
          </cell>
          <cell r="AG173" t="str">
            <v/>
          </cell>
          <cell r="AH173">
            <v>1</v>
          </cell>
          <cell r="AI173">
            <v>1</v>
          </cell>
          <cell r="AK173" t="str">
            <v>INV--9900-155</v>
          </cell>
          <cell r="AL173">
            <v>0</v>
          </cell>
          <cell r="AN173" t="str">
            <v>INVOICE</v>
          </cell>
          <cell r="AR173" t="str">
            <v/>
          </cell>
          <cell r="AS173" t="str">
            <v/>
          </cell>
          <cell r="AT173" t="str">
            <v/>
          </cell>
          <cell r="AU173" t="str">
            <v/>
          </cell>
          <cell r="AV173" t="str">
            <v/>
          </cell>
          <cell r="AW173" t="str">
            <v/>
          </cell>
          <cell r="AX173" t="str">
            <v/>
          </cell>
          <cell r="AY173" t="str">
            <v/>
          </cell>
          <cell r="AZ173" t="str">
            <v/>
          </cell>
          <cell r="BB173" t="str">
            <v/>
          </cell>
          <cell r="BC173" t="str">
            <v/>
          </cell>
          <cell r="BF173" t="str">
            <v/>
          </cell>
          <cell r="BI173">
            <v>0</v>
          </cell>
          <cell r="BJ173">
            <v>0</v>
          </cell>
          <cell r="BK173">
            <v>30</v>
          </cell>
          <cell r="BP173" t="str">
            <v/>
          </cell>
          <cell r="BQ173" t="str">
            <v/>
          </cell>
          <cell r="BR173" t="str">
            <v/>
          </cell>
          <cell r="BS173" t="str">
            <v/>
          </cell>
        </row>
        <row r="174">
          <cell r="B174" t="str">
            <v>INV--9900-156</v>
          </cell>
          <cell r="C174" t="str">
            <v/>
          </cell>
          <cell r="D174" t="e">
            <v>#VALUE!</v>
          </cell>
          <cell r="E174" t="str">
            <v>Jan1900</v>
          </cell>
          <cell r="F174">
            <v>31</v>
          </cell>
          <cell r="G174" t="e">
            <v>#VALUE!</v>
          </cell>
          <cell r="H174">
            <v>1</v>
          </cell>
          <cell r="I174">
            <v>1</v>
          </cell>
          <cell r="J174">
            <v>0</v>
          </cell>
          <cell r="K174" t="str">
            <v>0Jan1900</v>
          </cell>
          <cell r="L174" t="str">
            <v>Buildings</v>
          </cell>
          <cell r="M174" t="str">
            <v>BuildingsJan1900</v>
          </cell>
          <cell r="N174">
            <v>0</v>
          </cell>
          <cell r="O174">
            <v>0</v>
          </cell>
          <cell r="Q174" t="e">
            <v>#VALUE!</v>
          </cell>
          <cell r="R174">
            <v>0</v>
          </cell>
          <cell r="S174" t="str">
            <v>Jan1900</v>
          </cell>
          <cell r="T174" t="str">
            <v>Jan1900</v>
          </cell>
          <cell r="U174" t="e">
            <v>#VALUE!</v>
          </cell>
          <cell r="V174" t="e">
            <v>#VALUE!</v>
          </cell>
          <cell r="W174" t="str">
            <v/>
          </cell>
          <cell r="X174" t="str">
            <v>INV-9900</v>
          </cell>
          <cell r="Y174" t="str">
            <v>Jan</v>
          </cell>
          <cell r="Z174">
            <v>1900</v>
          </cell>
          <cell r="AA174" t="str">
            <v>9900</v>
          </cell>
          <cell r="AB174" t="str">
            <v>9900-156</v>
          </cell>
          <cell r="AC174">
            <v>156</v>
          </cell>
          <cell r="AD174">
            <v>0</v>
          </cell>
          <cell r="AE174">
            <v>0</v>
          </cell>
          <cell r="AF174" t="str">
            <v/>
          </cell>
          <cell r="AG174" t="str">
            <v/>
          </cell>
          <cell r="AH174">
            <v>1</v>
          </cell>
          <cell r="AI174">
            <v>1</v>
          </cell>
          <cell r="AK174" t="str">
            <v>INV--9900-156</v>
          </cell>
          <cell r="AL174">
            <v>0</v>
          </cell>
          <cell r="AN174" t="str">
            <v>INVOICE</v>
          </cell>
          <cell r="AR174" t="str">
            <v/>
          </cell>
          <cell r="AS174" t="str">
            <v/>
          </cell>
          <cell r="AT174" t="str">
            <v/>
          </cell>
          <cell r="AU174" t="str">
            <v/>
          </cell>
          <cell r="AV174" t="str">
            <v/>
          </cell>
          <cell r="AW174" t="str">
            <v/>
          </cell>
          <cell r="AX174" t="str">
            <v/>
          </cell>
          <cell r="AY174" t="str">
            <v/>
          </cell>
          <cell r="AZ174" t="str">
            <v/>
          </cell>
          <cell r="BB174" t="str">
            <v/>
          </cell>
          <cell r="BC174" t="str">
            <v/>
          </cell>
          <cell r="BF174" t="str">
            <v/>
          </cell>
          <cell r="BI174">
            <v>0</v>
          </cell>
          <cell r="BJ174">
            <v>0</v>
          </cell>
          <cell r="BK174">
            <v>30</v>
          </cell>
          <cell r="BP174" t="str">
            <v/>
          </cell>
          <cell r="BQ174" t="str">
            <v/>
          </cell>
          <cell r="BR174" t="str">
            <v/>
          </cell>
          <cell r="BS174" t="str">
            <v/>
          </cell>
        </row>
        <row r="175">
          <cell r="B175" t="str">
            <v>INV--9900-157</v>
          </cell>
          <cell r="C175" t="str">
            <v/>
          </cell>
          <cell r="D175" t="e">
            <v>#VALUE!</v>
          </cell>
          <cell r="E175" t="str">
            <v>Jan1900</v>
          </cell>
          <cell r="F175">
            <v>31</v>
          </cell>
          <cell r="G175" t="e">
            <v>#VALUE!</v>
          </cell>
          <cell r="H175">
            <v>1</v>
          </cell>
          <cell r="I175">
            <v>1</v>
          </cell>
          <cell r="J175">
            <v>0</v>
          </cell>
          <cell r="K175" t="str">
            <v>0Jan1900</v>
          </cell>
          <cell r="L175" t="str">
            <v>Buildings</v>
          </cell>
          <cell r="M175" t="str">
            <v>BuildingsJan1900</v>
          </cell>
          <cell r="N175">
            <v>0</v>
          </cell>
          <cell r="O175">
            <v>0</v>
          </cell>
          <cell r="Q175" t="e">
            <v>#VALUE!</v>
          </cell>
          <cell r="R175">
            <v>0</v>
          </cell>
          <cell r="S175" t="str">
            <v>Jan1900</v>
          </cell>
          <cell r="T175" t="str">
            <v>Jan1900</v>
          </cell>
          <cell r="U175" t="e">
            <v>#VALUE!</v>
          </cell>
          <cell r="V175" t="e">
            <v>#VALUE!</v>
          </cell>
          <cell r="W175" t="str">
            <v/>
          </cell>
          <cell r="X175" t="str">
            <v>INV-9900</v>
          </cell>
          <cell r="Y175" t="str">
            <v>Jan</v>
          </cell>
          <cell r="Z175">
            <v>1900</v>
          </cell>
          <cell r="AA175" t="str">
            <v>9900</v>
          </cell>
          <cell r="AB175" t="str">
            <v>9900-157</v>
          </cell>
          <cell r="AC175">
            <v>157</v>
          </cell>
          <cell r="AD175">
            <v>0</v>
          </cell>
          <cell r="AE175">
            <v>0</v>
          </cell>
          <cell r="AF175" t="str">
            <v/>
          </cell>
          <cell r="AG175" t="str">
            <v/>
          </cell>
          <cell r="AH175">
            <v>1</v>
          </cell>
          <cell r="AI175">
            <v>1</v>
          </cell>
          <cell r="AK175" t="str">
            <v>INV--9900-157</v>
          </cell>
          <cell r="AL175">
            <v>0</v>
          </cell>
          <cell r="AN175" t="str">
            <v>INVOICE</v>
          </cell>
          <cell r="AR175" t="str">
            <v/>
          </cell>
          <cell r="AS175" t="str">
            <v/>
          </cell>
          <cell r="AT175" t="str">
            <v/>
          </cell>
          <cell r="AU175" t="str">
            <v/>
          </cell>
          <cell r="AV175" t="str">
            <v/>
          </cell>
          <cell r="AW175" t="str">
            <v/>
          </cell>
          <cell r="AX175" t="str">
            <v/>
          </cell>
          <cell r="AY175" t="str">
            <v/>
          </cell>
          <cell r="AZ175" t="str">
            <v/>
          </cell>
          <cell r="BB175" t="str">
            <v/>
          </cell>
          <cell r="BC175" t="str">
            <v/>
          </cell>
          <cell r="BF175" t="str">
            <v/>
          </cell>
          <cell r="BI175">
            <v>0</v>
          </cell>
          <cell r="BJ175">
            <v>0</v>
          </cell>
          <cell r="BK175">
            <v>30</v>
          </cell>
          <cell r="BP175" t="str">
            <v/>
          </cell>
          <cell r="BQ175" t="str">
            <v/>
          </cell>
          <cell r="BR175" t="str">
            <v/>
          </cell>
          <cell r="BS175" t="str">
            <v/>
          </cell>
        </row>
        <row r="176">
          <cell r="B176" t="str">
            <v>INV--9900-158</v>
          </cell>
          <cell r="C176" t="str">
            <v/>
          </cell>
          <cell r="D176" t="e">
            <v>#VALUE!</v>
          </cell>
          <cell r="E176" t="str">
            <v>Jan1900</v>
          </cell>
          <cell r="F176">
            <v>31</v>
          </cell>
          <cell r="G176" t="e">
            <v>#VALUE!</v>
          </cell>
          <cell r="H176">
            <v>1</v>
          </cell>
          <cell r="I176">
            <v>1</v>
          </cell>
          <cell r="J176">
            <v>0</v>
          </cell>
          <cell r="K176" t="str">
            <v>0Jan1900</v>
          </cell>
          <cell r="L176" t="str">
            <v>Buildings</v>
          </cell>
          <cell r="M176" t="str">
            <v>BuildingsJan1900</v>
          </cell>
          <cell r="N176">
            <v>0</v>
          </cell>
          <cell r="O176">
            <v>0</v>
          </cell>
          <cell r="Q176" t="e">
            <v>#VALUE!</v>
          </cell>
          <cell r="R176">
            <v>0</v>
          </cell>
          <cell r="S176" t="str">
            <v>Jan1900</v>
          </cell>
          <cell r="T176" t="str">
            <v>Jan1900</v>
          </cell>
          <cell r="U176" t="e">
            <v>#VALUE!</v>
          </cell>
          <cell r="V176" t="e">
            <v>#VALUE!</v>
          </cell>
          <cell r="W176" t="str">
            <v/>
          </cell>
          <cell r="X176" t="str">
            <v>INV-9900</v>
          </cell>
          <cell r="Y176" t="str">
            <v>Jan</v>
          </cell>
          <cell r="Z176">
            <v>1900</v>
          </cell>
          <cell r="AA176" t="str">
            <v>9900</v>
          </cell>
          <cell r="AB176" t="str">
            <v>9900-158</v>
          </cell>
          <cell r="AC176">
            <v>158</v>
          </cell>
          <cell r="AD176">
            <v>0</v>
          </cell>
          <cell r="AE176">
            <v>0</v>
          </cell>
          <cell r="AF176" t="str">
            <v/>
          </cell>
          <cell r="AG176" t="str">
            <v/>
          </cell>
          <cell r="AH176">
            <v>1</v>
          </cell>
          <cell r="AI176">
            <v>1</v>
          </cell>
          <cell r="AK176" t="str">
            <v>INV--9900-158</v>
          </cell>
          <cell r="AL176">
            <v>0</v>
          </cell>
          <cell r="AN176" t="str">
            <v>INVOICE</v>
          </cell>
          <cell r="AR176" t="str">
            <v/>
          </cell>
          <cell r="AS176" t="str">
            <v/>
          </cell>
          <cell r="AT176" t="str">
            <v/>
          </cell>
          <cell r="AU176" t="str">
            <v/>
          </cell>
          <cell r="AV176" t="str">
            <v/>
          </cell>
          <cell r="AW176" t="str">
            <v/>
          </cell>
          <cell r="AX176" t="str">
            <v/>
          </cell>
          <cell r="AY176" t="str">
            <v/>
          </cell>
          <cell r="AZ176" t="str">
            <v/>
          </cell>
          <cell r="BB176" t="str">
            <v/>
          </cell>
          <cell r="BC176" t="str">
            <v/>
          </cell>
          <cell r="BF176" t="str">
            <v/>
          </cell>
          <cell r="BI176">
            <v>0</v>
          </cell>
          <cell r="BJ176">
            <v>0</v>
          </cell>
          <cell r="BK176">
            <v>30</v>
          </cell>
          <cell r="BP176" t="str">
            <v/>
          </cell>
          <cell r="BQ176" t="str">
            <v/>
          </cell>
          <cell r="BR176" t="str">
            <v/>
          </cell>
          <cell r="BS176" t="str">
            <v/>
          </cell>
        </row>
        <row r="177">
          <cell r="B177" t="str">
            <v>INV--9900-159</v>
          </cell>
          <cell r="C177" t="str">
            <v/>
          </cell>
          <cell r="D177" t="e">
            <v>#VALUE!</v>
          </cell>
          <cell r="E177" t="str">
            <v>Jan1900</v>
          </cell>
          <cell r="F177">
            <v>31</v>
          </cell>
          <cell r="G177" t="e">
            <v>#VALUE!</v>
          </cell>
          <cell r="H177">
            <v>1</v>
          </cell>
          <cell r="I177">
            <v>1</v>
          </cell>
          <cell r="J177">
            <v>0</v>
          </cell>
          <cell r="K177" t="str">
            <v>0Jan1900</v>
          </cell>
          <cell r="L177" t="str">
            <v>Buildings</v>
          </cell>
          <cell r="M177" t="str">
            <v>BuildingsJan1900</v>
          </cell>
          <cell r="N177">
            <v>0</v>
          </cell>
          <cell r="O177">
            <v>0</v>
          </cell>
          <cell r="Q177" t="e">
            <v>#VALUE!</v>
          </cell>
          <cell r="R177">
            <v>0</v>
          </cell>
          <cell r="S177" t="str">
            <v>Jan1900</v>
          </cell>
          <cell r="T177" t="str">
            <v>Jan1900</v>
          </cell>
          <cell r="U177" t="e">
            <v>#VALUE!</v>
          </cell>
          <cell r="V177" t="e">
            <v>#VALUE!</v>
          </cell>
          <cell r="W177" t="str">
            <v/>
          </cell>
          <cell r="X177" t="str">
            <v>INV-9900</v>
          </cell>
          <cell r="Y177" t="str">
            <v>Jan</v>
          </cell>
          <cell r="Z177">
            <v>1900</v>
          </cell>
          <cell r="AA177" t="str">
            <v>9900</v>
          </cell>
          <cell r="AB177" t="str">
            <v>9900-159</v>
          </cell>
          <cell r="AC177">
            <v>159</v>
          </cell>
          <cell r="AD177">
            <v>0</v>
          </cell>
          <cell r="AE177">
            <v>0</v>
          </cell>
          <cell r="AF177" t="str">
            <v/>
          </cell>
          <cell r="AG177" t="str">
            <v/>
          </cell>
          <cell r="AH177">
            <v>1</v>
          </cell>
          <cell r="AI177">
            <v>1</v>
          </cell>
          <cell r="AK177" t="str">
            <v>INV--9900-159</v>
          </cell>
          <cell r="AL177">
            <v>0</v>
          </cell>
          <cell r="AN177" t="str">
            <v>INVOICE</v>
          </cell>
          <cell r="AR177" t="str">
            <v/>
          </cell>
          <cell r="AS177" t="str">
            <v/>
          </cell>
          <cell r="AT177" t="str">
            <v/>
          </cell>
          <cell r="AU177" t="str">
            <v/>
          </cell>
          <cell r="AV177" t="str">
            <v/>
          </cell>
          <cell r="AW177" t="str">
            <v/>
          </cell>
          <cell r="AX177" t="str">
            <v/>
          </cell>
          <cell r="AY177" t="str">
            <v/>
          </cell>
          <cell r="AZ177" t="str">
            <v/>
          </cell>
          <cell r="BB177" t="str">
            <v/>
          </cell>
          <cell r="BC177" t="str">
            <v/>
          </cell>
          <cell r="BF177" t="str">
            <v/>
          </cell>
          <cell r="BI177">
            <v>0</v>
          </cell>
          <cell r="BJ177">
            <v>0</v>
          </cell>
          <cell r="BK177">
            <v>30</v>
          </cell>
          <cell r="BP177" t="str">
            <v/>
          </cell>
          <cell r="BQ177" t="str">
            <v/>
          </cell>
          <cell r="BR177" t="str">
            <v/>
          </cell>
          <cell r="BS177" t="str">
            <v/>
          </cell>
        </row>
        <row r="178">
          <cell r="B178" t="str">
            <v>INV--9900-160</v>
          </cell>
          <cell r="C178" t="str">
            <v/>
          </cell>
          <cell r="D178" t="e">
            <v>#VALUE!</v>
          </cell>
          <cell r="E178" t="str">
            <v>Jan1900</v>
          </cell>
          <cell r="F178">
            <v>31</v>
          </cell>
          <cell r="G178" t="e">
            <v>#VALUE!</v>
          </cell>
          <cell r="H178">
            <v>1</v>
          </cell>
          <cell r="I178">
            <v>1</v>
          </cell>
          <cell r="J178">
            <v>0</v>
          </cell>
          <cell r="K178" t="str">
            <v>0Jan1900</v>
          </cell>
          <cell r="L178" t="str">
            <v>Buildings</v>
          </cell>
          <cell r="M178" t="str">
            <v>BuildingsJan1900</v>
          </cell>
          <cell r="N178">
            <v>0</v>
          </cell>
          <cell r="O178">
            <v>0</v>
          </cell>
          <cell r="Q178" t="e">
            <v>#VALUE!</v>
          </cell>
          <cell r="R178">
            <v>0</v>
          </cell>
          <cell r="S178" t="str">
            <v>Jan1900</v>
          </cell>
          <cell r="T178" t="str">
            <v>Jan1900</v>
          </cell>
          <cell r="U178" t="e">
            <v>#VALUE!</v>
          </cell>
          <cell r="V178" t="e">
            <v>#VALUE!</v>
          </cell>
          <cell r="W178" t="str">
            <v/>
          </cell>
          <cell r="X178" t="str">
            <v>INV-9900</v>
          </cell>
          <cell r="Y178" t="str">
            <v>Jan</v>
          </cell>
          <cell r="Z178">
            <v>1900</v>
          </cell>
          <cell r="AA178" t="str">
            <v>9900</v>
          </cell>
          <cell r="AB178" t="str">
            <v>9900-160</v>
          </cell>
          <cell r="AC178">
            <v>160</v>
          </cell>
          <cell r="AD178">
            <v>0</v>
          </cell>
          <cell r="AE178">
            <v>0</v>
          </cell>
          <cell r="AF178" t="str">
            <v/>
          </cell>
          <cell r="AG178" t="str">
            <v/>
          </cell>
          <cell r="AH178">
            <v>1</v>
          </cell>
          <cell r="AI178">
            <v>1</v>
          </cell>
          <cell r="AK178" t="str">
            <v>INV--9900-160</v>
          </cell>
          <cell r="AL178">
            <v>0</v>
          </cell>
          <cell r="AN178" t="str">
            <v>INVOICE</v>
          </cell>
          <cell r="AR178" t="str">
            <v/>
          </cell>
          <cell r="AS178" t="str">
            <v/>
          </cell>
          <cell r="AT178" t="str">
            <v/>
          </cell>
          <cell r="AU178" t="str">
            <v/>
          </cell>
          <cell r="AV178" t="str">
            <v/>
          </cell>
          <cell r="AW178" t="str">
            <v/>
          </cell>
          <cell r="AX178" t="str">
            <v/>
          </cell>
          <cell r="AY178" t="str">
            <v/>
          </cell>
          <cell r="AZ178" t="str">
            <v/>
          </cell>
          <cell r="BB178" t="str">
            <v/>
          </cell>
          <cell r="BC178" t="str">
            <v/>
          </cell>
          <cell r="BF178" t="str">
            <v/>
          </cell>
          <cell r="BI178">
            <v>0</v>
          </cell>
          <cell r="BJ178">
            <v>0</v>
          </cell>
          <cell r="BK178">
            <v>30</v>
          </cell>
          <cell r="BP178" t="str">
            <v/>
          </cell>
          <cell r="BQ178" t="str">
            <v/>
          </cell>
          <cell r="BR178" t="str">
            <v/>
          </cell>
          <cell r="BS178" t="str">
            <v/>
          </cell>
        </row>
        <row r="179">
          <cell r="B179" t="str">
            <v>INV--9900-161</v>
          </cell>
          <cell r="C179" t="str">
            <v/>
          </cell>
          <cell r="D179" t="e">
            <v>#VALUE!</v>
          </cell>
          <cell r="E179" t="str">
            <v>Jan1900</v>
          </cell>
          <cell r="F179">
            <v>31</v>
          </cell>
          <cell r="G179" t="e">
            <v>#VALUE!</v>
          </cell>
          <cell r="H179">
            <v>1</v>
          </cell>
          <cell r="I179">
            <v>1</v>
          </cell>
          <cell r="J179">
            <v>0</v>
          </cell>
          <cell r="K179" t="str">
            <v>0Jan1900</v>
          </cell>
          <cell r="L179" t="str">
            <v>Buildings</v>
          </cell>
          <cell r="M179" t="str">
            <v>BuildingsJan1900</v>
          </cell>
          <cell r="N179">
            <v>0</v>
          </cell>
          <cell r="O179">
            <v>0</v>
          </cell>
          <cell r="Q179" t="e">
            <v>#VALUE!</v>
          </cell>
          <cell r="R179">
            <v>0</v>
          </cell>
          <cell r="S179" t="str">
            <v>Jan1900</v>
          </cell>
          <cell r="T179" t="str">
            <v>Jan1900</v>
          </cell>
          <cell r="U179" t="e">
            <v>#VALUE!</v>
          </cell>
          <cell r="V179" t="e">
            <v>#VALUE!</v>
          </cell>
          <cell r="W179" t="str">
            <v/>
          </cell>
          <cell r="X179" t="str">
            <v>INV-9900</v>
          </cell>
          <cell r="Y179" t="str">
            <v>Jan</v>
          </cell>
          <cell r="Z179">
            <v>1900</v>
          </cell>
          <cell r="AA179" t="str">
            <v>9900</v>
          </cell>
          <cell r="AB179" t="str">
            <v>9900-161</v>
          </cell>
          <cell r="AC179">
            <v>161</v>
          </cell>
          <cell r="AD179">
            <v>0</v>
          </cell>
          <cell r="AE179">
            <v>0</v>
          </cell>
          <cell r="AF179" t="str">
            <v/>
          </cell>
          <cell r="AG179" t="str">
            <v/>
          </cell>
          <cell r="AH179">
            <v>1</v>
          </cell>
          <cell r="AI179">
            <v>1</v>
          </cell>
          <cell r="AK179" t="str">
            <v>INV--9900-161</v>
          </cell>
          <cell r="AL179">
            <v>0</v>
          </cell>
          <cell r="AN179" t="str">
            <v>INVOICE</v>
          </cell>
          <cell r="AR179" t="str">
            <v/>
          </cell>
          <cell r="AS179" t="str">
            <v/>
          </cell>
          <cell r="AT179" t="str">
            <v/>
          </cell>
          <cell r="AU179" t="str">
            <v/>
          </cell>
          <cell r="AV179" t="str">
            <v/>
          </cell>
          <cell r="AW179" t="str">
            <v/>
          </cell>
          <cell r="AX179" t="str">
            <v/>
          </cell>
          <cell r="AY179" t="str">
            <v/>
          </cell>
          <cell r="AZ179" t="str">
            <v/>
          </cell>
          <cell r="BB179" t="str">
            <v/>
          </cell>
          <cell r="BC179" t="str">
            <v/>
          </cell>
          <cell r="BF179" t="str">
            <v/>
          </cell>
          <cell r="BI179">
            <v>0</v>
          </cell>
          <cell r="BJ179">
            <v>0</v>
          </cell>
          <cell r="BK179">
            <v>30</v>
          </cell>
          <cell r="BP179" t="str">
            <v/>
          </cell>
          <cell r="BQ179" t="str">
            <v/>
          </cell>
          <cell r="BR179" t="str">
            <v/>
          </cell>
          <cell r="BS179" t="str">
            <v/>
          </cell>
        </row>
        <row r="180">
          <cell r="B180" t="str">
            <v>INV--9900-162</v>
          </cell>
          <cell r="C180" t="str">
            <v/>
          </cell>
          <cell r="D180" t="e">
            <v>#VALUE!</v>
          </cell>
          <cell r="E180" t="str">
            <v>Jan1900</v>
          </cell>
          <cell r="F180">
            <v>31</v>
          </cell>
          <cell r="G180" t="e">
            <v>#VALUE!</v>
          </cell>
          <cell r="H180">
            <v>1</v>
          </cell>
          <cell r="I180">
            <v>1</v>
          </cell>
          <cell r="J180">
            <v>0</v>
          </cell>
          <cell r="K180" t="str">
            <v>0Jan1900</v>
          </cell>
          <cell r="L180" t="str">
            <v>Buildings</v>
          </cell>
          <cell r="M180" t="str">
            <v>BuildingsJan1900</v>
          </cell>
          <cell r="N180">
            <v>0</v>
          </cell>
          <cell r="O180">
            <v>0</v>
          </cell>
          <cell r="Q180" t="e">
            <v>#VALUE!</v>
          </cell>
          <cell r="R180">
            <v>0</v>
          </cell>
          <cell r="S180" t="str">
            <v>Jan1900</v>
          </cell>
          <cell r="T180" t="str">
            <v>Jan1900</v>
          </cell>
          <cell r="U180" t="e">
            <v>#VALUE!</v>
          </cell>
          <cell r="V180" t="e">
            <v>#VALUE!</v>
          </cell>
          <cell r="W180" t="str">
            <v/>
          </cell>
          <cell r="X180" t="str">
            <v>INV-9900</v>
          </cell>
          <cell r="Y180" t="str">
            <v>Jan</v>
          </cell>
          <cell r="Z180">
            <v>1900</v>
          </cell>
          <cell r="AA180" t="str">
            <v>9900</v>
          </cell>
          <cell r="AB180" t="str">
            <v>9900-162</v>
          </cell>
          <cell r="AC180">
            <v>162</v>
          </cell>
          <cell r="AD180">
            <v>0</v>
          </cell>
          <cell r="AE180">
            <v>0</v>
          </cell>
          <cell r="AF180" t="str">
            <v/>
          </cell>
          <cell r="AG180" t="str">
            <v/>
          </cell>
          <cell r="AH180">
            <v>1</v>
          </cell>
          <cell r="AI180">
            <v>1</v>
          </cell>
          <cell r="AK180" t="str">
            <v>INV--9900-162</v>
          </cell>
          <cell r="AL180">
            <v>0</v>
          </cell>
          <cell r="AN180" t="str">
            <v>INVOICE</v>
          </cell>
          <cell r="AR180" t="str">
            <v/>
          </cell>
          <cell r="AS180" t="str">
            <v/>
          </cell>
          <cell r="AT180" t="str">
            <v/>
          </cell>
          <cell r="AU180" t="str">
            <v/>
          </cell>
          <cell r="AV180" t="str">
            <v/>
          </cell>
          <cell r="AW180" t="str">
            <v/>
          </cell>
          <cell r="AX180" t="str">
            <v/>
          </cell>
          <cell r="AY180" t="str">
            <v/>
          </cell>
          <cell r="AZ180" t="str">
            <v/>
          </cell>
          <cell r="BB180" t="str">
            <v/>
          </cell>
          <cell r="BC180" t="str">
            <v/>
          </cell>
          <cell r="BF180" t="str">
            <v/>
          </cell>
          <cell r="BI180">
            <v>0</v>
          </cell>
          <cell r="BJ180">
            <v>0</v>
          </cell>
          <cell r="BK180">
            <v>30</v>
          </cell>
          <cell r="BP180" t="str">
            <v/>
          </cell>
          <cell r="BQ180" t="str">
            <v/>
          </cell>
          <cell r="BR180" t="str">
            <v/>
          </cell>
          <cell r="BS180" t="str">
            <v/>
          </cell>
        </row>
        <row r="181">
          <cell r="B181" t="str">
            <v>INV--9900-163</v>
          </cell>
          <cell r="C181" t="str">
            <v/>
          </cell>
          <cell r="D181" t="e">
            <v>#VALUE!</v>
          </cell>
          <cell r="E181" t="str">
            <v>Jan1900</v>
          </cell>
          <cell r="F181">
            <v>31</v>
          </cell>
          <cell r="G181" t="e">
            <v>#VALUE!</v>
          </cell>
          <cell r="H181">
            <v>1</v>
          </cell>
          <cell r="I181">
            <v>1</v>
          </cell>
          <cell r="J181">
            <v>0</v>
          </cell>
          <cell r="K181" t="str">
            <v>0Jan1900</v>
          </cell>
          <cell r="L181" t="str">
            <v>Buildings</v>
          </cell>
          <cell r="M181" t="str">
            <v>BuildingsJan1900</v>
          </cell>
          <cell r="N181">
            <v>0</v>
          </cell>
          <cell r="O181">
            <v>0</v>
          </cell>
          <cell r="Q181" t="e">
            <v>#VALUE!</v>
          </cell>
          <cell r="R181">
            <v>0</v>
          </cell>
          <cell r="S181" t="str">
            <v>Jan1900</v>
          </cell>
          <cell r="T181" t="str">
            <v>Jan1900</v>
          </cell>
          <cell r="U181" t="e">
            <v>#VALUE!</v>
          </cell>
          <cell r="V181" t="e">
            <v>#VALUE!</v>
          </cell>
          <cell r="W181" t="str">
            <v/>
          </cell>
          <cell r="X181" t="str">
            <v>INV-9900</v>
          </cell>
          <cell r="Y181" t="str">
            <v>Jan</v>
          </cell>
          <cell r="Z181">
            <v>1900</v>
          </cell>
          <cell r="AA181" t="str">
            <v>9900</v>
          </cell>
          <cell r="AB181" t="str">
            <v>9900-163</v>
          </cell>
          <cell r="AC181">
            <v>163</v>
          </cell>
          <cell r="AD181">
            <v>0</v>
          </cell>
          <cell r="AE181">
            <v>0</v>
          </cell>
          <cell r="AF181" t="str">
            <v/>
          </cell>
          <cell r="AG181" t="str">
            <v/>
          </cell>
          <cell r="AH181">
            <v>1</v>
          </cell>
          <cell r="AI181">
            <v>1</v>
          </cell>
          <cell r="AK181" t="str">
            <v>INV--9900-163</v>
          </cell>
          <cell r="AL181">
            <v>0</v>
          </cell>
          <cell r="AN181" t="str">
            <v>INVOICE</v>
          </cell>
          <cell r="AR181" t="str">
            <v/>
          </cell>
          <cell r="AS181" t="str">
            <v/>
          </cell>
          <cell r="AT181" t="str">
            <v/>
          </cell>
          <cell r="AU181" t="str">
            <v/>
          </cell>
          <cell r="AV181" t="str">
            <v/>
          </cell>
          <cell r="AW181" t="str">
            <v/>
          </cell>
          <cell r="AX181" t="str">
            <v/>
          </cell>
          <cell r="AY181" t="str">
            <v/>
          </cell>
          <cell r="AZ181" t="str">
            <v/>
          </cell>
          <cell r="BB181" t="str">
            <v/>
          </cell>
          <cell r="BC181" t="str">
            <v/>
          </cell>
          <cell r="BF181" t="str">
            <v/>
          </cell>
          <cell r="BI181">
            <v>0</v>
          </cell>
          <cell r="BJ181">
            <v>0</v>
          </cell>
          <cell r="BK181">
            <v>30</v>
          </cell>
          <cell r="BP181" t="str">
            <v/>
          </cell>
          <cell r="BQ181" t="str">
            <v/>
          </cell>
          <cell r="BR181" t="str">
            <v/>
          </cell>
          <cell r="BS181" t="str">
            <v/>
          </cell>
        </row>
        <row r="182">
          <cell r="B182" t="str">
            <v>INV--9900-164</v>
          </cell>
          <cell r="C182" t="str">
            <v/>
          </cell>
          <cell r="D182" t="e">
            <v>#VALUE!</v>
          </cell>
          <cell r="E182" t="str">
            <v>Jan1900</v>
          </cell>
          <cell r="F182">
            <v>31</v>
          </cell>
          <cell r="G182" t="e">
            <v>#VALUE!</v>
          </cell>
          <cell r="H182">
            <v>1</v>
          </cell>
          <cell r="I182">
            <v>1</v>
          </cell>
          <cell r="J182">
            <v>0</v>
          </cell>
          <cell r="K182" t="str">
            <v>0Jan1900</v>
          </cell>
          <cell r="L182" t="str">
            <v>Buildings</v>
          </cell>
          <cell r="M182" t="str">
            <v>BuildingsJan1900</v>
          </cell>
          <cell r="N182">
            <v>0</v>
          </cell>
          <cell r="O182">
            <v>0</v>
          </cell>
          <cell r="Q182" t="e">
            <v>#VALUE!</v>
          </cell>
          <cell r="R182">
            <v>0</v>
          </cell>
          <cell r="S182" t="str">
            <v>Jan1900</v>
          </cell>
          <cell r="T182" t="str">
            <v>Jan1900</v>
          </cell>
          <cell r="U182" t="e">
            <v>#VALUE!</v>
          </cell>
          <cell r="V182" t="e">
            <v>#VALUE!</v>
          </cell>
          <cell r="W182" t="str">
            <v/>
          </cell>
          <cell r="X182" t="str">
            <v>INV-9900</v>
          </cell>
          <cell r="Y182" t="str">
            <v>Jan</v>
          </cell>
          <cell r="Z182">
            <v>1900</v>
          </cell>
          <cell r="AA182" t="str">
            <v>9900</v>
          </cell>
          <cell r="AB182" t="str">
            <v>9900-164</v>
          </cell>
          <cell r="AC182">
            <v>164</v>
          </cell>
          <cell r="AD182">
            <v>0</v>
          </cell>
          <cell r="AE182">
            <v>0</v>
          </cell>
          <cell r="AF182" t="str">
            <v/>
          </cell>
          <cell r="AG182" t="str">
            <v/>
          </cell>
          <cell r="AH182">
            <v>1</v>
          </cell>
          <cell r="AI182">
            <v>1</v>
          </cell>
          <cell r="AK182" t="str">
            <v>INV--9900-164</v>
          </cell>
          <cell r="AL182">
            <v>0</v>
          </cell>
          <cell r="AN182" t="str">
            <v>INVOICE</v>
          </cell>
          <cell r="AR182" t="str">
            <v/>
          </cell>
          <cell r="AS182" t="str">
            <v/>
          </cell>
          <cell r="AT182" t="str">
            <v/>
          </cell>
          <cell r="AU182" t="str">
            <v/>
          </cell>
          <cell r="AV182" t="str">
            <v/>
          </cell>
          <cell r="AW182" t="str">
            <v/>
          </cell>
          <cell r="AX182" t="str">
            <v/>
          </cell>
          <cell r="AY182" t="str">
            <v/>
          </cell>
          <cell r="AZ182" t="str">
            <v/>
          </cell>
          <cell r="BB182" t="str">
            <v/>
          </cell>
          <cell r="BC182" t="str">
            <v/>
          </cell>
          <cell r="BF182" t="str">
            <v/>
          </cell>
          <cell r="BI182">
            <v>0</v>
          </cell>
          <cell r="BJ182">
            <v>0</v>
          </cell>
          <cell r="BK182">
            <v>30</v>
          </cell>
          <cell r="BP182" t="str">
            <v/>
          </cell>
          <cell r="BQ182" t="str">
            <v/>
          </cell>
          <cell r="BR182" t="str">
            <v/>
          </cell>
          <cell r="BS182" t="str">
            <v/>
          </cell>
        </row>
        <row r="183">
          <cell r="B183" t="str">
            <v>INV--9900-165</v>
          </cell>
          <cell r="C183" t="str">
            <v/>
          </cell>
          <cell r="D183" t="e">
            <v>#VALUE!</v>
          </cell>
          <cell r="E183" t="str">
            <v>Jan1900</v>
          </cell>
          <cell r="F183">
            <v>31</v>
          </cell>
          <cell r="G183" t="e">
            <v>#VALUE!</v>
          </cell>
          <cell r="H183">
            <v>1</v>
          </cell>
          <cell r="I183">
            <v>1</v>
          </cell>
          <cell r="J183">
            <v>0</v>
          </cell>
          <cell r="K183" t="str">
            <v>0Jan1900</v>
          </cell>
          <cell r="L183" t="str">
            <v>Buildings</v>
          </cell>
          <cell r="M183" t="str">
            <v>BuildingsJan1900</v>
          </cell>
          <cell r="N183">
            <v>0</v>
          </cell>
          <cell r="O183">
            <v>0</v>
          </cell>
          <cell r="Q183" t="e">
            <v>#VALUE!</v>
          </cell>
          <cell r="R183">
            <v>0</v>
          </cell>
          <cell r="S183" t="str">
            <v>Jan1900</v>
          </cell>
          <cell r="T183" t="str">
            <v>Jan1900</v>
          </cell>
          <cell r="U183" t="e">
            <v>#VALUE!</v>
          </cell>
          <cell r="V183" t="e">
            <v>#VALUE!</v>
          </cell>
          <cell r="W183" t="str">
            <v/>
          </cell>
          <cell r="X183" t="str">
            <v>INV-9900</v>
          </cell>
          <cell r="Y183" t="str">
            <v>Jan</v>
          </cell>
          <cell r="Z183">
            <v>1900</v>
          </cell>
          <cell r="AA183" t="str">
            <v>9900</v>
          </cell>
          <cell r="AB183" t="str">
            <v>9900-165</v>
          </cell>
          <cell r="AC183">
            <v>165</v>
          </cell>
          <cell r="AD183">
            <v>0</v>
          </cell>
          <cell r="AE183">
            <v>0</v>
          </cell>
          <cell r="AF183" t="str">
            <v/>
          </cell>
          <cell r="AG183" t="str">
            <v/>
          </cell>
          <cell r="AH183">
            <v>1</v>
          </cell>
          <cell r="AI183">
            <v>1</v>
          </cell>
          <cell r="AK183" t="str">
            <v>INV--9900-165</v>
          </cell>
          <cell r="AL183">
            <v>0</v>
          </cell>
          <cell r="AN183" t="str">
            <v>INVOICE</v>
          </cell>
          <cell r="AR183" t="str">
            <v/>
          </cell>
          <cell r="AS183" t="str">
            <v/>
          </cell>
          <cell r="AT183" t="str">
            <v/>
          </cell>
          <cell r="AU183" t="str">
            <v/>
          </cell>
          <cell r="AV183" t="str">
            <v/>
          </cell>
          <cell r="AW183" t="str">
            <v/>
          </cell>
          <cell r="AX183" t="str">
            <v/>
          </cell>
          <cell r="AY183" t="str">
            <v/>
          </cell>
          <cell r="AZ183" t="str">
            <v/>
          </cell>
          <cell r="BB183" t="str">
            <v/>
          </cell>
          <cell r="BC183" t="str">
            <v/>
          </cell>
          <cell r="BF183" t="str">
            <v/>
          </cell>
          <cell r="BI183">
            <v>0</v>
          </cell>
          <cell r="BJ183">
            <v>0</v>
          </cell>
          <cell r="BK183">
            <v>30</v>
          </cell>
          <cell r="BP183" t="str">
            <v/>
          </cell>
          <cell r="BQ183" t="str">
            <v/>
          </cell>
          <cell r="BR183" t="str">
            <v/>
          </cell>
          <cell r="BS183" t="str">
            <v/>
          </cell>
        </row>
        <row r="184">
          <cell r="B184" t="str">
            <v>INV--9900-166</v>
          </cell>
          <cell r="C184" t="str">
            <v/>
          </cell>
          <cell r="D184" t="e">
            <v>#VALUE!</v>
          </cell>
          <cell r="E184" t="str">
            <v>Jan1900</v>
          </cell>
          <cell r="F184">
            <v>31</v>
          </cell>
          <cell r="G184" t="e">
            <v>#VALUE!</v>
          </cell>
          <cell r="H184">
            <v>1</v>
          </cell>
          <cell r="I184">
            <v>1</v>
          </cell>
          <cell r="J184">
            <v>0</v>
          </cell>
          <cell r="K184" t="str">
            <v>0Jan1900</v>
          </cell>
          <cell r="L184" t="str">
            <v>Buildings</v>
          </cell>
          <cell r="M184" t="str">
            <v>BuildingsJan1900</v>
          </cell>
          <cell r="N184">
            <v>0</v>
          </cell>
          <cell r="O184">
            <v>0</v>
          </cell>
          <cell r="Q184" t="e">
            <v>#VALUE!</v>
          </cell>
          <cell r="R184">
            <v>0</v>
          </cell>
          <cell r="S184" t="str">
            <v>Jan1900</v>
          </cell>
          <cell r="T184" t="str">
            <v>Jan1900</v>
          </cell>
          <cell r="U184" t="e">
            <v>#VALUE!</v>
          </cell>
          <cell r="V184" t="e">
            <v>#VALUE!</v>
          </cell>
          <cell r="W184" t="str">
            <v/>
          </cell>
          <cell r="X184" t="str">
            <v>INV-9900</v>
          </cell>
          <cell r="Y184" t="str">
            <v>Jan</v>
          </cell>
          <cell r="Z184">
            <v>1900</v>
          </cell>
          <cell r="AA184" t="str">
            <v>9900</v>
          </cell>
          <cell r="AB184" t="str">
            <v>9900-166</v>
          </cell>
          <cell r="AC184">
            <v>166</v>
          </cell>
          <cell r="AD184">
            <v>0</v>
          </cell>
          <cell r="AE184">
            <v>0</v>
          </cell>
          <cell r="AF184" t="str">
            <v/>
          </cell>
          <cell r="AG184" t="str">
            <v/>
          </cell>
          <cell r="AH184">
            <v>1</v>
          </cell>
          <cell r="AI184">
            <v>1</v>
          </cell>
          <cell r="AK184" t="str">
            <v>INV--9900-166</v>
          </cell>
          <cell r="AL184">
            <v>0</v>
          </cell>
          <cell r="AN184" t="str">
            <v>INVOICE</v>
          </cell>
          <cell r="AR184" t="str">
            <v/>
          </cell>
          <cell r="AS184" t="str">
            <v/>
          </cell>
          <cell r="AT184" t="str">
            <v/>
          </cell>
          <cell r="AU184" t="str">
            <v/>
          </cell>
          <cell r="AV184" t="str">
            <v/>
          </cell>
          <cell r="AW184" t="str">
            <v/>
          </cell>
          <cell r="AX184" t="str">
            <v/>
          </cell>
          <cell r="AY184" t="str">
            <v/>
          </cell>
          <cell r="AZ184" t="str">
            <v/>
          </cell>
          <cell r="BB184" t="str">
            <v/>
          </cell>
          <cell r="BC184" t="str">
            <v/>
          </cell>
          <cell r="BF184" t="str">
            <v/>
          </cell>
          <cell r="BI184">
            <v>0</v>
          </cell>
          <cell r="BJ184">
            <v>0</v>
          </cell>
          <cell r="BK184">
            <v>30</v>
          </cell>
          <cell r="BP184" t="str">
            <v/>
          </cell>
          <cell r="BQ184" t="str">
            <v/>
          </cell>
          <cell r="BR184" t="str">
            <v/>
          </cell>
          <cell r="BS184" t="str">
            <v/>
          </cell>
        </row>
        <row r="185">
          <cell r="B185" t="str">
            <v>INV--9900-167</v>
          </cell>
          <cell r="C185" t="str">
            <v/>
          </cell>
          <cell r="D185" t="e">
            <v>#VALUE!</v>
          </cell>
          <cell r="E185" t="str">
            <v>Jan1900</v>
          </cell>
          <cell r="F185">
            <v>31</v>
          </cell>
          <cell r="G185" t="e">
            <v>#VALUE!</v>
          </cell>
          <cell r="H185">
            <v>1</v>
          </cell>
          <cell r="I185">
            <v>1</v>
          </cell>
          <cell r="J185">
            <v>0</v>
          </cell>
          <cell r="K185" t="str">
            <v>0Jan1900</v>
          </cell>
          <cell r="L185" t="str">
            <v>Buildings</v>
          </cell>
          <cell r="M185" t="str">
            <v>BuildingsJan1900</v>
          </cell>
          <cell r="N185">
            <v>0</v>
          </cell>
          <cell r="O185">
            <v>0</v>
          </cell>
          <cell r="Q185" t="e">
            <v>#VALUE!</v>
          </cell>
          <cell r="R185">
            <v>0</v>
          </cell>
          <cell r="S185" t="str">
            <v>Jan1900</v>
          </cell>
          <cell r="T185" t="str">
            <v>Jan1900</v>
          </cell>
          <cell r="U185" t="e">
            <v>#VALUE!</v>
          </cell>
          <cell r="V185" t="e">
            <v>#VALUE!</v>
          </cell>
          <cell r="W185" t="str">
            <v/>
          </cell>
          <cell r="X185" t="str">
            <v>INV-9900</v>
          </cell>
          <cell r="Y185" t="str">
            <v>Jan</v>
          </cell>
          <cell r="Z185">
            <v>1900</v>
          </cell>
          <cell r="AA185" t="str">
            <v>9900</v>
          </cell>
          <cell r="AB185" t="str">
            <v>9900-167</v>
          </cell>
          <cell r="AC185">
            <v>167</v>
          </cell>
          <cell r="AD185">
            <v>0</v>
          </cell>
          <cell r="AE185">
            <v>0</v>
          </cell>
          <cell r="AF185" t="str">
            <v/>
          </cell>
          <cell r="AG185" t="str">
            <v/>
          </cell>
          <cell r="AH185">
            <v>1</v>
          </cell>
          <cell r="AI185">
            <v>1</v>
          </cell>
          <cell r="AK185" t="str">
            <v>INV--9900-167</v>
          </cell>
          <cell r="AL185">
            <v>0</v>
          </cell>
          <cell r="AN185" t="str">
            <v>INVOICE</v>
          </cell>
          <cell r="AR185" t="str">
            <v/>
          </cell>
          <cell r="AS185" t="str">
            <v/>
          </cell>
          <cell r="AT185" t="str">
            <v/>
          </cell>
          <cell r="AU185" t="str">
            <v/>
          </cell>
          <cell r="AV185" t="str">
            <v/>
          </cell>
          <cell r="AW185" t="str">
            <v/>
          </cell>
          <cell r="AX185" t="str">
            <v/>
          </cell>
          <cell r="AY185" t="str">
            <v/>
          </cell>
          <cell r="AZ185" t="str">
            <v/>
          </cell>
          <cell r="BB185" t="str">
            <v/>
          </cell>
          <cell r="BC185" t="str">
            <v/>
          </cell>
          <cell r="BF185" t="str">
            <v/>
          </cell>
          <cell r="BI185">
            <v>0</v>
          </cell>
          <cell r="BJ185">
            <v>0</v>
          </cell>
          <cell r="BK185">
            <v>30</v>
          </cell>
          <cell r="BP185" t="str">
            <v/>
          </cell>
          <cell r="BQ185" t="str">
            <v/>
          </cell>
          <cell r="BR185" t="str">
            <v/>
          </cell>
          <cell r="BS185" t="str">
            <v/>
          </cell>
        </row>
        <row r="186">
          <cell r="B186" t="str">
            <v>INV--9900-168</v>
          </cell>
          <cell r="C186" t="str">
            <v/>
          </cell>
          <cell r="D186" t="e">
            <v>#VALUE!</v>
          </cell>
          <cell r="E186" t="str">
            <v>Jan1900</v>
          </cell>
          <cell r="F186">
            <v>31</v>
          </cell>
          <cell r="G186" t="e">
            <v>#VALUE!</v>
          </cell>
          <cell r="H186">
            <v>1</v>
          </cell>
          <cell r="I186">
            <v>1</v>
          </cell>
          <cell r="J186">
            <v>0</v>
          </cell>
          <cell r="K186" t="str">
            <v>0Jan1900</v>
          </cell>
          <cell r="L186" t="str">
            <v>Buildings</v>
          </cell>
          <cell r="M186" t="str">
            <v>BuildingsJan1900</v>
          </cell>
          <cell r="N186">
            <v>0</v>
          </cell>
          <cell r="O186">
            <v>0</v>
          </cell>
          <cell r="Q186" t="e">
            <v>#VALUE!</v>
          </cell>
          <cell r="R186">
            <v>0</v>
          </cell>
          <cell r="S186" t="str">
            <v>Jan1900</v>
          </cell>
          <cell r="T186" t="str">
            <v>Jan1900</v>
          </cell>
          <cell r="U186" t="e">
            <v>#VALUE!</v>
          </cell>
          <cell r="V186" t="e">
            <v>#VALUE!</v>
          </cell>
          <cell r="W186" t="str">
            <v/>
          </cell>
          <cell r="X186" t="str">
            <v>INV-9900</v>
          </cell>
          <cell r="Y186" t="str">
            <v>Jan</v>
          </cell>
          <cell r="Z186">
            <v>1900</v>
          </cell>
          <cell r="AA186" t="str">
            <v>9900</v>
          </cell>
          <cell r="AB186" t="str">
            <v>9900-168</v>
          </cell>
          <cell r="AC186">
            <v>168</v>
          </cell>
          <cell r="AD186">
            <v>0</v>
          </cell>
          <cell r="AE186">
            <v>0</v>
          </cell>
          <cell r="AF186" t="str">
            <v/>
          </cell>
          <cell r="AG186" t="str">
            <v/>
          </cell>
          <cell r="AH186">
            <v>1</v>
          </cell>
          <cell r="AI186">
            <v>1</v>
          </cell>
          <cell r="AK186" t="str">
            <v>INV--9900-168</v>
          </cell>
          <cell r="AL186">
            <v>0</v>
          </cell>
          <cell r="AN186" t="str">
            <v>INVOICE</v>
          </cell>
          <cell r="AR186" t="str">
            <v/>
          </cell>
          <cell r="AS186" t="str">
            <v/>
          </cell>
          <cell r="AT186" t="str">
            <v/>
          </cell>
          <cell r="AU186" t="str">
            <v/>
          </cell>
          <cell r="AV186" t="str">
            <v/>
          </cell>
          <cell r="AW186" t="str">
            <v/>
          </cell>
          <cell r="AX186" t="str">
            <v/>
          </cell>
          <cell r="AY186" t="str">
            <v/>
          </cell>
          <cell r="AZ186" t="str">
            <v/>
          </cell>
          <cell r="BB186" t="str">
            <v/>
          </cell>
          <cell r="BC186" t="str">
            <v/>
          </cell>
          <cell r="BF186" t="str">
            <v/>
          </cell>
          <cell r="BI186">
            <v>0</v>
          </cell>
          <cell r="BJ186">
            <v>0</v>
          </cell>
          <cell r="BK186">
            <v>30</v>
          </cell>
          <cell r="BP186" t="str">
            <v/>
          </cell>
          <cell r="BQ186" t="str">
            <v/>
          </cell>
          <cell r="BR186" t="str">
            <v/>
          </cell>
          <cell r="BS186" t="str">
            <v/>
          </cell>
        </row>
        <row r="187">
          <cell r="B187" t="str">
            <v>INV--9900-169</v>
          </cell>
          <cell r="C187" t="str">
            <v/>
          </cell>
          <cell r="D187" t="e">
            <v>#VALUE!</v>
          </cell>
          <cell r="E187" t="str">
            <v>Jan1900</v>
          </cell>
          <cell r="F187">
            <v>31</v>
          </cell>
          <cell r="G187" t="e">
            <v>#VALUE!</v>
          </cell>
          <cell r="H187">
            <v>1</v>
          </cell>
          <cell r="I187">
            <v>1</v>
          </cell>
          <cell r="J187">
            <v>0</v>
          </cell>
          <cell r="K187" t="str">
            <v>0Jan1900</v>
          </cell>
          <cell r="L187" t="str">
            <v>Buildings</v>
          </cell>
          <cell r="M187" t="str">
            <v>BuildingsJan1900</v>
          </cell>
          <cell r="N187">
            <v>0</v>
          </cell>
          <cell r="O187">
            <v>0</v>
          </cell>
          <cell r="Q187" t="e">
            <v>#VALUE!</v>
          </cell>
          <cell r="R187">
            <v>0</v>
          </cell>
          <cell r="S187" t="str">
            <v>Jan1900</v>
          </cell>
          <cell r="T187" t="str">
            <v>Jan1900</v>
          </cell>
          <cell r="U187" t="e">
            <v>#VALUE!</v>
          </cell>
          <cell r="V187" t="e">
            <v>#VALUE!</v>
          </cell>
          <cell r="W187" t="str">
            <v/>
          </cell>
          <cell r="X187" t="str">
            <v>INV-9900</v>
          </cell>
          <cell r="Y187" t="str">
            <v>Jan</v>
          </cell>
          <cell r="Z187">
            <v>1900</v>
          </cell>
          <cell r="AA187" t="str">
            <v>9900</v>
          </cell>
          <cell r="AB187" t="str">
            <v>9900-169</v>
          </cell>
          <cell r="AC187">
            <v>169</v>
          </cell>
          <cell r="AD187">
            <v>0</v>
          </cell>
          <cell r="AE187">
            <v>0</v>
          </cell>
          <cell r="AF187" t="str">
            <v/>
          </cell>
          <cell r="AG187" t="str">
            <v/>
          </cell>
          <cell r="AH187">
            <v>1</v>
          </cell>
          <cell r="AI187">
            <v>1</v>
          </cell>
          <cell r="AK187" t="str">
            <v>INV--9900-169</v>
          </cell>
          <cell r="AL187">
            <v>0</v>
          </cell>
          <cell r="AN187" t="str">
            <v>INVOICE</v>
          </cell>
          <cell r="AR187" t="str">
            <v/>
          </cell>
          <cell r="AS187" t="str">
            <v/>
          </cell>
          <cell r="AT187" t="str">
            <v/>
          </cell>
          <cell r="AU187" t="str">
            <v/>
          </cell>
          <cell r="AV187" t="str">
            <v/>
          </cell>
          <cell r="AW187" t="str">
            <v/>
          </cell>
          <cell r="AX187" t="str">
            <v/>
          </cell>
          <cell r="AY187" t="str">
            <v/>
          </cell>
          <cell r="AZ187" t="str">
            <v/>
          </cell>
          <cell r="BB187" t="str">
            <v/>
          </cell>
          <cell r="BC187" t="str">
            <v/>
          </cell>
          <cell r="BF187" t="str">
            <v/>
          </cell>
          <cell r="BI187">
            <v>0</v>
          </cell>
          <cell r="BJ187">
            <v>0</v>
          </cell>
          <cell r="BK187">
            <v>30</v>
          </cell>
          <cell r="BP187" t="str">
            <v/>
          </cell>
          <cell r="BQ187" t="str">
            <v/>
          </cell>
          <cell r="BR187" t="str">
            <v/>
          </cell>
          <cell r="BS187" t="str">
            <v/>
          </cell>
        </row>
        <row r="188">
          <cell r="B188" t="str">
            <v>INV--9900-170</v>
          </cell>
          <cell r="C188" t="str">
            <v/>
          </cell>
          <cell r="D188" t="e">
            <v>#VALUE!</v>
          </cell>
          <cell r="E188" t="str">
            <v>Jan1900</v>
          </cell>
          <cell r="F188">
            <v>31</v>
          </cell>
          <cell r="G188" t="e">
            <v>#VALUE!</v>
          </cell>
          <cell r="H188">
            <v>1</v>
          </cell>
          <cell r="I188">
            <v>1</v>
          </cell>
          <cell r="J188">
            <v>0</v>
          </cell>
          <cell r="K188" t="str">
            <v>0Jan1900</v>
          </cell>
          <cell r="L188" t="str">
            <v>Buildings</v>
          </cell>
          <cell r="M188" t="str">
            <v>BuildingsJan1900</v>
          </cell>
          <cell r="N188">
            <v>0</v>
          </cell>
          <cell r="O188">
            <v>0</v>
          </cell>
          <cell r="Q188" t="e">
            <v>#VALUE!</v>
          </cell>
          <cell r="R188">
            <v>0</v>
          </cell>
          <cell r="S188" t="str">
            <v>Jan1900</v>
          </cell>
          <cell r="T188" t="str">
            <v>Jan1900</v>
          </cell>
          <cell r="U188" t="e">
            <v>#VALUE!</v>
          </cell>
          <cell r="V188" t="e">
            <v>#VALUE!</v>
          </cell>
          <cell r="W188" t="str">
            <v/>
          </cell>
          <cell r="X188" t="str">
            <v>INV-9900</v>
          </cell>
          <cell r="Y188" t="str">
            <v>Jan</v>
          </cell>
          <cell r="Z188">
            <v>1900</v>
          </cell>
          <cell r="AA188" t="str">
            <v>9900</v>
          </cell>
          <cell r="AB188" t="str">
            <v>9900-170</v>
          </cell>
          <cell r="AC188">
            <v>170</v>
          </cell>
          <cell r="AD188">
            <v>0</v>
          </cell>
          <cell r="AE188">
            <v>0</v>
          </cell>
          <cell r="AF188" t="str">
            <v/>
          </cell>
          <cell r="AG188" t="str">
            <v/>
          </cell>
          <cell r="AH188">
            <v>1</v>
          </cell>
          <cell r="AI188">
            <v>1</v>
          </cell>
          <cell r="AK188" t="str">
            <v>INV--9900-170</v>
          </cell>
          <cell r="AL188">
            <v>0</v>
          </cell>
          <cell r="AN188" t="str">
            <v>INVOICE</v>
          </cell>
          <cell r="AR188" t="str">
            <v/>
          </cell>
          <cell r="AS188" t="str">
            <v/>
          </cell>
          <cell r="AT188" t="str">
            <v/>
          </cell>
          <cell r="AU188" t="str">
            <v/>
          </cell>
          <cell r="AV188" t="str">
            <v/>
          </cell>
          <cell r="AW188" t="str">
            <v/>
          </cell>
          <cell r="AX188" t="str">
            <v/>
          </cell>
          <cell r="AY188" t="str">
            <v/>
          </cell>
          <cell r="AZ188" t="str">
            <v/>
          </cell>
          <cell r="BB188" t="str">
            <v/>
          </cell>
          <cell r="BC188" t="str">
            <v/>
          </cell>
          <cell r="BF188" t="str">
            <v/>
          </cell>
          <cell r="BI188">
            <v>0</v>
          </cell>
          <cell r="BJ188">
            <v>0</v>
          </cell>
          <cell r="BK188">
            <v>30</v>
          </cell>
          <cell r="BP188" t="str">
            <v/>
          </cell>
          <cell r="BQ188" t="str">
            <v/>
          </cell>
          <cell r="BR188" t="str">
            <v/>
          </cell>
          <cell r="BS188" t="str">
            <v/>
          </cell>
        </row>
        <row r="189">
          <cell r="B189" t="str">
            <v>INV--9900-171</v>
          </cell>
          <cell r="C189" t="str">
            <v/>
          </cell>
          <cell r="D189" t="e">
            <v>#VALUE!</v>
          </cell>
          <cell r="E189" t="str">
            <v>Jan1900</v>
          </cell>
          <cell r="F189">
            <v>31</v>
          </cell>
          <cell r="G189" t="e">
            <v>#VALUE!</v>
          </cell>
          <cell r="H189">
            <v>1</v>
          </cell>
          <cell r="I189">
            <v>1</v>
          </cell>
          <cell r="J189">
            <v>0</v>
          </cell>
          <cell r="K189" t="str">
            <v>0Jan1900</v>
          </cell>
          <cell r="L189" t="str">
            <v>Buildings</v>
          </cell>
          <cell r="M189" t="str">
            <v>BuildingsJan1900</v>
          </cell>
          <cell r="N189">
            <v>0</v>
          </cell>
          <cell r="O189">
            <v>0</v>
          </cell>
          <cell r="Q189" t="e">
            <v>#VALUE!</v>
          </cell>
          <cell r="R189">
            <v>0</v>
          </cell>
          <cell r="S189" t="str">
            <v>Jan1900</v>
          </cell>
          <cell r="T189" t="str">
            <v>Jan1900</v>
          </cell>
          <cell r="U189" t="e">
            <v>#VALUE!</v>
          </cell>
          <cell r="V189" t="e">
            <v>#VALUE!</v>
          </cell>
          <cell r="W189" t="str">
            <v/>
          </cell>
          <cell r="X189" t="str">
            <v>INV-9900</v>
          </cell>
          <cell r="Y189" t="str">
            <v>Jan</v>
          </cell>
          <cell r="Z189">
            <v>1900</v>
          </cell>
          <cell r="AA189" t="str">
            <v>9900</v>
          </cell>
          <cell r="AB189" t="str">
            <v>9900-171</v>
          </cell>
          <cell r="AC189">
            <v>171</v>
          </cell>
          <cell r="AD189">
            <v>0</v>
          </cell>
          <cell r="AE189">
            <v>0</v>
          </cell>
          <cell r="AF189" t="str">
            <v/>
          </cell>
          <cell r="AG189" t="str">
            <v/>
          </cell>
          <cell r="AH189">
            <v>1</v>
          </cell>
          <cell r="AI189">
            <v>1</v>
          </cell>
          <cell r="AK189" t="str">
            <v>INV--9900-171</v>
          </cell>
          <cell r="AL189">
            <v>0</v>
          </cell>
          <cell r="AN189" t="str">
            <v>INVOICE</v>
          </cell>
          <cell r="AR189" t="str">
            <v/>
          </cell>
          <cell r="AS189" t="str">
            <v/>
          </cell>
          <cell r="AT189" t="str">
            <v/>
          </cell>
          <cell r="AU189" t="str">
            <v/>
          </cell>
          <cell r="AV189" t="str">
            <v/>
          </cell>
          <cell r="AW189" t="str">
            <v/>
          </cell>
          <cell r="AX189" t="str">
            <v/>
          </cell>
          <cell r="AY189" t="str">
            <v/>
          </cell>
          <cell r="AZ189" t="str">
            <v/>
          </cell>
          <cell r="BB189" t="str">
            <v/>
          </cell>
          <cell r="BC189" t="str">
            <v/>
          </cell>
          <cell r="BF189" t="str">
            <v/>
          </cell>
          <cell r="BI189">
            <v>0</v>
          </cell>
          <cell r="BJ189">
            <v>0</v>
          </cell>
          <cell r="BK189">
            <v>30</v>
          </cell>
          <cell r="BP189" t="str">
            <v/>
          </cell>
          <cell r="BQ189" t="str">
            <v/>
          </cell>
          <cell r="BR189" t="str">
            <v/>
          </cell>
          <cell r="BS189" t="str">
            <v/>
          </cell>
        </row>
        <row r="190">
          <cell r="B190" t="str">
            <v>INV--9900-172</v>
          </cell>
          <cell r="C190" t="str">
            <v/>
          </cell>
          <cell r="D190" t="e">
            <v>#VALUE!</v>
          </cell>
          <cell r="E190" t="str">
            <v>Jan1900</v>
          </cell>
          <cell r="F190">
            <v>31</v>
          </cell>
          <cell r="G190" t="e">
            <v>#VALUE!</v>
          </cell>
          <cell r="H190">
            <v>1</v>
          </cell>
          <cell r="I190">
            <v>1</v>
          </cell>
          <cell r="J190">
            <v>0</v>
          </cell>
          <cell r="K190" t="str">
            <v>0Jan1900</v>
          </cell>
          <cell r="L190" t="str">
            <v>Buildings</v>
          </cell>
          <cell r="M190" t="str">
            <v>BuildingsJan1900</v>
          </cell>
          <cell r="N190">
            <v>0</v>
          </cell>
          <cell r="O190">
            <v>0</v>
          </cell>
          <cell r="Q190" t="e">
            <v>#VALUE!</v>
          </cell>
          <cell r="R190">
            <v>0</v>
          </cell>
          <cell r="S190" t="str">
            <v>Jan1900</v>
          </cell>
          <cell r="T190" t="str">
            <v>Jan1900</v>
          </cell>
          <cell r="U190" t="e">
            <v>#VALUE!</v>
          </cell>
          <cell r="V190" t="e">
            <v>#VALUE!</v>
          </cell>
          <cell r="W190" t="str">
            <v/>
          </cell>
          <cell r="X190" t="str">
            <v>INV-9900</v>
          </cell>
          <cell r="Y190" t="str">
            <v>Jan</v>
          </cell>
          <cell r="Z190">
            <v>1900</v>
          </cell>
          <cell r="AA190" t="str">
            <v>9900</v>
          </cell>
          <cell r="AB190" t="str">
            <v>9900-172</v>
          </cell>
          <cell r="AC190">
            <v>172</v>
          </cell>
          <cell r="AD190">
            <v>0</v>
          </cell>
          <cell r="AE190">
            <v>0</v>
          </cell>
          <cell r="AF190" t="str">
            <v/>
          </cell>
          <cell r="AG190" t="str">
            <v/>
          </cell>
          <cell r="AH190">
            <v>1</v>
          </cell>
          <cell r="AI190">
            <v>1</v>
          </cell>
          <cell r="AK190" t="str">
            <v>INV--9900-172</v>
          </cell>
          <cell r="AL190">
            <v>0</v>
          </cell>
          <cell r="AN190" t="str">
            <v>INVOICE</v>
          </cell>
          <cell r="AR190" t="str">
            <v/>
          </cell>
          <cell r="AS190" t="str">
            <v/>
          </cell>
          <cell r="AT190" t="str">
            <v/>
          </cell>
          <cell r="AU190" t="str">
            <v/>
          </cell>
          <cell r="AV190" t="str">
            <v/>
          </cell>
          <cell r="AW190" t="str">
            <v/>
          </cell>
          <cell r="AX190" t="str">
            <v/>
          </cell>
          <cell r="AY190" t="str">
            <v/>
          </cell>
          <cell r="AZ190" t="str">
            <v/>
          </cell>
          <cell r="BB190" t="str">
            <v/>
          </cell>
          <cell r="BC190" t="str">
            <v/>
          </cell>
          <cell r="BF190" t="str">
            <v/>
          </cell>
          <cell r="BI190">
            <v>0</v>
          </cell>
          <cell r="BJ190">
            <v>0</v>
          </cell>
          <cell r="BK190">
            <v>30</v>
          </cell>
          <cell r="BP190" t="str">
            <v/>
          </cell>
          <cell r="BQ190" t="str">
            <v/>
          </cell>
          <cell r="BR190" t="str">
            <v/>
          </cell>
          <cell r="BS190" t="str">
            <v/>
          </cell>
        </row>
        <row r="191">
          <cell r="B191" t="str">
            <v>INV--9900-173</v>
          </cell>
          <cell r="C191" t="str">
            <v/>
          </cell>
          <cell r="D191" t="e">
            <v>#VALUE!</v>
          </cell>
          <cell r="E191" t="str">
            <v>Jan1900</v>
          </cell>
          <cell r="F191">
            <v>31</v>
          </cell>
          <cell r="G191" t="e">
            <v>#VALUE!</v>
          </cell>
          <cell r="H191">
            <v>1</v>
          </cell>
          <cell r="I191">
            <v>1</v>
          </cell>
          <cell r="J191">
            <v>0</v>
          </cell>
          <cell r="K191" t="str">
            <v>0Jan1900</v>
          </cell>
          <cell r="L191" t="str">
            <v>Buildings</v>
          </cell>
          <cell r="M191" t="str">
            <v>BuildingsJan1900</v>
          </cell>
          <cell r="N191">
            <v>0</v>
          </cell>
          <cell r="O191">
            <v>0</v>
          </cell>
          <cell r="Q191" t="e">
            <v>#VALUE!</v>
          </cell>
          <cell r="R191">
            <v>0</v>
          </cell>
          <cell r="S191" t="str">
            <v>Jan1900</v>
          </cell>
          <cell r="T191" t="str">
            <v>Jan1900</v>
          </cell>
          <cell r="U191" t="e">
            <v>#VALUE!</v>
          </cell>
          <cell r="V191" t="e">
            <v>#VALUE!</v>
          </cell>
          <cell r="W191" t="str">
            <v/>
          </cell>
          <cell r="X191" t="str">
            <v>INV-9900</v>
          </cell>
          <cell r="Y191" t="str">
            <v>Jan</v>
          </cell>
          <cell r="Z191">
            <v>1900</v>
          </cell>
          <cell r="AA191" t="str">
            <v>9900</v>
          </cell>
          <cell r="AB191" t="str">
            <v>9900-173</v>
          </cell>
          <cell r="AC191">
            <v>173</v>
          </cell>
          <cell r="AD191">
            <v>0</v>
          </cell>
          <cell r="AE191">
            <v>0</v>
          </cell>
          <cell r="AF191" t="str">
            <v/>
          </cell>
          <cell r="AG191" t="str">
            <v/>
          </cell>
          <cell r="AH191">
            <v>1</v>
          </cell>
          <cell r="AI191">
            <v>1</v>
          </cell>
          <cell r="AK191" t="str">
            <v>INV--9900-173</v>
          </cell>
          <cell r="AL191">
            <v>0</v>
          </cell>
          <cell r="AN191" t="str">
            <v>INVOICE</v>
          </cell>
          <cell r="AR191" t="str">
            <v/>
          </cell>
          <cell r="AS191" t="str">
            <v/>
          </cell>
          <cell r="AT191" t="str">
            <v/>
          </cell>
          <cell r="AU191" t="str">
            <v/>
          </cell>
          <cell r="AV191" t="str">
            <v/>
          </cell>
          <cell r="AW191" t="str">
            <v/>
          </cell>
          <cell r="AX191" t="str">
            <v/>
          </cell>
          <cell r="AY191" t="str">
            <v/>
          </cell>
          <cell r="AZ191" t="str">
            <v/>
          </cell>
          <cell r="BB191" t="str">
            <v/>
          </cell>
          <cell r="BC191" t="str">
            <v/>
          </cell>
          <cell r="BF191" t="str">
            <v/>
          </cell>
          <cell r="BI191">
            <v>0</v>
          </cell>
          <cell r="BJ191">
            <v>0</v>
          </cell>
          <cell r="BK191">
            <v>30</v>
          </cell>
          <cell r="BP191" t="str">
            <v/>
          </cell>
          <cell r="BQ191" t="str">
            <v/>
          </cell>
          <cell r="BR191" t="str">
            <v/>
          </cell>
          <cell r="BS191" t="str">
            <v/>
          </cell>
        </row>
        <row r="192">
          <cell r="B192" t="str">
            <v>INV--9900-174</v>
          </cell>
          <cell r="C192" t="str">
            <v/>
          </cell>
          <cell r="D192" t="e">
            <v>#VALUE!</v>
          </cell>
          <cell r="E192" t="str">
            <v>Jan1900</v>
          </cell>
          <cell r="F192">
            <v>31</v>
          </cell>
          <cell r="G192" t="e">
            <v>#VALUE!</v>
          </cell>
          <cell r="H192">
            <v>1</v>
          </cell>
          <cell r="I192">
            <v>1</v>
          </cell>
          <cell r="J192">
            <v>0</v>
          </cell>
          <cell r="K192" t="str">
            <v>0Jan1900</v>
          </cell>
          <cell r="L192" t="str">
            <v>Buildings</v>
          </cell>
          <cell r="M192" t="str">
            <v>BuildingsJan1900</v>
          </cell>
          <cell r="N192">
            <v>0</v>
          </cell>
          <cell r="O192">
            <v>0</v>
          </cell>
          <cell r="Q192" t="e">
            <v>#VALUE!</v>
          </cell>
          <cell r="R192">
            <v>0</v>
          </cell>
          <cell r="S192" t="str">
            <v>Jan1900</v>
          </cell>
          <cell r="T192" t="str">
            <v>Jan1900</v>
          </cell>
          <cell r="U192" t="e">
            <v>#VALUE!</v>
          </cell>
          <cell r="V192" t="e">
            <v>#VALUE!</v>
          </cell>
          <cell r="W192" t="str">
            <v/>
          </cell>
          <cell r="X192" t="str">
            <v>INV-9900</v>
          </cell>
          <cell r="Y192" t="str">
            <v>Jan</v>
          </cell>
          <cell r="Z192">
            <v>1900</v>
          </cell>
          <cell r="AA192" t="str">
            <v>9900</v>
          </cell>
          <cell r="AB192" t="str">
            <v>9900-174</v>
          </cell>
          <cell r="AC192">
            <v>174</v>
          </cell>
          <cell r="AD192">
            <v>0</v>
          </cell>
          <cell r="AE192">
            <v>0</v>
          </cell>
          <cell r="AF192" t="str">
            <v/>
          </cell>
          <cell r="AG192" t="str">
            <v/>
          </cell>
          <cell r="AH192">
            <v>1</v>
          </cell>
          <cell r="AI192">
            <v>1</v>
          </cell>
          <cell r="AK192" t="str">
            <v>INV--9900-174</v>
          </cell>
          <cell r="AL192">
            <v>0</v>
          </cell>
          <cell r="AN192" t="str">
            <v>INVOICE</v>
          </cell>
          <cell r="AR192" t="str">
            <v/>
          </cell>
          <cell r="AS192" t="str">
            <v/>
          </cell>
          <cell r="AT192" t="str">
            <v/>
          </cell>
          <cell r="AU192" t="str">
            <v/>
          </cell>
          <cell r="AV192" t="str">
            <v/>
          </cell>
          <cell r="AW192" t="str">
            <v/>
          </cell>
          <cell r="AX192" t="str">
            <v/>
          </cell>
          <cell r="AY192" t="str">
            <v/>
          </cell>
          <cell r="AZ192" t="str">
            <v/>
          </cell>
          <cell r="BB192" t="str">
            <v/>
          </cell>
          <cell r="BC192" t="str">
            <v/>
          </cell>
          <cell r="BF192" t="str">
            <v/>
          </cell>
          <cell r="BI192">
            <v>0</v>
          </cell>
          <cell r="BJ192">
            <v>0</v>
          </cell>
          <cell r="BK192">
            <v>30</v>
          </cell>
          <cell r="BP192" t="str">
            <v/>
          </cell>
          <cell r="BQ192" t="str">
            <v/>
          </cell>
          <cell r="BR192" t="str">
            <v/>
          </cell>
          <cell r="BS192" t="str">
            <v/>
          </cell>
        </row>
        <row r="193">
          <cell r="B193" t="str">
            <v>INV--9900-175</v>
          </cell>
          <cell r="C193" t="str">
            <v/>
          </cell>
          <cell r="D193" t="e">
            <v>#VALUE!</v>
          </cell>
          <cell r="E193" t="str">
            <v>Jan1900</v>
          </cell>
          <cell r="F193">
            <v>31</v>
          </cell>
          <cell r="G193" t="e">
            <v>#VALUE!</v>
          </cell>
          <cell r="H193">
            <v>1</v>
          </cell>
          <cell r="I193">
            <v>1</v>
          </cell>
          <cell r="J193">
            <v>0</v>
          </cell>
          <cell r="K193" t="str">
            <v>0Jan1900</v>
          </cell>
          <cell r="L193" t="str">
            <v>Buildings</v>
          </cell>
          <cell r="M193" t="str">
            <v>BuildingsJan1900</v>
          </cell>
          <cell r="N193">
            <v>0</v>
          </cell>
          <cell r="O193">
            <v>0</v>
          </cell>
          <cell r="Q193" t="e">
            <v>#VALUE!</v>
          </cell>
          <cell r="R193">
            <v>0</v>
          </cell>
          <cell r="S193" t="str">
            <v>Jan1900</v>
          </cell>
          <cell r="T193" t="str">
            <v>Jan1900</v>
          </cell>
          <cell r="U193" t="e">
            <v>#VALUE!</v>
          </cell>
          <cell r="V193" t="e">
            <v>#VALUE!</v>
          </cell>
          <cell r="W193" t="str">
            <v/>
          </cell>
          <cell r="X193" t="str">
            <v>INV-9900</v>
          </cell>
          <cell r="Y193" t="str">
            <v>Jan</v>
          </cell>
          <cell r="Z193">
            <v>1900</v>
          </cell>
          <cell r="AA193" t="str">
            <v>9900</v>
          </cell>
          <cell r="AB193" t="str">
            <v>9900-175</v>
          </cell>
          <cell r="AC193">
            <v>175</v>
          </cell>
          <cell r="AD193">
            <v>0</v>
          </cell>
          <cell r="AE193">
            <v>0</v>
          </cell>
          <cell r="AF193" t="str">
            <v/>
          </cell>
          <cell r="AG193" t="str">
            <v/>
          </cell>
          <cell r="AH193">
            <v>1</v>
          </cell>
          <cell r="AI193">
            <v>1</v>
          </cell>
          <cell r="AK193" t="str">
            <v>INV--9900-175</v>
          </cell>
          <cell r="AL193">
            <v>0</v>
          </cell>
          <cell r="AN193" t="str">
            <v>INVOICE</v>
          </cell>
          <cell r="AR193" t="str">
            <v/>
          </cell>
          <cell r="AS193" t="str">
            <v/>
          </cell>
          <cell r="AT193" t="str">
            <v/>
          </cell>
          <cell r="AU193" t="str">
            <v/>
          </cell>
          <cell r="AV193" t="str">
            <v/>
          </cell>
          <cell r="AW193" t="str">
            <v/>
          </cell>
          <cell r="AX193" t="str">
            <v/>
          </cell>
          <cell r="AY193" t="str">
            <v/>
          </cell>
          <cell r="AZ193" t="str">
            <v/>
          </cell>
          <cell r="BB193" t="str">
            <v/>
          </cell>
          <cell r="BC193" t="str">
            <v/>
          </cell>
          <cell r="BF193" t="str">
            <v/>
          </cell>
          <cell r="BI193">
            <v>0</v>
          </cell>
          <cell r="BJ193">
            <v>0</v>
          </cell>
          <cell r="BK193">
            <v>30</v>
          </cell>
          <cell r="BP193" t="str">
            <v/>
          </cell>
          <cell r="BQ193" t="str">
            <v/>
          </cell>
          <cell r="BR193" t="str">
            <v/>
          </cell>
          <cell r="BS193" t="str">
            <v/>
          </cell>
        </row>
        <row r="194">
          <cell r="B194" t="str">
            <v>INV--9900-176</v>
          </cell>
          <cell r="C194" t="str">
            <v/>
          </cell>
          <cell r="D194" t="e">
            <v>#VALUE!</v>
          </cell>
          <cell r="E194" t="str">
            <v>Jan1900</v>
          </cell>
          <cell r="F194">
            <v>31</v>
          </cell>
          <cell r="G194" t="e">
            <v>#VALUE!</v>
          </cell>
          <cell r="H194">
            <v>1</v>
          </cell>
          <cell r="I194">
            <v>1</v>
          </cell>
          <cell r="J194">
            <v>0</v>
          </cell>
          <cell r="K194" t="str">
            <v>0Jan1900</v>
          </cell>
          <cell r="L194" t="str">
            <v>Buildings</v>
          </cell>
          <cell r="M194" t="str">
            <v>BuildingsJan1900</v>
          </cell>
          <cell r="N194">
            <v>0</v>
          </cell>
          <cell r="O194">
            <v>0</v>
          </cell>
          <cell r="Q194" t="e">
            <v>#VALUE!</v>
          </cell>
          <cell r="R194">
            <v>0</v>
          </cell>
          <cell r="S194" t="str">
            <v>Jan1900</v>
          </cell>
          <cell r="T194" t="str">
            <v>Jan1900</v>
          </cell>
          <cell r="U194" t="e">
            <v>#VALUE!</v>
          </cell>
          <cell r="V194" t="e">
            <v>#VALUE!</v>
          </cell>
          <cell r="W194" t="str">
            <v/>
          </cell>
          <cell r="X194" t="str">
            <v>INV-9900</v>
          </cell>
          <cell r="Y194" t="str">
            <v>Jan</v>
          </cell>
          <cell r="Z194">
            <v>1900</v>
          </cell>
          <cell r="AA194" t="str">
            <v>9900</v>
          </cell>
          <cell r="AB194" t="str">
            <v>9900-176</v>
          </cell>
          <cell r="AC194">
            <v>176</v>
          </cell>
          <cell r="AD194">
            <v>0</v>
          </cell>
          <cell r="AE194">
            <v>0</v>
          </cell>
          <cell r="AF194" t="str">
            <v/>
          </cell>
          <cell r="AG194" t="str">
            <v/>
          </cell>
          <cell r="AH194">
            <v>1</v>
          </cell>
          <cell r="AI194">
            <v>1</v>
          </cell>
          <cell r="AK194" t="str">
            <v>INV--9900-176</v>
          </cell>
          <cell r="AL194">
            <v>0</v>
          </cell>
          <cell r="AN194" t="str">
            <v>INVOICE</v>
          </cell>
          <cell r="AR194" t="str">
            <v/>
          </cell>
          <cell r="AS194" t="str">
            <v/>
          </cell>
          <cell r="AT194" t="str">
            <v/>
          </cell>
          <cell r="AU194" t="str">
            <v/>
          </cell>
          <cell r="AV194" t="str">
            <v/>
          </cell>
          <cell r="AW194" t="str">
            <v/>
          </cell>
          <cell r="AX194" t="str">
            <v/>
          </cell>
          <cell r="AY194" t="str">
            <v/>
          </cell>
          <cell r="AZ194" t="str">
            <v/>
          </cell>
          <cell r="BB194" t="str">
            <v/>
          </cell>
          <cell r="BC194" t="str">
            <v/>
          </cell>
          <cell r="BF194" t="str">
            <v/>
          </cell>
          <cell r="BI194">
            <v>0</v>
          </cell>
          <cell r="BJ194">
            <v>0</v>
          </cell>
          <cell r="BK194">
            <v>30</v>
          </cell>
          <cell r="BP194" t="str">
            <v/>
          </cell>
          <cell r="BQ194" t="str">
            <v/>
          </cell>
          <cell r="BR194" t="str">
            <v/>
          </cell>
          <cell r="BS194" t="str">
            <v/>
          </cell>
        </row>
        <row r="195">
          <cell r="B195" t="str">
            <v>INV--9900-177</v>
          </cell>
          <cell r="C195" t="str">
            <v/>
          </cell>
          <cell r="D195" t="e">
            <v>#VALUE!</v>
          </cell>
          <cell r="E195" t="str">
            <v>Jan1900</v>
          </cell>
          <cell r="F195">
            <v>31</v>
          </cell>
          <cell r="G195" t="e">
            <v>#VALUE!</v>
          </cell>
          <cell r="H195">
            <v>1</v>
          </cell>
          <cell r="I195">
            <v>1</v>
          </cell>
          <cell r="J195">
            <v>0</v>
          </cell>
          <cell r="K195" t="str">
            <v>0Jan1900</v>
          </cell>
          <cell r="L195" t="str">
            <v>Buildings</v>
          </cell>
          <cell r="M195" t="str">
            <v>BuildingsJan1900</v>
          </cell>
          <cell r="N195">
            <v>0</v>
          </cell>
          <cell r="O195">
            <v>0</v>
          </cell>
          <cell r="Q195" t="e">
            <v>#VALUE!</v>
          </cell>
          <cell r="R195">
            <v>0</v>
          </cell>
          <cell r="S195" t="str">
            <v>Jan1900</v>
          </cell>
          <cell r="T195" t="str">
            <v>Jan1900</v>
          </cell>
          <cell r="U195" t="e">
            <v>#VALUE!</v>
          </cell>
          <cell r="V195" t="e">
            <v>#VALUE!</v>
          </cell>
          <cell r="W195" t="str">
            <v/>
          </cell>
          <cell r="X195" t="str">
            <v>INV-9900</v>
          </cell>
          <cell r="Y195" t="str">
            <v>Jan</v>
          </cell>
          <cell r="Z195">
            <v>1900</v>
          </cell>
          <cell r="AA195" t="str">
            <v>9900</v>
          </cell>
          <cell r="AB195" t="str">
            <v>9900-177</v>
          </cell>
          <cell r="AC195">
            <v>177</v>
          </cell>
          <cell r="AD195">
            <v>0</v>
          </cell>
          <cell r="AE195">
            <v>0</v>
          </cell>
          <cell r="AF195" t="str">
            <v/>
          </cell>
          <cell r="AG195" t="str">
            <v/>
          </cell>
          <cell r="AH195">
            <v>1</v>
          </cell>
          <cell r="AI195">
            <v>1</v>
          </cell>
          <cell r="AK195" t="str">
            <v>INV--9900-177</v>
          </cell>
          <cell r="AL195">
            <v>0</v>
          </cell>
          <cell r="AN195" t="str">
            <v>INVOICE</v>
          </cell>
          <cell r="AR195" t="str">
            <v/>
          </cell>
          <cell r="AS195" t="str">
            <v/>
          </cell>
          <cell r="AT195" t="str">
            <v/>
          </cell>
          <cell r="AU195" t="str">
            <v/>
          </cell>
          <cell r="AV195" t="str">
            <v/>
          </cell>
          <cell r="AW195" t="str">
            <v/>
          </cell>
          <cell r="AX195" t="str">
            <v/>
          </cell>
          <cell r="AY195" t="str">
            <v/>
          </cell>
          <cell r="AZ195" t="str">
            <v/>
          </cell>
          <cell r="BB195" t="str">
            <v/>
          </cell>
          <cell r="BC195" t="str">
            <v/>
          </cell>
          <cell r="BF195" t="str">
            <v/>
          </cell>
          <cell r="BI195">
            <v>0</v>
          </cell>
          <cell r="BJ195">
            <v>0</v>
          </cell>
          <cell r="BK195">
            <v>30</v>
          </cell>
          <cell r="BP195" t="str">
            <v/>
          </cell>
          <cell r="BQ195" t="str">
            <v/>
          </cell>
          <cell r="BR195" t="str">
            <v/>
          </cell>
          <cell r="BS195" t="str">
            <v/>
          </cell>
        </row>
        <row r="196">
          <cell r="B196" t="str">
            <v>INV--9900-178</v>
          </cell>
          <cell r="C196" t="str">
            <v/>
          </cell>
          <cell r="D196" t="e">
            <v>#VALUE!</v>
          </cell>
          <cell r="E196" t="str">
            <v>Jan1900</v>
          </cell>
          <cell r="F196">
            <v>31</v>
          </cell>
          <cell r="G196" t="e">
            <v>#VALUE!</v>
          </cell>
          <cell r="H196">
            <v>1</v>
          </cell>
          <cell r="I196">
            <v>1</v>
          </cell>
          <cell r="J196">
            <v>0</v>
          </cell>
          <cell r="K196" t="str">
            <v>0Jan1900</v>
          </cell>
          <cell r="L196" t="str">
            <v>Buildings</v>
          </cell>
          <cell r="M196" t="str">
            <v>BuildingsJan1900</v>
          </cell>
          <cell r="N196">
            <v>0</v>
          </cell>
          <cell r="O196">
            <v>0</v>
          </cell>
          <cell r="Q196" t="e">
            <v>#VALUE!</v>
          </cell>
          <cell r="R196">
            <v>0</v>
          </cell>
          <cell r="S196" t="str">
            <v>Jan1900</v>
          </cell>
          <cell r="T196" t="str">
            <v>Jan1900</v>
          </cell>
          <cell r="U196" t="e">
            <v>#VALUE!</v>
          </cell>
          <cell r="V196" t="e">
            <v>#VALUE!</v>
          </cell>
          <cell r="W196" t="str">
            <v/>
          </cell>
          <cell r="X196" t="str">
            <v>INV-9900</v>
          </cell>
          <cell r="Y196" t="str">
            <v>Jan</v>
          </cell>
          <cell r="Z196">
            <v>1900</v>
          </cell>
          <cell r="AA196" t="str">
            <v>9900</v>
          </cell>
          <cell r="AB196" t="str">
            <v>9900-178</v>
          </cell>
          <cell r="AC196">
            <v>178</v>
          </cell>
          <cell r="AD196">
            <v>0</v>
          </cell>
          <cell r="AE196">
            <v>0</v>
          </cell>
          <cell r="AF196" t="str">
            <v/>
          </cell>
          <cell r="AG196" t="str">
            <v/>
          </cell>
          <cell r="AH196">
            <v>1</v>
          </cell>
          <cell r="AI196">
            <v>1</v>
          </cell>
          <cell r="AK196" t="str">
            <v>INV--9900-178</v>
          </cell>
          <cell r="AL196">
            <v>0</v>
          </cell>
          <cell r="AN196" t="str">
            <v>INVOICE</v>
          </cell>
          <cell r="AR196" t="str">
            <v/>
          </cell>
          <cell r="AS196" t="str">
            <v/>
          </cell>
          <cell r="AT196" t="str">
            <v/>
          </cell>
          <cell r="AU196" t="str">
            <v/>
          </cell>
          <cell r="AV196" t="str">
            <v/>
          </cell>
          <cell r="AW196" t="str">
            <v/>
          </cell>
          <cell r="AX196" t="str">
            <v/>
          </cell>
          <cell r="AY196" t="str">
            <v/>
          </cell>
          <cell r="AZ196" t="str">
            <v/>
          </cell>
          <cell r="BB196" t="str">
            <v/>
          </cell>
          <cell r="BC196" t="str">
            <v/>
          </cell>
          <cell r="BF196" t="str">
            <v/>
          </cell>
          <cell r="BI196">
            <v>0</v>
          </cell>
          <cell r="BJ196">
            <v>0</v>
          </cell>
          <cell r="BK196">
            <v>30</v>
          </cell>
          <cell r="BP196" t="str">
            <v/>
          </cell>
          <cell r="BQ196" t="str">
            <v/>
          </cell>
          <cell r="BR196" t="str">
            <v/>
          </cell>
          <cell r="BS196" t="str">
            <v/>
          </cell>
        </row>
        <row r="197">
          <cell r="B197" t="str">
            <v>INV--9900-179</v>
          </cell>
          <cell r="C197" t="str">
            <v/>
          </cell>
          <cell r="D197" t="e">
            <v>#VALUE!</v>
          </cell>
          <cell r="E197" t="str">
            <v>Jan1900</v>
          </cell>
          <cell r="F197">
            <v>31</v>
          </cell>
          <cell r="G197" t="e">
            <v>#VALUE!</v>
          </cell>
          <cell r="H197">
            <v>1</v>
          </cell>
          <cell r="I197">
            <v>1</v>
          </cell>
          <cell r="J197">
            <v>0</v>
          </cell>
          <cell r="K197" t="str">
            <v>0Jan1900</v>
          </cell>
          <cell r="L197" t="str">
            <v>Buildings</v>
          </cell>
          <cell r="M197" t="str">
            <v>BuildingsJan1900</v>
          </cell>
          <cell r="N197">
            <v>0</v>
          </cell>
          <cell r="O197">
            <v>0</v>
          </cell>
          <cell r="Q197" t="e">
            <v>#VALUE!</v>
          </cell>
          <cell r="R197">
            <v>0</v>
          </cell>
          <cell r="S197" t="str">
            <v>Jan1900</v>
          </cell>
          <cell r="T197" t="str">
            <v>Jan1900</v>
          </cell>
          <cell r="U197" t="e">
            <v>#VALUE!</v>
          </cell>
          <cell r="V197" t="e">
            <v>#VALUE!</v>
          </cell>
          <cell r="W197" t="str">
            <v/>
          </cell>
          <cell r="X197" t="str">
            <v>INV-9900</v>
          </cell>
          <cell r="Y197" t="str">
            <v>Jan</v>
          </cell>
          <cell r="Z197">
            <v>1900</v>
          </cell>
          <cell r="AA197" t="str">
            <v>9900</v>
          </cell>
          <cell r="AB197" t="str">
            <v>9900-179</v>
          </cell>
          <cell r="AC197">
            <v>179</v>
          </cell>
          <cell r="AD197">
            <v>0</v>
          </cell>
          <cell r="AE197">
            <v>0</v>
          </cell>
          <cell r="AF197" t="str">
            <v/>
          </cell>
          <cell r="AG197" t="str">
            <v/>
          </cell>
          <cell r="AH197">
            <v>1</v>
          </cell>
          <cell r="AI197">
            <v>1</v>
          </cell>
          <cell r="AK197" t="str">
            <v>INV--9900-179</v>
          </cell>
          <cell r="AL197">
            <v>0</v>
          </cell>
          <cell r="AN197" t="str">
            <v>INVOICE</v>
          </cell>
          <cell r="AR197" t="str">
            <v/>
          </cell>
          <cell r="AS197" t="str">
            <v/>
          </cell>
          <cell r="AT197" t="str">
            <v/>
          </cell>
          <cell r="AU197" t="str">
            <v/>
          </cell>
          <cell r="AV197" t="str">
            <v/>
          </cell>
          <cell r="AW197" t="str">
            <v/>
          </cell>
          <cell r="AX197" t="str">
            <v/>
          </cell>
          <cell r="AY197" t="str">
            <v/>
          </cell>
          <cell r="AZ197" t="str">
            <v/>
          </cell>
          <cell r="BB197" t="str">
            <v/>
          </cell>
          <cell r="BC197" t="str">
            <v/>
          </cell>
          <cell r="BF197" t="str">
            <v/>
          </cell>
          <cell r="BI197">
            <v>0</v>
          </cell>
          <cell r="BJ197">
            <v>0</v>
          </cell>
          <cell r="BK197">
            <v>30</v>
          </cell>
          <cell r="BP197" t="str">
            <v/>
          </cell>
          <cell r="BQ197" t="str">
            <v/>
          </cell>
          <cell r="BR197" t="str">
            <v/>
          </cell>
          <cell r="BS197" t="str">
            <v/>
          </cell>
        </row>
        <row r="198">
          <cell r="B198" t="str">
            <v>INV--9900-180</v>
          </cell>
          <cell r="C198" t="str">
            <v/>
          </cell>
          <cell r="D198" t="e">
            <v>#VALUE!</v>
          </cell>
          <cell r="E198" t="str">
            <v>Jan1900</v>
          </cell>
          <cell r="F198">
            <v>31</v>
          </cell>
          <cell r="G198" t="e">
            <v>#VALUE!</v>
          </cell>
          <cell r="H198">
            <v>1</v>
          </cell>
          <cell r="I198">
            <v>1</v>
          </cell>
          <cell r="J198">
            <v>0</v>
          </cell>
          <cell r="K198" t="str">
            <v>0Jan1900</v>
          </cell>
          <cell r="L198" t="str">
            <v>Buildings</v>
          </cell>
          <cell r="M198" t="str">
            <v>BuildingsJan1900</v>
          </cell>
          <cell r="N198">
            <v>0</v>
          </cell>
          <cell r="O198">
            <v>0</v>
          </cell>
          <cell r="Q198" t="e">
            <v>#VALUE!</v>
          </cell>
          <cell r="R198">
            <v>0</v>
          </cell>
          <cell r="S198" t="str">
            <v>Jan1900</v>
          </cell>
          <cell r="T198" t="str">
            <v>Jan1900</v>
          </cell>
          <cell r="U198" t="e">
            <v>#VALUE!</v>
          </cell>
          <cell r="V198" t="e">
            <v>#VALUE!</v>
          </cell>
          <cell r="W198" t="str">
            <v/>
          </cell>
          <cell r="X198" t="str">
            <v>INV-9900</v>
          </cell>
          <cell r="Y198" t="str">
            <v>Jan</v>
          </cell>
          <cell r="Z198">
            <v>1900</v>
          </cell>
          <cell r="AA198" t="str">
            <v>9900</v>
          </cell>
          <cell r="AB198" t="str">
            <v>9900-180</v>
          </cell>
          <cell r="AC198">
            <v>180</v>
          </cell>
          <cell r="AD198">
            <v>0</v>
          </cell>
          <cell r="AE198">
            <v>0</v>
          </cell>
          <cell r="AF198" t="str">
            <v/>
          </cell>
          <cell r="AG198" t="str">
            <v/>
          </cell>
          <cell r="AH198">
            <v>1</v>
          </cell>
          <cell r="AI198">
            <v>1</v>
          </cell>
          <cell r="AK198" t="str">
            <v>INV--9900-180</v>
          </cell>
          <cell r="AL198">
            <v>0</v>
          </cell>
          <cell r="AN198" t="str">
            <v>INVOICE</v>
          </cell>
          <cell r="AR198" t="str">
            <v/>
          </cell>
          <cell r="AS198" t="str">
            <v/>
          </cell>
          <cell r="AT198" t="str">
            <v/>
          </cell>
          <cell r="AU198" t="str">
            <v/>
          </cell>
          <cell r="AV198" t="str">
            <v/>
          </cell>
          <cell r="AW198" t="str">
            <v/>
          </cell>
          <cell r="AX198" t="str">
            <v/>
          </cell>
          <cell r="AY198" t="str">
            <v/>
          </cell>
          <cell r="AZ198" t="str">
            <v/>
          </cell>
          <cell r="BB198" t="str">
            <v/>
          </cell>
          <cell r="BC198" t="str">
            <v/>
          </cell>
          <cell r="BF198" t="str">
            <v/>
          </cell>
          <cell r="BI198">
            <v>0</v>
          </cell>
          <cell r="BJ198">
            <v>0</v>
          </cell>
          <cell r="BK198">
            <v>30</v>
          </cell>
          <cell r="BP198" t="str">
            <v/>
          </cell>
          <cell r="BQ198" t="str">
            <v/>
          </cell>
          <cell r="BR198" t="str">
            <v/>
          </cell>
          <cell r="BS198" t="str">
            <v/>
          </cell>
        </row>
        <row r="199">
          <cell r="B199" t="str">
            <v>INV--9900-181</v>
          </cell>
          <cell r="C199" t="str">
            <v/>
          </cell>
          <cell r="D199" t="e">
            <v>#VALUE!</v>
          </cell>
          <cell r="E199" t="str">
            <v>Jan1900</v>
          </cell>
          <cell r="F199">
            <v>31</v>
          </cell>
          <cell r="G199" t="e">
            <v>#VALUE!</v>
          </cell>
          <cell r="H199">
            <v>1</v>
          </cell>
          <cell r="I199">
            <v>1</v>
          </cell>
          <cell r="J199">
            <v>0</v>
          </cell>
          <cell r="K199" t="str">
            <v>0Jan1900</v>
          </cell>
          <cell r="L199" t="str">
            <v>Buildings</v>
          </cell>
          <cell r="M199" t="str">
            <v>BuildingsJan1900</v>
          </cell>
          <cell r="N199">
            <v>0</v>
          </cell>
          <cell r="O199">
            <v>0</v>
          </cell>
          <cell r="Q199" t="e">
            <v>#VALUE!</v>
          </cell>
          <cell r="R199">
            <v>0</v>
          </cell>
          <cell r="S199" t="str">
            <v>Jan1900</v>
          </cell>
          <cell r="T199" t="str">
            <v>Jan1900</v>
          </cell>
          <cell r="U199" t="e">
            <v>#VALUE!</v>
          </cell>
          <cell r="V199" t="e">
            <v>#VALUE!</v>
          </cell>
          <cell r="W199" t="str">
            <v/>
          </cell>
          <cell r="X199" t="str">
            <v>INV-9900</v>
          </cell>
          <cell r="Y199" t="str">
            <v>Jan</v>
          </cell>
          <cell r="Z199">
            <v>1900</v>
          </cell>
          <cell r="AA199" t="str">
            <v>9900</v>
          </cell>
          <cell r="AB199" t="str">
            <v>9900-181</v>
          </cell>
          <cell r="AC199">
            <v>181</v>
          </cell>
          <cell r="AD199">
            <v>0</v>
          </cell>
          <cell r="AE199">
            <v>0</v>
          </cell>
          <cell r="AF199" t="str">
            <v/>
          </cell>
          <cell r="AG199" t="str">
            <v/>
          </cell>
          <cell r="AH199">
            <v>1</v>
          </cell>
          <cell r="AI199">
            <v>1</v>
          </cell>
          <cell r="AK199" t="str">
            <v>INV--9900-181</v>
          </cell>
          <cell r="AL199">
            <v>0</v>
          </cell>
          <cell r="AN199" t="str">
            <v>INVOICE</v>
          </cell>
          <cell r="AR199" t="str">
            <v/>
          </cell>
          <cell r="AS199" t="str">
            <v/>
          </cell>
          <cell r="AT199" t="str">
            <v/>
          </cell>
          <cell r="AU199" t="str">
            <v/>
          </cell>
          <cell r="AV199" t="str">
            <v/>
          </cell>
          <cell r="AW199" t="str">
            <v/>
          </cell>
          <cell r="AX199" t="str">
            <v/>
          </cell>
          <cell r="AY199" t="str">
            <v/>
          </cell>
          <cell r="AZ199" t="str">
            <v/>
          </cell>
          <cell r="BB199" t="str">
            <v/>
          </cell>
          <cell r="BC199" t="str">
            <v/>
          </cell>
          <cell r="BF199" t="str">
            <v/>
          </cell>
          <cell r="BI199">
            <v>0</v>
          </cell>
          <cell r="BJ199">
            <v>0</v>
          </cell>
          <cell r="BK199">
            <v>30</v>
          </cell>
          <cell r="BP199" t="str">
            <v/>
          </cell>
          <cell r="BQ199" t="str">
            <v/>
          </cell>
          <cell r="BR199" t="str">
            <v/>
          </cell>
          <cell r="BS199" t="str">
            <v/>
          </cell>
        </row>
        <row r="200">
          <cell r="B200" t="str">
            <v>INV--9900-182</v>
          </cell>
          <cell r="C200" t="str">
            <v/>
          </cell>
          <cell r="D200" t="e">
            <v>#VALUE!</v>
          </cell>
          <cell r="E200" t="str">
            <v>Jan1900</v>
          </cell>
          <cell r="F200">
            <v>31</v>
          </cell>
          <cell r="G200" t="e">
            <v>#VALUE!</v>
          </cell>
          <cell r="H200">
            <v>1</v>
          </cell>
          <cell r="I200">
            <v>1</v>
          </cell>
          <cell r="J200">
            <v>0</v>
          </cell>
          <cell r="K200" t="str">
            <v>0Jan1900</v>
          </cell>
          <cell r="L200" t="str">
            <v>Buildings</v>
          </cell>
          <cell r="M200" t="str">
            <v>BuildingsJan1900</v>
          </cell>
          <cell r="N200">
            <v>0</v>
          </cell>
          <cell r="O200">
            <v>0</v>
          </cell>
          <cell r="Q200" t="e">
            <v>#VALUE!</v>
          </cell>
          <cell r="R200">
            <v>0</v>
          </cell>
          <cell r="S200" t="str">
            <v>Jan1900</v>
          </cell>
          <cell r="T200" t="str">
            <v>Jan1900</v>
          </cell>
          <cell r="U200" t="e">
            <v>#VALUE!</v>
          </cell>
          <cell r="V200" t="e">
            <v>#VALUE!</v>
          </cell>
          <cell r="W200" t="str">
            <v/>
          </cell>
          <cell r="X200" t="str">
            <v>INV-9900</v>
          </cell>
          <cell r="Y200" t="str">
            <v>Jan</v>
          </cell>
          <cell r="Z200">
            <v>1900</v>
          </cell>
          <cell r="AA200" t="str">
            <v>9900</v>
          </cell>
          <cell r="AB200" t="str">
            <v>9900-182</v>
          </cell>
          <cell r="AC200">
            <v>182</v>
          </cell>
          <cell r="AD200">
            <v>0</v>
          </cell>
          <cell r="AE200">
            <v>0</v>
          </cell>
          <cell r="AF200" t="str">
            <v/>
          </cell>
          <cell r="AG200" t="str">
            <v/>
          </cell>
          <cell r="AH200">
            <v>1</v>
          </cell>
          <cell r="AI200">
            <v>1</v>
          </cell>
          <cell r="AK200" t="str">
            <v>INV--9900-182</v>
          </cell>
          <cell r="AL200">
            <v>0</v>
          </cell>
          <cell r="AN200" t="str">
            <v>INVOICE</v>
          </cell>
          <cell r="AR200" t="str">
            <v/>
          </cell>
          <cell r="AS200" t="str">
            <v/>
          </cell>
          <cell r="AT200" t="str">
            <v/>
          </cell>
          <cell r="AU200" t="str">
            <v/>
          </cell>
          <cell r="AV200" t="str">
            <v/>
          </cell>
          <cell r="AW200" t="str">
            <v/>
          </cell>
          <cell r="AX200" t="str">
            <v/>
          </cell>
          <cell r="AY200" t="str">
            <v/>
          </cell>
          <cell r="AZ200" t="str">
            <v/>
          </cell>
          <cell r="BB200" t="str">
            <v/>
          </cell>
          <cell r="BC200" t="str">
            <v/>
          </cell>
          <cell r="BF200" t="str">
            <v/>
          </cell>
          <cell r="BI200">
            <v>0</v>
          </cell>
          <cell r="BJ200">
            <v>0</v>
          </cell>
          <cell r="BK200">
            <v>30</v>
          </cell>
          <cell r="BP200" t="str">
            <v/>
          </cell>
          <cell r="BQ200" t="str">
            <v/>
          </cell>
          <cell r="BR200" t="str">
            <v/>
          </cell>
          <cell r="BS200" t="str">
            <v/>
          </cell>
        </row>
        <row r="201">
          <cell r="B201" t="str">
            <v>INV--9900-183</v>
          </cell>
          <cell r="C201" t="str">
            <v/>
          </cell>
          <cell r="D201" t="e">
            <v>#VALUE!</v>
          </cell>
          <cell r="E201" t="str">
            <v>Jan1900</v>
          </cell>
          <cell r="F201">
            <v>31</v>
          </cell>
          <cell r="G201" t="e">
            <v>#VALUE!</v>
          </cell>
          <cell r="H201">
            <v>1</v>
          </cell>
          <cell r="I201">
            <v>1</v>
          </cell>
          <cell r="J201">
            <v>0</v>
          </cell>
          <cell r="K201" t="str">
            <v>0Jan1900</v>
          </cell>
          <cell r="L201" t="str">
            <v>Buildings</v>
          </cell>
          <cell r="M201" t="str">
            <v>BuildingsJan1900</v>
          </cell>
          <cell r="N201">
            <v>0</v>
          </cell>
          <cell r="O201">
            <v>0</v>
          </cell>
          <cell r="Q201" t="e">
            <v>#VALUE!</v>
          </cell>
          <cell r="R201">
            <v>0</v>
          </cell>
          <cell r="S201" t="str">
            <v>Jan1900</v>
          </cell>
          <cell r="T201" t="str">
            <v>Jan1900</v>
          </cell>
          <cell r="U201" t="e">
            <v>#VALUE!</v>
          </cell>
          <cell r="V201" t="e">
            <v>#VALUE!</v>
          </cell>
          <cell r="W201" t="str">
            <v/>
          </cell>
          <cell r="X201" t="str">
            <v>INV-9900</v>
          </cell>
          <cell r="Y201" t="str">
            <v>Jan</v>
          </cell>
          <cell r="Z201">
            <v>1900</v>
          </cell>
          <cell r="AA201" t="str">
            <v>9900</v>
          </cell>
          <cell r="AB201" t="str">
            <v>9900-183</v>
          </cell>
          <cell r="AC201">
            <v>183</v>
          </cell>
          <cell r="AD201">
            <v>0</v>
          </cell>
          <cell r="AE201">
            <v>0</v>
          </cell>
          <cell r="AF201" t="str">
            <v/>
          </cell>
          <cell r="AG201" t="str">
            <v/>
          </cell>
          <cell r="AH201">
            <v>1</v>
          </cell>
          <cell r="AI201">
            <v>1</v>
          </cell>
          <cell r="AK201" t="str">
            <v>INV--9900-183</v>
          </cell>
          <cell r="AL201">
            <v>0</v>
          </cell>
          <cell r="AN201" t="str">
            <v>INVOICE</v>
          </cell>
          <cell r="AR201" t="str">
            <v/>
          </cell>
          <cell r="AS201" t="str">
            <v/>
          </cell>
          <cell r="AT201" t="str">
            <v/>
          </cell>
          <cell r="AU201" t="str">
            <v/>
          </cell>
          <cell r="AV201" t="str">
            <v/>
          </cell>
          <cell r="AW201" t="str">
            <v/>
          </cell>
          <cell r="AX201" t="str">
            <v/>
          </cell>
          <cell r="AY201" t="str">
            <v/>
          </cell>
          <cell r="AZ201" t="str">
            <v/>
          </cell>
          <cell r="BB201" t="str">
            <v/>
          </cell>
          <cell r="BC201" t="str">
            <v/>
          </cell>
          <cell r="BF201" t="str">
            <v/>
          </cell>
          <cell r="BI201">
            <v>0</v>
          </cell>
          <cell r="BJ201">
            <v>0</v>
          </cell>
          <cell r="BK201">
            <v>30</v>
          </cell>
          <cell r="BP201" t="str">
            <v/>
          </cell>
          <cell r="BQ201" t="str">
            <v/>
          </cell>
          <cell r="BR201" t="str">
            <v/>
          </cell>
          <cell r="BS201" t="str">
            <v/>
          </cell>
        </row>
        <row r="202">
          <cell r="B202" t="str">
            <v>INV--9900-184</v>
          </cell>
          <cell r="C202" t="str">
            <v/>
          </cell>
          <cell r="D202" t="e">
            <v>#VALUE!</v>
          </cell>
          <cell r="E202" t="str">
            <v>Jan1900</v>
          </cell>
          <cell r="F202">
            <v>31</v>
          </cell>
          <cell r="G202" t="e">
            <v>#VALUE!</v>
          </cell>
          <cell r="H202">
            <v>1</v>
          </cell>
          <cell r="I202">
            <v>1</v>
          </cell>
          <cell r="J202">
            <v>0</v>
          </cell>
          <cell r="K202" t="str">
            <v>0Jan1900</v>
          </cell>
          <cell r="L202" t="str">
            <v>Buildings</v>
          </cell>
          <cell r="M202" t="str">
            <v>BuildingsJan1900</v>
          </cell>
          <cell r="N202">
            <v>0</v>
          </cell>
          <cell r="O202">
            <v>0</v>
          </cell>
          <cell r="Q202" t="e">
            <v>#VALUE!</v>
          </cell>
          <cell r="R202">
            <v>0</v>
          </cell>
          <cell r="S202" t="str">
            <v>Jan1900</v>
          </cell>
          <cell r="T202" t="str">
            <v>Jan1900</v>
          </cell>
          <cell r="U202" t="e">
            <v>#VALUE!</v>
          </cell>
          <cell r="V202" t="e">
            <v>#VALUE!</v>
          </cell>
          <cell r="W202" t="str">
            <v/>
          </cell>
          <cell r="X202" t="str">
            <v>INV-9900</v>
          </cell>
          <cell r="Y202" t="str">
            <v>Jan</v>
          </cell>
          <cell r="Z202">
            <v>1900</v>
          </cell>
          <cell r="AA202" t="str">
            <v>9900</v>
          </cell>
          <cell r="AB202" t="str">
            <v>9900-184</v>
          </cell>
          <cell r="AC202">
            <v>184</v>
          </cell>
          <cell r="AD202">
            <v>0</v>
          </cell>
          <cell r="AE202">
            <v>0</v>
          </cell>
          <cell r="AF202" t="str">
            <v/>
          </cell>
          <cell r="AG202" t="str">
            <v/>
          </cell>
          <cell r="AH202">
            <v>1</v>
          </cell>
          <cell r="AI202">
            <v>1</v>
          </cell>
          <cell r="AK202" t="str">
            <v>INV--9900-184</v>
          </cell>
          <cell r="AL202">
            <v>0</v>
          </cell>
          <cell r="AN202" t="str">
            <v>INVOICE</v>
          </cell>
          <cell r="AR202" t="str">
            <v/>
          </cell>
          <cell r="AS202" t="str">
            <v/>
          </cell>
          <cell r="AT202" t="str">
            <v/>
          </cell>
          <cell r="AU202" t="str">
            <v/>
          </cell>
          <cell r="AV202" t="str">
            <v/>
          </cell>
          <cell r="AW202" t="str">
            <v/>
          </cell>
          <cell r="AX202" t="str">
            <v/>
          </cell>
          <cell r="AY202" t="str">
            <v/>
          </cell>
          <cell r="AZ202" t="str">
            <v/>
          </cell>
          <cell r="BB202" t="str">
            <v/>
          </cell>
          <cell r="BC202" t="str">
            <v/>
          </cell>
          <cell r="BF202" t="str">
            <v/>
          </cell>
          <cell r="BI202">
            <v>0</v>
          </cell>
          <cell r="BJ202">
            <v>0</v>
          </cell>
          <cell r="BK202">
            <v>30</v>
          </cell>
          <cell r="BP202" t="str">
            <v/>
          </cell>
          <cell r="BQ202" t="str">
            <v/>
          </cell>
          <cell r="BR202" t="str">
            <v/>
          </cell>
          <cell r="BS202" t="str">
            <v/>
          </cell>
        </row>
        <row r="203">
          <cell r="B203" t="str">
            <v>INV--9900-185</v>
          </cell>
          <cell r="C203" t="str">
            <v/>
          </cell>
          <cell r="D203" t="e">
            <v>#VALUE!</v>
          </cell>
          <cell r="E203" t="str">
            <v>Jan1900</v>
          </cell>
          <cell r="F203">
            <v>31</v>
          </cell>
          <cell r="G203" t="e">
            <v>#VALUE!</v>
          </cell>
          <cell r="H203">
            <v>1</v>
          </cell>
          <cell r="I203">
            <v>1</v>
          </cell>
          <cell r="J203">
            <v>0</v>
          </cell>
          <cell r="K203" t="str">
            <v>0Jan1900</v>
          </cell>
          <cell r="L203" t="str">
            <v>Buildings</v>
          </cell>
          <cell r="M203" t="str">
            <v>BuildingsJan1900</v>
          </cell>
          <cell r="N203">
            <v>0</v>
          </cell>
          <cell r="O203">
            <v>0</v>
          </cell>
          <cell r="Q203" t="e">
            <v>#VALUE!</v>
          </cell>
          <cell r="R203">
            <v>0</v>
          </cell>
          <cell r="S203" t="str">
            <v>Jan1900</v>
          </cell>
          <cell r="T203" t="str">
            <v>Jan1900</v>
          </cell>
          <cell r="U203" t="e">
            <v>#VALUE!</v>
          </cell>
          <cell r="V203" t="e">
            <v>#VALUE!</v>
          </cell>
          <cell r="W203" t="str">
            <v/>
          </cell>
          <cell r="X203" t="str">
            <v>INV-9900</v>
          </cell>
          <cell r="Y203" t="str">
            <v>Jan</v>
          </cell>
          <cell r="Z203">
            <v>1900</v>
          </cell>
          <cell r="AA203" t="str">
            <v>9900</v>
          </cell>
          <cell r="AB203" t="str">
            <v>9900-185</v>
          </cell>
          <cell r="AC203">
            <v>185</v>
          </cell>
          <cell r="AD203">
            <v>0</v>
          </cell>
          <cell r="AE203">
            <v>0</v>
          </cell>
          <cell r="AF203" t="str">
            <v/>
          </cell>
          <cell r="AG203" t="str">
            <v/>
          </cell>
          <cell r="AH203">
            <v>1</v>
          </cell>
          <cell r="AI203">
            <v>1</v>
          </cell>
          <cell r="AK203" t="str">
            <v>INV--9900-185</v>
          </cell>
          <cell r="AL203">
            <v>0</v>
          </cell>
          <cell r="AN203" t="str">
            <v>INVOICE</v>
          </cell>
          <cell r="AR203" t="str">
            <v/>
          </cell>
          <cell r="AS203" t="str">
            <v/>
          </cell>
          <cell r="AT203" t="str">
            <v/>
          </cell>
          <cell r="AU203" t="str">
            <v/>
          </cell>
          <cell r="AV203" t="str">
            <v/>
          </cell>
          <cell r="AW203" t="str">
            <v/>
          </cell>
          <cell r="AX203" t="str">
            <v/>
          </cell>
          <cell r="AY203" t="str">
            <v/>
          </cell>
          <cell r="AZ203" t="str">
            <v/>
          </cell>
          <cell r="BB203" t="str">
            <v/>
          </cell>
          <cell r="BC203" t="str">
            <v/>
          </cell>
          <cell r="BF203" t="str">
            <v/>
          </cell>
          <cell r="BI203">
            <v>0</v>
          </cell>
          <cell r="BJ203">
            <v>0</v>
          </cell>
          <cell r="BK203">
            <v>30</v>
          </cell>
          <cell r="BP203" t="str">
            <v/>
          </cell>
          <cell r="BQ203" t="str">
            <v/>
          </cell>
          <cell r="BR203" t="str">
            <v/>
          </cell>
          <cell r="BS203" t="str">
            <v/>
          </cell>
        </row>
        <row r="204">
          <cell r="B204" t="str">
            <v>INV--9900-186</v>
          </cell>
          <cell r="C204" t="str">
            <v/>
          </cell>
          <cell r="D204" t="e">
            <v>#VALUE!</v>
          </cell>
          <cell r="E204" t="str">
            <v>Jan1900</v>
          </cell>
          <cell r="F204">
            <v>31</v>
          </cell>
          <cell r="G204" t="e">
            <v>#VALUE!</v>
          </cell>
          <cell r="H204">
            <v>1</v>
          </cell>
          <cell r="I204">
            <v>1</v>
          </cell>
          <cell r="J204">
            <v>0</v>
          </cell>
          <cell r="K204" t="str">
            <v>0Jan1900</v>
          </cell>
          <cell r="L204" t="str">
            <v>Buildings</v>
          </cell>
          <cell r="M204" t="str">
            <v>BuildingsJan1900</v>
          </cell>
          <cell r="N204">
            <v>0</v>
          </cell>
          <cell r="O204">
            <v>0</v>
          </cell>
          <cell r="Q204" t="e">
            <v>#VALUE!</v>
          </cell>
          <cell r="R204">
            <v>0</v>
          </cell>
          <cell r="S204" t="str">
            <v>Jan1900</v>
          </cell>
          <cell r="T204" t="str">
            <v>Jan1900</v>
          </cell>
          <cell r="U204" t="e">
            <v>#VALUE!</v>
          </cell>
          <cell r="V204" t="e">
            <v>#VALUE!</v>
          </cell>
          <cell r="W204" t="str">
            <v/>
          </cell>
          <cell r="X204" t="str">
            <v>INV-9900</v>
          </cell>
          <cell r="Y204" t="str">
            <v>Jan</v>
          </cell>
          <cell r="Z204">
            <v>1900</v>
          </cell>
          <cell r="AA204" t="str">
            <v>9900</v>
          </cell>
          <cell r="AB204" t="str">
            <v>9900-186</v>
          </cell>
          <cell r="AC204">
            <v>186</v>
          </cell>
          <cell r="AD204">
            <v>0</v>
          </cell>
          <cell r="AE204">
            <v>0</v>
          </cell>
          <cell r="AF204" t="str">
            <v/>
          </cell>
          <cell r="AG204" t="str">
            <v/>
          </cell>
          <cell r="AH204">
            <v>1</v>
          </cell>
          <cell r="AI204">
            <v>1</v>
          </cell>
          <cell r="AK204" t="str">
            <v>INV--9900-186</v>
          </cell>
          <cell r="AL204">
            <v>0</v>
          </cell>
          <cell r="AN204" t="str">
            <v>INVOICE</v>
          </cell>
          <cell r="AR204" t="str">
            <v/>
          </cell>
          <cell r="AS204" t="str">
            <v/>
          </cell>
          <cell r="AT204" t="str">
            <v/>
          </cell>
          <cell r="AU204" t="str">
            <v/>
          </cell>
          <cell r="AV204" t="str">
            <v/>
          </cell>
          <cell r="AW204" t="str">
            <v/>
          </cell>
          <cell r="AX204" t="str">
            <v/>
          </cell>
          <cell r="AY204" t="str">
            <v/>
          </cell>
          <cell r="AZ204" t="str">
            <v/>
          </cell>
          <cell r="BB204" t="str">
            <v/>
          </cell>
          <cell r="BC204" t="str">
            <v/>
          </cell>
          <cell r="BF204" t="str">
            <v/>
          </cell>
          <cell r="BI204">
            <v>0</v>
          </cell>
          <cell r="BJ204">
            <v>0</v>
          </cell>
          <cell r="BK204">
            <v>30</v>
          </cell>
          <cell r="BP204" t="str">
            <v/>
          </cell>
          <cell r="BQ204" t="str">
            <v/>
          </cell>
          <cell r="BR204" t="str">
            <v/>
          </cell>
          <cell r="BS204" t="str">
            <v/>
          </cell>
        </row>
        <row r="205">
          <cell r="B205" t="str">
            <v>INV--9900-187</v>
          </cell>
          <cell r="C205" t="str">
            <v/>
          </cell>
          <cell r="D205" t="e">
            <v>#VALUE!</v>
          </cell>
          <cell r="E205" t="str">
            <v>Jan1900</v>
          </cell>
          <cell r="F205">
            <v>31</v>
          </cell>
          <cell r="G205" t="e">
            <v>#VALUE!</v>
          </cell>
          <cell r="H205">
            <v>1</v>
          </cell>
          <cell r="I205">
            <v>1</v>
          </cell>
          <cell r="J205">
            <v>0</v>
          </cell>
          <cell r="K205" t="str">
            <v>0Jan1900</v>
          </cell>
          <cell r="L205" t="str">
            <v>Buildings</v>
          </cell>
          <cell r="M205" t="str">
            <v>BuildingsJan1900</v>
          </cell>
          <cell r="N205">
            <v>0</v>
          </cell>
          <cell r="O205">
            <v>0</v>
          </cell>
          <cell r="Q205" t="e">
            <v>#VALUE!</v>
          </cell>
          <cell r="R205">
            <v>0</v>
          </cell>
          <cell r="S205" t="str">
            <v>Jan1900</v>
          </cell>
          <cell r="T205" t="str">
            <v>Jan1900</v>
          </cell>
          <cell r="U205" t="e">
            <v>#VALUE!</v>
          </cell>
          <cell r="V205" t="e">
            <v>#VALUE!</v>
          </cell>
          <cell r="W205" t="str">
            <v/>
          </cell>
          <cell r="X205" t="str">
            <v>INV-9900</v>
          </cell>
          <cell r="Y205" t="str">
            <v>Jan</v>
          </cell>
          <cell r="Z205">
            <v>1900</v>
          </cell>
          <cell r="AA205" t="str">
            <v>9900</v>
          </cell>
          <cell r="AB205" t="str">
            <v>9900-187</v>
          </cell>
          <cell r="AC205">
            <v>187</v>
          </cell>
          <cell r="AD205">
            <v>0</v>
          </cell>
          <cell r="AE205">
            <v>0</v>
          </cell>
          <cell r="AF205" t="str">
            <v/>
          </cell>
          <cell r="AG205" t="str">
            <v/>
          </cell>
          <cell r="AH205">
            <v>1</v>
          </cell>
          <cell r="AI205">
            <v>1</v>
          </cell>
          <cell r="AK205" t="str">
            <v>INV--9900-187</v>
          </cell>
          <cell r="AL205">
            <v>0</v>
          </cell>
          <cell r="AN205" t="str">
            <v>INVOICE</v>
          </cell>
          <cell r="AR205" t="str">
            <v/>
          </cell>
          <cell r="AS205" t="str">
            <v/>
          </cell>
          <cell r="AT205" t="str">
            <v/>
          </cell>
          <cell r="AU205" t="str">
            <v/>
          </cell>
          <cell r="AV205" t="str">
            <v/>
          </cell>
          <cell r="AW205" t="str">
            <v/>
          </cell>
          <cell r="AX205" t="str">
            <v/>
          </cell>
          <cell r="AY205" t="str">
            <v/>
          </cell>
          <cell r="AZ205" t="str">
            <v/>
          </cell>
          <cell r="BB205" t="str">
            <v/>
          </cell>
          <cell r="BC205" t="str">
            <v/>
          </cell>
          <cell r="BF205" t="str">
            <v/>
          </cell>
          <cell r="BI205">
            <v>0</v>
          </cell>
          <cell r="BJ205">
            <v>0</v>
          </cell>
          <cell r="BK205">
            <v>30</v>
          </cell>
          <cell r="BP205" t="str">
            <v/>
          </cell>
          <cell r="BQ205" t="str">
            <v/>
          </cell>
          <cell r="BR205" t="str">
            <v/>
          </cell>
          <cell r="BS205" t="str">
            <v/>
          </cell>
        </row>
        <row r="206">
          <cell r="B206" t="str">
            <v>INV--9900-188</v>
          </cell>
          <cell r="C206" t="str">
            <v/>
          </cell>
          <cell r="D206" t="e">
            <v>#VALUE!</v>
          </cell>
          <cell r="E206" t="str">
            <v>Jan1900</v>
          </cell>
          <cell r="F206">
            <v>31</v>
          </cell>
          <cell r="G206" t="e">
            <v>#VALUE!</v>
          </cell>
          <cell r="H206">
            <v>1</v>
          </cell>
          <cell r="I206">
            <v>1</v>
          </cell>
          <cell r="J206">
            <v>0</v>
          </cell>
          <cell r="K206" t="str">
            <v>0Jan1900</v>
          </cell>
          <cell r="L206" t="str">
            <v>Buildings</v>
          </cell>
          <cell r="M206" t="str">
            <v>BuildingsJan1900</v>
          </cell>
          <cell r="N206">
            <v>0</v>
          </cell>
          <cell r="O206">
            <v>0</v>
          </cell>
          <cell r="Q206" t="e">
            <v>#VALUE!</v>
          </cell>
          <cell r="R206">
            <v>0</v>
          </cell>
          <cell r="S206" t="str">
            <v>Jan1900</v>
          </cell>
          <cell r="T206" t="str">
            <v>Jan1900</v>
          </cell>
          <cell r="U206" t="e">
            <v>#VALUE!</v>
          </cell>
          <cell r="V206" t="e">
            <v>#VALUE!</v>
          </cell>
          <cell r="W206" t="str">
            <v/>
          </cell>
          <cell r="X206" t="str">
            <v>INV-9900</v>
          </cell>
          <cell r="Y206" t="str">
            <v>Jan</v>
          </cell>
          <cell r="Z206">
            <v>1900</v>
          </cell>
          <cell r="AA206" t="str">
            <v>9900</v>
          </cell>
          <cell r="AB206" t="str">
            <v>9900-188</v>
          </cell>
          <cell r="AC206">
            <v>188</v>
          </cell>
          <cell r="AD206">
            <v>0</v>
          </cell>
          <cell r="AE206">
            <v>0</v>
          </cell>
          <cell r="AF206" t="str">
            <v/>
          </cell>
          <cell r="AG206" t="str">
            <v/>
          </cell>
          <cell r="AH206">
            <v>1</v>
          </cell>
          <cell r="AI206">
            <v>1</v>
          </cell>
          <cell r="AK206" t="str">
            <v>INV--9900-188</v>
          </cell>
          <cell r="AL206">
            <v>0</v>
          </cell>
          <cell r="AN206" t="str">
            <v>INVOICE</v>
          </cell>
          <cell r="AR206" t="str">
            <v/>
          </cell>
          <cell r="AS206" t="str">
            <v/>
          </cell>
          <cell r="AT206" t="str">
            <v/>
          </cell>
          <cell r="AU206" t="str">
            <v/>
          </cell>
          <cell r="AV206" t="str">
            <v/>
          </cell>
          <cell r="AW206" t="str">
            <v/>
          </cell>
          <cell r="AX206" t="str">
            <v/>
          </cell>
          <cell r="AY206" t="str">
            <v/>
          </cell>
          <cell r="AZ206" t="str">
            <v/>
          </cell>
          <cell r="BB206" t="str">
            <v/>
          </cell>
          <cell r="BC206" t="str">
            <v/>
          </cell>
          <cell r="BF206" t="str">
            <v/>
          </cell>
          <cell r="BI206">
            <v>0</v>
          </cell>
          <cell r="BJ206">
            <v>0</v>
          </cell>
          <cell r="BK206">
            <v>30</v>
          </cell>
          <cell r="BP206" t="str">
            <v/>
          </cell>
          <cell r="BQ206" t="str">
            <v/>
          </cell>
          <cell r="BR206" t="str">
            <v/>
          </cell>
          <cell r="BS206" t="str">
            <v/>
          </cell>
        </row>
        <row r="207">
          <cell r="B207" t="str">
            <v>INV--9900-189</v>
          </cell>
          <cell r="C207" t="str">
            <v/>
          </cell>
          <cell r="D207" t="e">
            <v>#VALUE!</v>
          </cell>
          <cell r="E207" t="str">
            <v>Jan1900</v>
          </cell>
          <cell r="F207">
            <v>31</v>
          </cell>
          <cell r="G207" t="e">
            <v>#VALUE!</v>
          </cell>
          <cell r="H207">
            <v>1</v>
          </cell>
          <cell r="I207">
            <v>1</v>
          </cell>
          <cell r="J207">
            <v>0</v>
          </cell>
          <cell r="K207" t="str">
            <v>0Jan1900</v>
          </cell>
          <cell r="L207" t="str">
            <v>Buildings</v>
          </cell>
          <cell r="M207" t="str">
            <v>BuildingsJan1900</v>
          </cell>
          <cell r="N207">
            <v>0</v>
          </cell>
          <cell r="O207">
            <v>0</v>
          </cell>
          <cell r="Q207" t="e">
            <v>#VALUE!</v>
          </cell>
          <cell r="R207">
            <v>0</v>
          </cell>
          <cell r="S207" t="str">
            <v>Jan1900</v>
          </cell>
          <cell r="T207" t="str">
            <v>Jan1900</v>
          </cell>
          <cell r="U207" t="e">
            <v>#VALUE!</v>
          </cell>
          <cell r="V207" t="e">
            <v>#VALUE!</v>
          </cell>
          <cell r="W207" t="str">
            <v/>
          </cell>
          <cell r="X207" t="str">
            <v>INV-9900</v>
          </cell>
          <cell r="Y207" t="str">
            <v>Jan</v>
          </cell>
          <cell r="Z207">
            <v>1900</v>
          </cell>
          <cell r="AA207" t="str">
            <v>9900</v>
          </cell>
          <cell r="AB207" t="str">
            <v>9900-189</v>
          </cell>
          <cell r="AC207">
            <v>189</v>
          </cell>
          <cell r="AD207">
            <v>0</v>
          </cell>
          <cell r="AE207">
            <v>0</v>
          </cell>
          <cell r="AF207" t="str">
            <v/>
          </cell>
          <cell r="AG207" t="str">
            <v/>
          </cell>
          <cell r="AH207">
            <v>1</v>
          </cell>
          <cell r="AI207">
            <v>1</v>
          </cell>
          <cell r="AK207" t="str">
            <v>INV--9900-189</v>
          </cell>
          <cell r="AL207">
            <v>0</v>
          </cell>
          <cell r="AN207" t="str">
            <v>INVOICE</v>
          </cell>
          <cell r="AR207" t="str">
            <v/>
          </cell>
          <cell r="AS207" t="str">
            <v/>
          </cell>
          <cell r="AT207" t="str">
            <v/>
          </cell>
          <cell r="AU207" t="str">
            <v/>
          </cell>
          <cell r="AV207" t="str">
            <v/>
          </cell>
          <cell r="AW207" t="str">
            <v/>
          </cell>
          <cell r="AX207" t="str">
            <v/>
          </cell>
          <cell r="AY207" t="str">
            <v/>
          </cell>
          <cell r="AZ207" t="str">
            <v/>
          </cell>
          <cell r="BB207" t="str">
            <v/>
          </cell>
          <cell r="BC207" t="str">
            <v/>
          </cell>
          <cell r="BF207" t="str">
            <v/>
          </cell>
          <cell r="BI207">
            <v>0</v>
          </cell>
          <cell r="BJ207">
            <v>0</v>
          </cell>
          <cell r="BK207">
            <v>30</v>
          </cell>
          <cell r="BP207" t="str">
            <v/>
          </cell>
          <cell r="BQ207" t="str">
            <v/>
          </cell>
          <cell r="BR207" t="str">
            <v/>
          </cell>
          <cell r="BS207" t="str">
            <v/>
          </cell>
        </row>
        <row r="208">
          <cell r="B208" t="str">
            <v>INV--9900-190</v>
          </cell>
          <cell r="C208" t="str">
            <v/>
          </cell>
          <cell r="D208" t="e">
            <v>#VALUE!</v>
          </cell>
          <cell r="E208" t="str">
            <v>Jan1900</v>
          </cell>
          <cell r="F208">
            <v>31</v>
          </cell>
          <cell r="G208" t="e">
            <v>#VALUE!</v>
          </cell>
          <cell r="H208">
            <v>1</v>
          </cell>
          <cell r="I208">
            <v>1</v>
          </cell>
          <cell r="J208">
            <v>0</v>
          </cell>
          <cell r="K208" t="str">
            <v>0Jan1900</v>
          </cell>
          <cell r="L208" t="str">
            <v>Buildings</v>
          </cell>
          <cell r="M208" t="str">
            <v>BuildingsJan1900</v>
          </cell>
          <cell r="N208">
            <v>0</v>
          </cell>
          <cell r="O208">
            <v>0</v>
          </cell>
          <cell r="Q208" t="e">
            <v>#VALUE!</v>
          </cell>
          <cell r="R208">
            <v>0</v>
          </cell>
          <cell r="S208" t="str">
            <v>Jan1900</v>
          </cell>
          <cell r="T208" t="str">
            <v>Jan1900</v>
          </cell>
          <cell r="U208" t="e">
            <v>#VALUE!</v>
          </cell>
          <cell r="V208" t="e">
            <v>#VALUE!</v>
          </cell>
          <cell r="W208" t="str">
            <v/>
          </cell>
          <cell r="X208" t="str">
            <v>INV-9900</v>
          </cell>
          <cell r="Y208" t="str">
            <v>Jan</v>
          </cell>
          <cell r="Z208">
            <v>1900</v>
          </cell>
          <cell r="AA208" t="str">
            <v>9900</v>
          </cell>
          <cell r="AB208" t="str">
            <v>9900-190</v>
          </cell>
          <cell r="AC208">
            <v>190</v>
          </cell>
          <cell r="AD208">
            <v>0</v>
          </cell>
          <cell r="AE208">
            <v>0</v>
          </cell>
          <cell r="AF208" t="str">
            <v/>
          </cell>
          <cell r="AG208" t="str">
            <v/>
          </cell>
          <cell r="AH208">
            <v>1</v>
          </cell>
          <cell r="AI208">
            <v>1</v>
          </cell>
          <cell r="AK208" t="str">
            <v>INV--9900-190</v>
          </cell>
          <cell r="AL208">
            <v>0</v>
          </cell>
          <cell r="AN208" t="str">
            <v>INVOICE</v>
          </cell>
          <cell r="AR208" t="str">
            <v/>
          </cell>
          <cell r="AS208" t="str">
            <v/>
          </cell>
          <cell r="AT208" t="str">
            <v/>
          </cell>
          <cell r="AU208" t="str">
            <v/>
          </cell>
          <cell r="AV208" t="str">
            <v/>
          </cell>
          <cell r="AW208" t="str">
            <v/>
          </cell>
          <cell r="AX208" t="str">
            <v/>
          </cell>
          <cell r="AY208" t="str">
            <v/>
          </cell>
          <cell r="AZ208" t="str">
            <v/>
          </cell>
          <cell r="BB208" t="str">
            <v/>
          </cell>
          <cell r="BC208" t="str">
            <v/>
          </cell>
          <cell r="BF208" t="str">
            <v/>
          </cell>
          <cell r="BI208">
            <v>0</v>
          </cell>
          <cell r="BJ208">
            <v>0</v>
          </cell>
          <cell r="BK208">
            <v>30</v>
          </cell>
          <cell r="BP208" t="str">
            <v/>
          </cell>
          <cell r="BQ208" t="str">
            <v/>
          </cell>
          <cell r="BR208" t="str">
            <v/>
          </cell>
          <cell r="BS208" t="str">
            <v/>
          </cell>
        </row>
        <row r="209">
          <cell r="B209" t="str">
            <v>INV--9900-191</v>
          </cell>
          <cell r="C209" t="str">
            <v/>
          </cell>
          <cell r="D209" t="e">
            <v>#VALUE!</v>
          </cell>
          <cell r="E209" t="str">
            <v>Jan1900</v>
          </cell>
          <cell r="F209">
            <v>31</v>
          </cell>
          <cell r="G209" t="e">
            <v>#VALUE!</v>
          </cell>
          <cell r="H209">
            <v>1</v>
          </cell>
          <cell r="I209">
            <v>1</v>
          </cell>
          <cell r="J209">
            <v>0</v>
          </cell>
          <cell r="K209" t="str">
            <v>0Jan1900</v>
          </cell>
          <cell r="L209" t="str">
            <v>Buildings</v>
          </cell>
          <cell r="M209" t="str">
            <v>BuildingsJan1900</v>
          </cell>
          <cell r="N209">
            <v>0</v>
          </cell>
          <cell r="O209">
            <v>0</v>
          </cell>
          <cell r="Q209" t="e">
            <v>#VALUE!</v>
          </cell>
          <cell r="R209">
            <v>0</v>
          </cell>
          <cell r="S209" t="str">
            <v>Jan1900</v>
          </cell>
          <cell r="T209" t="str">
            <v>Jan1900</v>
          </cell>
          <cell r="U209" t="e">
            <v>#VALUE!</v>
          </cell>
          <cell r="V209" t="e">
            <v>#VALUE!</v>
          </cell>
          <cell r="W209" t="str">
            <v/>
          </cell>
          <cell r="X209" t="str">
            <v>INV-9900</v>
          </cell>
          <cell r="Y209" t="str">
            <v>Jan</v>
          </cell>
          <cell r="Z209">
            <v>1900</v>
          </cell>
          <cell r="AA209" t="str">
            <v>9900</v>
          </cell>
          <cell r="AB209" t="str">
            <v>9900-191</v>
          </cell>
          <cell r="AC209">
            <v>191</v>
          </cell>
          <cell r="AD209">
            <v>0</v>
          </cell>
          <cell r="AE209">
            <v>0</v>
          </cell>
          <cell r="AF209" t="str">
            <v/>
          </cell>
          <cell r="AG209" t="str">
            <v/>
          </cell>
          <cell r="AH209">
            <v>1</v>
          </cell>
          <cell r="AI209">
            <v>1</v>
          </cell>
          <cell r="AK209" t="str">
            <v>INV--9900-191</v>
          </cell>
          <cell r="AL209">
            <v>0</v>
          </cell>
          <cell r="AN209" t="str">
            <v>INVOICE</v>
          </cell>
          <cell r="AR209" t="str">
            <v/>
          </cell>
          <cell r="AS209" t="str">
            <v/>
          </cell>
          <cell r="AT209" t="str">
            <v/>
          </cell>
          <cell r="AU209" t="str">
            <v/>
          </cell>
          <cell r="AV209" t="str">
            <v/>
          </cell>
          <cell r="AW209" t="str">
            <v/>
          </cell>
          <cell r="AX209" t="str">
            <v/>
          </cell>
          <cell r="AY209" t="str">
            <v/>
          </cell>
          <cell r="AZ209" t="str">
            <v/>
          </cell>
          <cell r="BB209" t="str">
            <v/>
          </cell>
          <cell r="BC209" t="str">
            <v/>
          </cell>
          <cell r="BF209" t="str">
            <v/>
          </cell>
          <cell r="BI209">
            <v>0</v>
          </cell>
          <cell r="BJ209">
            <v>0</v>
          </cell>
          <cell r="BK209">
            <v>30</v>
          </cell>
          <cell r="BP209" t="str">
            <v/>
          </cell>
          <cell r="BQ209" t="str">
            <v/>
          </cell>
          <cell r="BR209" t="str">
            <v/>
          </cell>
          <cell r="BS209" t="str">
            <v/>
          </cell>
        </row>
        <row r="210">
          <cell r="B210" t="str">
            <v>INV--9900-192</v>
          </cell>
          <cell r="C210" t="str">
            <v/>
          </cell>
          <cell r="D210" t="e">
            <v>#VALUE!</v>
          </cell>
          <cell r="E210" t="str">
            <v>Jan1900</v>
          </cell>
          <cell r="F210">
            <v>31</v>
          </cell>
          <cell r="G210" t="e">
            <v>#VALUE!</v>
          </cell>
          <cell r="H210">
            <v>1</v>
          </cell>
          <cell r="I210">
            <v>1</v>
          </cell>
          <cell r="J210">
            <v>0</v>
          </cell>
          <cell r="K210" t="str">
            <v>0Jan1900</v>
          </cell>
          <cell r="L210" t="str">
            <v>Buildings</v>
          </cell>
          <cell r="M210" t="str">
            <v>BuildingsJan1900</v>
          </cell>
          <cell r="N210">
            <v>0</v>
          </cell>
          <cell r="O210">
            <v>0</v>
          </cell>
          <cell r="Q210" t="e">
            <v>#VALUE!</v>
          </cell>
          <cell r="R210">
            <v>0</v>
          </cell>
          <cell r="S210" t="str">
            <v>Jan1900</v>
          </cell>
          <cell r="T210" t="str">
            <v>Jan1900</v>
          </cell>
          <cell r="U210" t="e">
            <v>#VALUE!</v>
          </cell>
          <cell r="V210" t="e">
            <v>#VALUE!</v>
          </cell>
          <cell r="W210" t="str">
            <v/>
          </cell>
          <cell r="X210" t="str">
            <v>INV-9900</v>
          </cell>
          <cell r="Y210" t="str">
            <v>Jan</v>
          </cell>
          <cell r="Z210">
            <v>1900</v>
          </cell>
          <cell r="AA210" t="str">
            <v>9900</v>
          </cell>
          <cell r="AB210" t="str">
            <v>9900-192</v>
          </cell>
          <cell r="AC210">
            <v>192</v>
          </cell>
          <cell r="AD210">
            <v>0</v>
          </cell>
          <cell r="AE210">
            <v>0</v>
          </cell>
          <cell r="AF210" t="str">
            <v/>
          </cell>
          <cell r="AG210" t="str">
            <v/>
          </cell>
          <cell r="AH210">
            <v>1</v>
          </cell>
          <cell r="AI210">
            <v>1</v>
          </cell>
          <cell r="AK210" t="str">
            <v>INV--9900-192</v>
          </cell>
          <cell r="AL210">
            <v>0</v>
          </cell>
          <cell r="AN210" t="str">
            <v>INVOICE</v>
          </cell>
          <cell r="AR210" t="str">
            <v/>
          </cell>
          <cell r="AS210" t="str">
            <v/>
          </cell>
          <cell r="AT210" t="str">
            <v/>
          </cell>
          <cell r="AU210" t="str">
            <v/>
          </cell>
          <cell r="AV210" t="str">
            <v/>
          </cell>
          <cell r="AW210" t="str">
            <v/>
          </cell>
          <cell r="AX210" t="str">
            <v/>
          </cell>
          <cell r="AY210" t="str">
            <v/>
          </cell>
          <cell r="AZ210" t="str">
            <v/>
          </cell>
          <cell r="BB210" t="str">
            <v/>
          </cell>
          <cell r="BC210" t="str">
            <v/>
          </cell>
          <cell r="BF210" t="str">
            <v/>
          </cell>
          <cell r="BI210">
            <v>0</v>
          </cell>
          <cell r="BJ210">
            <v>0</v>
          </cell>
          <cell r="BK210">
            <v>30</v>
          </cell>
          <cell r="BP210" t="str">
            <v/>
          </cell>
          <cell r="BQ210" t="str">
            <v/>
          </cell>
          <cell r="BR210" t="str">
            <v/>
          </cell>
          <cell r="BS210" t="str">
            <v/>
          </cell>
        </row>
        <row r="211">
          <cell r="B211" t="str">
            <v>INV--9900-193</v>
          </cell>
          <cell r="C211" t="str">
            <v/>
          </cell>
          <cell r="D211" t="e">
            <v>#VALUE!</v>
          </cell>
          <cell r="E211" t="str">
            <v>Jan1900</v>
          </cell>
          <cell r="F211">
            <v>31</v>
          </cell>
          <cell r="G211" t="e">
            <v>#VALUE!</v>
          </cell>
          <cell r="H211">
            <v>1</v>
          </cell>
          <cell r="I211">
            <v>1</v>
          </cell>
          <cell r="J211">
            <v>0</v>
          </cell>
          <cell r="K211" t="str">
            <v>0Jan1900</v>
          </cell>
          <cell r="L211" t="str">
            <v>Buildings</v>
          </cell>
          <cell r="M211" t="str">
            <v>BuildingsJan1900</v>
          </cell>
          <cell r="N211">
            <v>0</v>
          </cell>
          <cell r="O211">
            <v>0</v>
          </cell>
          <cell r="Q211" t="e">
            <v>#VALUE!</v>
          </cell>
          <cell r="R211">
            <v>0</v>
          </cell>
          <cell r="S211" t="str">
            <v>Jan1900</v>
          </cell>
          <cell r="T211" t="str">
            <v>Jan1900</v>
          </cell>
          <cell r="U211" t="e">
            <v>#VALUE!</v>
          </cell>
          <cell r="V211" t="e">
            <v>#VALUE!</v>
          </cell>
          <cell r="W211" t="str">
            <v/>
          </cell>
          <cell r="X211" t="str">
            <v>INV-9900</v>
          </cell>
          <cell r="Y211" t="str">
            <v>Jan</v>
          </cell>
          <cell r="Z211">
            <v>1900</v>
          </cell>
          <cell r="AA211" t="str">
            <v>9900</v>
          </cell>
          <cell r="AB211" t="str">
            <v>9900-193</v>
          </cell>
          <cell r="AC211">
            <v>193</v>
          </cell>
          <cell r="AD211">
            <v>0</v>
          </cell>
          <cell r="AE211">
            <v>0</v>
          </cell>
          <cell r="AF211" t="str">
            <v/>
          </cell>
          <cell r="AG211" t="str">
            <v/>
          </cell>
          <cell r="AH211">
            <v>1</v>
          </cell>
          <cell r="AI211">
            <v>1</v>
          </cell>
          <cell r="AK211" t="str">
            <v>INV--9900-193</v>
          </cell>
          <cell r="AL211">
            <v>0</v>
          </cell>
          <cell r="AN211" t="str">
            <v>INVOICE</v>
          </cell>
          <cell r="AR211" t="str">
            <v/>
          </cell>
          <cell r="AS211" t="str">
            <v/>
          </cell>
          <cell r="AT211" t="str">
            <v/>
          </cell>
          <cell r="AU211" t="str">
            <v/>
          </cell>
          <cell r="AV211" t="str">
            <v/>
          </cell>
          <cell r="AW211" t="str">
            <v/>
          </cell>
          <cell r="AX211" t="str">
            <v/>
          </cell>
          <cell r="AY211" t="str">
            <v/>
          </cell>
          <cell r="AZ211" t="str">
            <v/>
          </cell>
          <cell r="BB211" t="str">
            <v/>
          </cell>
          <cell r="BC211" t="str">
            <v/>
          </cell>
          <cell r="BF211" t="str">
            <v/>
          </cell>
          <cell r="BI211">
            <v>0</v>
          </cell>
          <cell r="BJ211">
            <v>0</v>
          </cell>
          <cell r="BK211">
            <v>30</v>
          </cell>
          <cell r="BP211" t="str">
            <v/>
          </cell>
          <cell r="BQ211" t="str">
            <v/>
          </cell>
          <cell r="BR211" t="str">
            <v/>
          </cell>
          <cell r="BS211" t="str">
            <v/>
          </cell>
        </row>
        <row r="212">
          <cell r="B212" t="str">
            <v>INV--9900-194</v>
          </cell>
          <cell r="C212" t="str">
            <v/>
          </cell>
          <cell r="D212" t="e">
            <v>#VALUE!</v>
          </cell>
          <cell r="E212" t="str">
            <v>Jan1900</v>
          </cell>
          <cell r="F212">
            <v>31</v>
          </cell>
          <cell r="G212" t="e">
            <v>#VALUE!</v>
          </cell>
          <cell r="H212">
            <v>1</v>
          </cell>
          <cell r="I212">
            <v>1</v>
          </cell>
          <cell r="J212">
            <v>0</v>
          </cell>
          <cell r="K212" t="str">
            <v>0Jan1900</v>
          </cell>
          <cell r="L212" t="str">
            <v>Buildings</v>
          </cell>
          <cell r="M212" t="str">
            <v>BuildingsJan1900</v>
          </cell>
          <cell r="N212">
            <v>0</v>
          </cell>
          <cell r="O212">
            <v>0</v>
          </cell>
          <cell r="Q212" t="e">
            <v>#VALUE!</v>
          </cell>
          <cell r="R212">
            <v>0</v>
          </cell>
          <cell r="S212" t="str">
            <v>Jan1900</v>
          </cell>
          <cell r="T212" t="str">
            <v>Jan1900</v>
          </cell>
          <cell r="U212" t="e">
            <v>#VALUE!</v>
          </cell>
          <cell r="V212" t="e">
            <v>#VALUE!</v>
          </cell>
          <cell r="W212" t="str">
            <v/>
          </cell>
          <cell r="X212" t="str">
            <v>INV-9900</v>
          </cell>
          <cell r="Y212" t="str">
            <v>Jan</v>
          </cell>
          <cell r="Z212">
            <v>1900</v>
          </cell>
          <cell r="AA212" t="str">
            <v>9900</v>
          </cell>
          <cell r="AB212" t="str">
            <v>9900-194</v>
          </cell>
          <cell r="AC212">
            <v>194</v>
          </cell>
          <cell r="AD212">
            <v>0</v>
          </cell>
          <cell r="AE212">
            <v>0</v>
          </cell>
          <cell r="AF212" t="str">
            <v/>
          </cell>
          <cell r="AG212" t="str">
            <v/>
          </cell>
          <cell r="AH212">
            <v>1</v>
          </cell>
          <cell r="AI212">
            <v>1</v>
          </cell>
          <cell r="AK212" t="str">
            <v>INV--9900-194</v>
          </cell>
          <cell r="AL212">
            <v>0</v>
          </cell>
          <cell r="AN212" t="str">
            <v>INVOICE</v>
          </cell>
          <cell r="AR212" t="str">
            <v/>
          </cell>
          <cell r="AS212" t="str">
            <v/>
          </cell>
          <cell r="AT212" t="str">
            <v/>
          </cell>
          <cell r="AU212" t="str">
            <v/>
          </cell>
          <cell r="AV212" t="str">
            <v/>
          </cell>
          <cell r="AW212" t="str">
            <v/>
          </cell>
          <cell r="AX212" t="str">
            <v/>
          </cell>
          <cell r="AY212" t="str">
            <v/>
          </cell>
          <cell r="AZ212" t="str">
            <v/>
          </cell>
          <cell r="BB212" t="str">
            <v/>
          </cell>
          <cell r="BC212" t="str">
            <v/>
          </cell>
          <cell r="BF212" t="str">
            <v/>
          </cell>
          <cell r="BI212">
            <v>0</v>
          </cell>
          <cell r="BJ212">
            <v>0</v>
          </cell>
          <cell r="BK212">
            <v>30</v>
          </cell>
          <cell r="BP212" t="str">
            <v/>
          </cell>
          <cell r="BQ212" t="str">
            <v/>
          </cell>
          <cell r="BR212" t="str">
            <v/>
          </cell>
          <cell r="BS212" t="str">
            <v/>
          </cell>
        </row>
        <row r="213">
          <cell r="B213" t="str">
            <v>INV--9900-195</v>
          </cell>
          <cell r="C213" t="str">
            <v/>
          </cell>
          <cell r="D213" t="e">
            <v>#VALUE!</v>
          </cell>
          <cell r="E213" t="str">
            <v>Jan1900</v>
          </cell>
          <cell r="F213">
            <v>31</v>
          </cell>
          <cell r="G213" t="e">
            <v>#VALUE!</v>
          </cell>
          <cell r="H213">
            <v>1</v>
          </cell>
          <cell r="I213">
            <v>1</v>
          </cell>
          <cell r="J213">
            <v>0</v>
          </cell>
          <cell r="K213" t="str">
            <v>0Jan1900</v>
          </cell>
          <cell r="L213" t="str">
            <v>Buildings</v>
          </cell>
          <cell r="M213" t="str">
            <v>BuildingsJan1900</v>
          </cell>
          <cell r="N213">
            <v>0</v>
          </cell>
          <cell r="O213">
            <v>0</v>
          </cell>
          <cell r="Q213" t="e">
            <v>#VALUE!</v>
          </cell>
          <cell r="R213">
            <v>0</v>
          </cell>
          <cell r="S213" t="str">
            <v>Jan1900</v>
          </cell>
          <cell r="T213" t="str">
            <v>Jan1900</v>
          </cell>
          <cell r="U213" t="e">
            <v>#VALUE!</v>
          </cell>
          <cell r="V213" t="e">
            <v>#VALUE!</v>
          </cell>
          <cell r="W213" t="str">
            <v/>
          </cell>
          <cell r="X213" t="str">
            <v>INV-9900</v>
          </cell>
          <cell r="Y213" t="str">
            <v>Jan</v>
          </cell>
          <cell r="Z213">
            <v>1900</v>
          </cell>
          <cell r="AA213" t="str">
            <v>9900</v>
          </cell>
          <cell r="AB213" t="str">
            <v>9900-195</v>
          </cell>
          <cell r="AC213">
            <v>195</v>
          </cell>
          <cell r="AD213">
            <v>0</v>
          </cell>
          <cell r="AE213">
            <v>0</v>
          </cell>
          <cell r="AF213" t="str">
            <v/>
          </cell>
          <cell r="AG213" t="str">
            <v/>
          </cell>
          <cell r="AH213">
            <v>1</v>
          </cell>
          <cell r="AI213">
            <v>1</v>
          </cell>
          <cell r="AK213" t="str">
            <v>INV--9900-195</v>
          </cell>
          <cell r="AL213">
            <v>0</v>
          </cell>
          <cell r="AN213" t="str">
            <v>INVOICE</v>
          </cell>
          <cell r="AR213" t="str">
            <v/>
          </cell>
          <cell r="AS213" t="str">
            <v/>
          </cell>
          <cell r="AT213" t="str">
            <v/>
          </cell>
          <cell r="AU213" t="str">
            <v/>
          </cell>
          <cell r="AV213" t="str">
            <v/>
          </cell>
          <cell r="AW213" t="str">
            <v/>
          </cell>
          <cell r="AX213" t="str">
            <v/>
          </cell>
          <cell r="AY213" t="str">
            <v/>
          </cell>
          <cell r="AZ213" t="str">
            <v/>
          </cell>
          <cell r="BB213" t="str">
            <v/>
          </cell>
          <cell r="BC213" t="str">
            <v/>
          </cell>
          <cell r="BF213" t="str">
            <v/>
          </cell>
          <cell r="BI213">
            <v>0</v>
          </cell>
          <cell r="BJ213">
            <v>0</v>
          </cell>
          <cell r="BK213">
            <v>30</v>
          </cell>
          <cell r="BP213" t="str">
            <v/>
          </cell>
          <cell r="BQ213" t="str">
            <v/>
          </cell>
          <cell r="BR213" t="str">
            <v/>
          </cell>
          <cell r="BS213" t="str">
            <v/>
          </cell>
        </row>
        <row r="214">
          <cell r="B214" t="str">
            <v>INV--9900-196</v>
          </cell>
          <cell r="C214" t="str">
            <v/>
          </cell>
          <cell r="D214" t="e">
            <v>#VALUE!</v>
          </cell>
          <cell r="E214" t="str">
            <v>Jan1900</v>
          </cell>
          <cell r="F214">
            <v>31</v>
          </cell>
          <cell r="G214" t="e">
            <v>#VALUE!</v>
          </cell>
          <cell r="H214">
            <v>1</v>
          </cell>
          <cell r="I214">
            <v>1</v>
          </cell>
          <cell r="J214">
            <v>0</v>
          </cell>
          <cell r="K214" t="str">
            <v>0Jan1900</v>
          </cell>
          <cell r="L214" t="str">
            <v>Buildings</v>
          </cell>
          <cell r="M214" t="str">
            <v>BuildingsJan1900</v>
          </cell>
          <cell r="N214">
            <v>0</v>
          </cell>
          <cell r="O214">
            <v>0</v>
          </cell>
          <cell r="Q214" t="e">
            <v>#VALUE!</v>
          </cell>
          <cell r="R214">
            <v>0</v>
          </cell>
          <cell r="S214" t="str">
            <v>Jan1900</v>
          </cell>
          <cell r="T214" t="str">
            <v>Jan1900</v>
          </cell>
          <cell r="U214" t="e">
            <v>#VALUE!</v>
          </cell>
          <cell r="V214" t="e">
            <v>#VALUE!</v>
          </cell>
          <cell r="W214" t="str">
            <v/>
          </cell>
          <cell r="X214" t="str">
            <v>INV-9900</v>
          </cell>
          <cell r="Y214" t="str">
            <v>Jan</v>
          </cell>
          <cell r="Z214">
            <v>1900</v>
          </cell>
          <cell r="AA214" t="str">
            <v>9900</v>
          </cell>
          <cell r="AB214" t="str">
            <v>9900-196</v>
          </cell>
          <cell r="AC214">
            <v>196</v>
          </cell>
          <cell r="AD214">
            <v>0</v>
          </cell>
          <cell r="AE214">
            <v>0</v>
          </cell>
          <cell r="AF214" t="str">
            <v/>
          </cell>
          <cell r="AG214" t="str">
            <v/>
          </cell>
          <cell r="AH214">
            <v>1</v>
          </cell>
          <cell r="AI214">
            <v>1</v>
          </cell>
          <cell r="AK214" t="str">
            <v>INV--9900-196</v>
          </cell>
          <cell r="AL214">
            <v>0</v>
          </cell>
          <cell r="AN214" t="str">
            <v>INVOICE</v>
          </cell>
          <cell r="AR214" t="str">
            <v/>
          </cell>
          <cell r="AS214" t="str">
            <v/>
          </cell>
          <cell r="AT214" t="str">
            <v/>
          </cell>
          <cell r="AU214" t="str">
            <v/>
          </cell>
          <cell r="AV214" t="str">
            <v/>
          </cell>
          <cell r="AW214" t="str">
            <v/>
          </cell>
          <cell r="AX214" t="str">
            <v/>
          </cell>
          <cell r="AY214" t="str">
            <v/>
          </cell>
          <cell r="AZ214" t="str">
            <v/>
          </cell>
          <cell r="BB214" t="str">
            <v/>
          </cell>
          <cell r="BC214" t="str">
            <v/>
          </cell>
          <cell r="BF214" t="str">
            <v/>
          </cell>
          <cell r="BI214">
            <v>0</v>
          </cell>
          <cell r="BJ214">
            <v>0</v>
          </cell>
          <cell r="BK214">
            <v>30</v>
          </cell>
          <cell r="BP214" t="str">
            <v/>
          </cell>
          <cell r="BQ214" t="str">
            <v/>
          </cell>
          <cell r="BR214" t="str">
            <v/>
          </cell>
          <cell r="BS214" t="str">
            <v/>
          </cell>
        </row>
        <row r="215">
          <cell r="B215" t="str">
            <v>INV--9900-197</v>
          </cell>
          <cell r="C215" t="str">
            <v/>
          </cell>
          <cell r="D215" t="e">
            <v>#VALUE!</v>
          </cell>
          <cell r="E215" t="str">
            <v>Jan1900</v>
          </cell>
          <cell r="F215">
            <v>31</v>
          </cell>
          <cell r="G215" t="e">
            <v>#VALUE!</v>
          </cell>
          <cell r="H215">
            <v>1</v>
          </cell>
          <cell r="I215">
            <v>1</v>
          </cell>
          <cell r="J215">
            <v>0</v>
          </cell>
          <cell r="K215" t="str">
            <v>0Jan1900</v>
          </cell>
          <cell r="L215" t="str">
            <v>Buildings</v>
          </cell>
          <cell r="M215" t="str">
            <v>BuildingsJan1900</v>
          </cell>
          <cell r="N215">
            <v>0</v>
          </cell>
          <cell r="O215">
            <v>0</v>
          </cell>
          <cell r="Q215" t="e">
            <v>#VALUE!</v>
          </cell>
          <cell r="R215">
            <v>0</v>
          </cell>
          <cell r="S215" t="str">
            <v>Jan1900</v>
          </cell>
          <cell r="T215" t="str">
            <v>Jan1900</v>
          </cell>
          <cell r="U215" t="e">
            <v>#VALUE!</v>
          </cell>
          <cell r="V215" t="e">
            <v>#VALUE!</v>
          </cell>
          <cell r="W215" t="str">
            <v/>
          </cell>
          <cell r="X215" t="str">
            <v>INV-9900</v>
          </cell>
          <cell r="Y215" t="str">
            <v>Jan</v>
          </cell>
          <cell r="Z215">
            <v>1900</v>
          </cell>
          <cell r="AA215" t="str">
            <v>9900</v>
          </cell>
          <cell r="AB215" t="str">
            <v>9900-197</v>
          </cell>
          <cell r="AC215">
            <v>197</v>
          </cell>
          <cell r="AD215">
            <v>0</v>
          </cell>
          <cell r="AE215">
            <v>0</v>
          </cell>
          <cell r="AF215" t="str">
            <v/>
          </cell>
          <cell r="AG215" t="str">
            <v/>
          </cell>
          <cell r="AH215">
            <v>1</v>
          </cell>
          <cell r="AI215">
            <v>1</v>
          </cell>
          <cell r="AK215" t="str">
            <v>INV--9900-197</v>
          </cell>
          <cell r="AL215">
            <v>0</v>
          </cell>
          <cell r="AN215" t="str">
            <v>INVOICE</v>
          </cell>
          <cell r="AR215" t="str">
            <v/>
          </cell>
          <cell r="AS215" t="str">
            <v/>
          </cell>
          <cell r="AT215" t="str">
            <v/>
          </cell>
          <cell r="AU215" t="str">
            <v/>
          </cell>
          <cell r="AV215" t="str">
            <v/>
          </cell>
          <cell r="AW215" t="str">
            <v/>
          </cell>
          <cell r="AX215" t="str">
            <v/>
          </cell>
          <cell r="AY215" t="str">
            <v/>
          </cell>
          <cell r="AZ215" t="str">
            <v/>
          </cell>
          <cell r="BB215" t="str">
            <v/>
          </cell>
          <cell r="BC215" t="str">
            <v/>
          </cell>
          <cell r="BF215" t="str">
            <v/>
          </cell>
          <cell r="BI215">
            <v>0</v>
          </cell>
          <cell r="BJ215">
            <v>0</v>
          </cell>
          <cell r="BK215">
            <v>30</v>
          </cell>
          <cell r="BP215" t="str">
            <v/>
          </cell>
          <cell r="BQ215" t="str">
            <v/>
          </cell>
          <cell r="BR215" t="str">
            <v/>
          </cell>
          <cell r="BS215" t="str">
            <v/>
          </cell>
        </row>
        <row r="216">
          <cell r="B216" t="str">
            <v>INV--9900-198</v>
          </cell>
          <cell r="C216" t="str">
            <v/>
          </cell>
          <cell r="D216" t="e">
            <v>#VALUE!</v>
          </cell>
          <cell r="E216" t="str">
            <v>Jan1900</v>
          </cell>
          <cell r="F216">
            <v>31</v>
          </cell>
          <cell r="G216" t="e">
            <v>#VALUE!</v>
          </cell>
          <cell r="H216">
            <v>1</v>
          </cell>
          <cell r="I216">
            <v>1</v>
          </cell>
          <cell r="J216">
            <v>0</v>
          </cell>
          <cell r="K216" t="str">
            <v>0Jan1900</v>
          </cell>
          <cell r="L216" t="str">
            <v>Buildings</v>
          </cell>
          <cell r="M216" t="str">
            <v>BuildingsJan1900</v>
          </cell>
          <cell r="N216">
            <v>0</v>
          </cell>
          <cell r="O216">
            <v>0</v>
          </cell>
          <cell r="Q216" t="e">
            <v>#VALUE!</v>
          </cell>
          <cell r="R216">
            <v>0</v>
          </cell>
          <cell r="S216" t="str">
            <v>Jan1900</v>
          </cell>
          <cell r="T216" t="str">
            <v>Jan1900</v>
          </cell>
          <cell r="U216" t="e">
            <v>#VALUE!</v>
          </cell>
          <cell r="V216" t="e">
            <v>#VALUE!</v>
          </cell>
          <cell r="W216" t="str">
            <v/>
          </cell>
          <cell r="X216" t="str">
            <v>INV-9900</v>
          </cell>
          <cell r="Y216" t="str">
            <v>Jan</v>
          </cell>
          <cell r="Z216">
            <v>1900</v>
          </cell>
          <cell r="AA216" t="str">
            <v>9900</v>
          </cell>
          <cell r="AB216" t="str">
            <v>9900-198</v>
          </cell>
          <cell r="AC216">
            <v>198</v>
          </cell>
          <cell r="AD216">
            <v>0</v>
          </cell>
          <cell r="AE216">
            <v>0</v>
          </cell>
          <cell r="AF216" t="str">
            <v/>
          </cell>
          <cell r="AG216" t="str">
            <v/>
          </cell>
          <cell r="AH216">
            <v>1</v>
          </cell>
          <cell r="AI216">
            <v>1</v>
          </cell>
          <cell r="AK216" t="str">
            <v>INV--9900-198</v>
          </cell>
          <cell r="AL216">
            <v>0</v>
          </cell>
          <cell r="AN216" t="str">
            <v>INVOICE</v>
          </cell>
          <cell r="AR216" t="str">
            <v/>
          </cell>
          <cell r="AS216" t="str">
            <v/>
          </cell>
          <cell r="AT216" t="str">
            <v/>
          </cell>
          <cell r="AU216" t="str">
            <v/>
          </cell>
          <cell r="AV216" t="str">
            <v/>
          </cell>
          <cell r="AW216" t="str">
            <v/>
          </cell>
          <cell r="AX216" t="str">
            <v/>
          </cell>
          <cell r="AY216" t="str">
            <v/>
          </cell>
          <cell r="AZ216" t="str">
            <v/>
          </cell>
          <cell r="BB216" t="str">
            <v/>
          </cell>
          <cell r="BC216" t="str">
            <v/>
          </cell>
          <cell r="BF216" t="str">
            <v/>
          </cell>
          <cell r="BI216">
            <v>0</v>
          </cell>
          <cell r="BJ216">
            <v>0</v>
          </cell>
          <cell r="BK216">
            <v>30</v>
          </cell>
          <cell r="BP216" t="str">
            <v/>
          </cell>
          <cell r="BQ216" t="str">
            <v/>
          </cell>
          <cell r="BR216" t="str">
            <v/>
          </cell>
          <cell r="BS216" t="str">
            <v/>
          </cell>
        </row>
        <row r="217">
          <cell r="B217" t="str">
            <v>INV--9900-199</v>
          </cell>
          <cell r="C217" t="str">
            <v/>
          </cell>
          <cell r="D217" t="e">
            <v>#VALUE!</v>
          </cell>
          <cell r="E217" t="str">
            <v>Jan1900</v>
          </cell>
          <cell r="F217">
            <v>31</v>
          </cell>
          <cell r="G217" t="e">
            <v>#VALUE!</v>
          </cell>
          <cell r="H217">
            <v>1</v>
          </cell>
          <cell r="I217">
            <v>1</v>
          </cell>
          <cell r="J217">
            <v>0</v>
          </cell>
          <cell r="K217" t="str">
            <v>0Jan1900</v>
          </cell>
          <cell r="L217" t="str">
            <v>Buildings</v>
          </cell>
          <cell r="M217" t="str">
            <v>BuildingsJan1900</v>
          </cell>
          <cell r="N217">
            <v>0</v>
          </cell>
          <cell r="O217">
            <v>0</v>
          </cell>
          <cell r="Q217" t="e">
            <v>#VALUE!</v>
          </cell>
          <cell r="R217">
            <v>0</v>
          </cell>
          <cell r="S217" t="str">
            <v>Jan1900</v>
          </cell>
          <cell r="T217" t="str">
            <v>Jan1900</v>
          </cell>
          <cell r="U217" t="e">
            <v>#VALUE!</v>
          </cell>
          <cell r="V217" t="e">
            <v>#VALUE!</v>
          </cell>
          <cell r="W217" t="str">
            <v/>
          </cell>
          <cell r="X217" t="str">
            <v>INV-9900</v>
          </cell>
          <cell r="Y217" t="str">
            <v>Jan</v>
          </cell>
          <cell r="Z217">
            <v>1900</v>
          </cell>
          <cell r="AA217" t="str">
            <v>9900</v>
          </cell>
          <cell r="AB217" t="str">
            <v>9900-199</v>
          </cell>
          <cell r="AC217">
            <v>199</v>
          </cell>
          <cell r="AD217">
            <v>0</v>
          </cell>
          <cell r="AE217">
            <v>0</v>
          </cell>
          <cell r="AF217" t="str">
            <v/>
          </cell>
          <cell r="AG217" t="str">
            <v/>
          </cell>
          <cell r="AH217">
            <v>1</v>
          </cell>
          <cell r="AI217">
            <v>1</v>
          </cell>
          <cell r="AK217" t="str">
            <v>INV--9900-199</v>
          </cell>
          <cell r="AL217">
            <v>0</v>
          </cell>
          <cell r="AN217" t="str">
            <v>INVOICE</v>
          </cell>
          <cell r="AR217" t="str">
            <v/>
          </cell>
          <cell r="AS217" t="str">
            <v/>
          </cell>
          <cell r="AT217" t="str">
            <v/>
          </cell>
          <cell r="AU217" t="str">
            <v/>
          </cell>
          <cell r="AV217" t="str">
            <v/>
          </cell>
          <cell r="AW217" t="str">
            <v/>
          </cell>
          <cell r="AX217" t="str">
            <v/>
          </cell>
          <cell r="AY217" t="str">
            <v/>
          </cell>
          <cell r="AZ217" t="str">
            <v/>
          </cell>
          <cell r="BB217" t="str">
            <v/>
          </cell>
          <cell r="BC217" t="str">
            <v/>
          </cell>
          <cell r="BF217" t="str">
            <v/>
          </cell>
          <cell r="BI217">
            <v>0</v>
          </cell>
          <cell r="BJ217">
            <v>0</v>
          </cell>
          <cell r="BK217">
            <v>30</v>
          </cell>
          <cell r="BP217" t="str">
            <v/>
          </cell>
          <cell r="BQ217" t="str">
            <v/>
          </cell>
          <cell r="BR217" t="str">
            <v/>
          </cell>
          <cell r="BS217" t="str">
            <v/>
          </cell>
        </row>
        <row r="218">
          <cell r="B218" t="str">
            <v>INV--9900-200</v>
          </cell>
          <cell r="C218" t="str">
            <v/>
          </cell>
          <cell r="D218" t="e">
            <v>#VALUE!</v>
          </cell>
          <cell r="E218" t="str">
            <v>Jan1900</v>
          </cell>
          <cell r="F218">
            <v>31</v>
          </cell>
          <cell r="G218" t="e">
            <v>#VALUE!</v>
          </cell>
          <cell r="H218">
            <v>1</v>
          </cell>
          <cell r="I218">
            <v>1</v>
          </cell>
          <cell r="J218">
            <v>0</v>
          </cell>
          <cell r="K218" t="str">
            <v>0Jan1900</v>
          </cell>
          <cell r="L218" t="str">
            <v>Buildings</v>
          </cell>
          <cell r="M218" t="str">
            <v>BuildingsJan1900</v>
          </cell>
          <cell r="N218">
            <v>0</v>
          </cell>
          <cell r="O218">
            <v>0</v>
          </cell>
          <cell r="Q218" t="e">
            <v>#VALUE!</v>
          </cell>
          <cell r="R218">
            <v>0</v>
          </cell>
          <cell r="S218" t="str">
            <v>Jan1900</v>
          </cell>
          <cell r="T218" t="str">
            <v>Jan1900</v>
          </cell>
          <cell r="U218" t="e">
            <v>#VALUE!</v>
          </cell>
          <cell r="V218" t="e">
            <v>#VALUE!</v>
          </cell>
          <cell r="W218" t="str">
            <v/>
          </cell>
          <cell r="X218" t="str">
            <v>INV-9900</v>
          </cell>
          <cell r="Y218" t="str">
            <v>Jan</v>
          </cell>
          <cell r="Z218">
            <v>1900</v>
          </cell>
          <cell r="AA218" t="str">
            <v>9900</v>
          </cell>
          <cell r="AB218" t="str">
            <v>9900-200</v>
          </cell>
          <cell r="AC218">
            <v>200</v>
          </cell>
          <cell r="AD218">
            <v>0</v>
          </cell>
          <cell r="AE218">
            <v>0</v>
          </cell>
          <cell r="AF218" t="str">
            <v/>
          </cell>
          <cell r="AG218" t="str">
            <v/>
          </cell>
          <cell r="AH218">
            <v>1</v>
          </cell>
          <cell r="AI218">
            <v>1</v>
          </cell>
          <cell r="AK218" t="str">
            <v>INV--9900-200</v>
          </cell>
          <cell r="AL218">
            <v>0</v>
          </cell>
          <cell r="AN218" t="str">
            <v>INVOICE</v>
          </cell>
          <cell r="AR218" t="str">
            <v/>
          </cell>
          <cell r="AS218" t="str">
            <v/>
          </cell>
          <cell r="AT218" t="str">
            <v/>
          </cell>
          <cell r="AU218" t="str">
            <v/>
          </cell>
          <cell r="AV218" t="str">
            <v/>
          </cell>
          <cell r="AW218" t="str">
            <v/>
          </cell>
          <cell r="AX218" t="str">
            <v/>
          </cell>
          <cell r="AY218" t="str">
            <v/>
          </cell>
          <cell r="AZ218" t="str">
            <v/>
          </cell>
          <cell r="BB218" t="str">
            <v/>
          </cell>
          <cell r="BC218" t="str">
            <v/>
          </cell>
          <cell r="BF218" t="str">
            <v/>
          </cell>
          <cell r="BI218">
            <v>0</v>
          </cell>
          <cell r="BJ218">
            <v>0</v>
          </cell>
          <cell r="BK218">
            <v>30</v>
          </cell>
          <cell r="BP218" t="str">
            <v/>
          </cell>
          <cell r="BQ218" t="str">
            <v/>
          </cell>
          <cell r="BR218" t="str">
            <v/>
          </cell>
          <cell r="BS218" t="str">
            <v/>
          </cell>
        </row>
        <row r="219">
          <cell r="B219" t="str">
            <v>INV--9900-201</v>
          </cell>
          <cell r="C219" t="str">
            <v/>
          </cell>
          <cell r="D219" t="e">
            <v>#VALUE!</v>
          </cell>
          <cell r="E219" t="str">
            <v>Jan1900</v>
          </cell>
          <cell r="F219">
            <v>31</v>
          </cell>
          <cell r="G219" t="e">
            <v>#VALUE!</v>
          </cell>
          <cell r="H219">
            <v>1</v>
          </cell>
          <cell r="I219">
            <v>1</v>
          </cell>
          <cell r="J219">
            <v>0</v>
          </cell>
          <cell r="K219" t="str">
            <v>0Jan1900</v>
          </cell>
          <cell r="L219" t="str">
            <v>Buildings</v>
          </cell>
          <cell r="M219" t="str">
            <v>BuildingsJan1900</v>
          </cell>
          <cell r="N219">
            <v>0</v>
          </cell>
          <cell r="O219">
            <v>0</v>
          </cell>
          <cell r="Q219" t="e">
            <v>#VALUE!</v>
          </cell>
          <cell r="R219">
            <v>0</v>
          </cell>
          <cell r="S219" t="str">
            <v>Jan1900</v>
          </cell>
          <cell r="T219" t="str">
            <v>Jan1900</v>
          </cell>
          <cell r="U219" t="e">
            <v>#VALUE!</v>
          </cell>
          <cell r="V219" t="e">
            <v>#VALUE!</v>
          </cell>
          <cell r="W219" t="str">
            <v/>
          </cell>
          <cell r="X219" t="str">
            <v>INV-9900</v>
          </cell>
          <cell r="Y219" t="str">
            <v>Jan</v>
          </cell>
          <cell r="Z219">
            <v>1900</v>
          </cell>
          <cell r="AA219" t="str">
            <v>9900</v>
          </cell>
          <cell r="AB219" t="str">
            <v>9900-201</v>
          </cell>
          <cell r="AC219">
            <v>201</v>
          </cell>
          <cell r="AD219">
            <v>0</v>
          </cell>
          <cell r="AE219">
            <v>0</v>
          </cell>
          <cell r="AF219" t="str">
            <v/>
          </cell>
          <cell r="AG219" t="str">
            <v/>
          </cell>
          <cell r="AH219">
            <v>1</v>
          </cell>
          <cell r="AI219">
            <v>1</v>
          </cell>
          <cell r="AK219" t="str">
            <v>INV--9900-201</v>
          </cell>
          <cell r="AL219">
            <v>0</v>
          </cell>
          <cell r="AN219" t="str">
            <v>INVOICE</v>
          </cell>
          <cell r="AR219" t="str">
            <v/>
          </cell>
          <cell r="AS219" t="str">
            <v/>
          </cell>
          <cell r="AT219" t="str">
            <v/>
          </cell>
          <cell r="AU219" t="str">
            <v/>
          </cell>
          <cell r="AV219" t="str">
            <v/>
          </cell>
          <cell r="AW219" t="str">
            <v/>
          </cell>
          <cell r="AX219" t="str">
            <v/>
          </cell>
          <cell r="AY219" t="str">
            <v/>
          </cell>
          <cell r="AZ219" t="str">
            <v/>
          </cell>
          <cell r="BB219" t="str">
            <v/>
          </cell>
          <cell r="BC219" t="str">
            <v/>
          </cell>
          <cell r="BF219" t="str">
            <v/>
          </cell>
          <cell r="BI219">
            <v>0</v>
          </cell>
          <cell r="BJ219">
            <v>0</v>
          </cell>
          <cell r="BK219">
            <v>30</v>
          </cell>
          <cell r="BP219" t="str">
            <v/>
          </cell>
          <cell r="BQ219" t="str">
            <v/>
          </cell>
          <cell r="BR219" t="str">
            <v/>
          </cell>
          <cell r="BS219" t="str">
            <v/>
          </cell>
        </row>
        <row r="220">
          <cell r="B220" t="str">
            <v>INV--9900-202</v>
          </cell>
          <cell r="C220" t="str">
            <v/>
          </cell>
          <cell r="D220" t="e">
            <v>#VALUE!</v>
          </cell>
          <cell r="E220" t="str">
            <v>Jan1900</v>
          </cell>
          <cell r="F220">
            <v>31</v>
          </cell>
          <cell r="G220" t="e">
            <v>#VALUE!</v>
          </cell>
          <cell r="H220">
            <v>1</v>
          </cell>
          <cell r="I220">
            <v>1</v>
          </cell>
          <cell r="J220">
            <v>0</v>
          </cell>
          <cell r="K220" t="str">
            <v>0Jan1900</v>
          </cell>
          <cell r="L220" t="str">
            <v>Buildings</v>
          </cell>
          <cell r="M220" t="str">
            <v>BuildingsJan1900</v>
          </cell>
          <cell r="N220">
            <v>0</v>
          </cell>
          <cell r="O220">
            <v>0</v>
          </cell>
          <cell r="Q220" t="e">
            <v>#VALUE!</v>
          </cell>
          <cell r="R220">
            <v>0</v>
          </cell>
          <cell r="S220" t="str">
            <v>Jan1900</v>
          </cell>
          <cell r="T220" t="str">
            <v>Jan1900</v>
          </cell>
          <cell r="U220" t="e">
            <v>#VALUE!</v>
          </cell>
          <cell r="V220" t="e">
            <v>#VALUE!</v>
          </cell>
          <cell r="W220" t="str">
            <v/>
          </cell>
          <cell r="X220" t="str">
            <v>INV-9900</v>
          </cell>
          <cell r="Y220" t="str">
            <v>Jan</v>
          </cell>
          <cell r="Z220">
            <v>1900</v>
          </cell>
          <cell r="AA220" t="str">
            <v>9900</v>
          </cell>
          <cell r="AB220" t="str">
            <v>9900-202</v>
          </cell>
          <cell r="AC220">
            <v>202</v>
          </cell>
          <cell r="AD220">
            <v>0</v>
          </cell>
          <cell r="AE220">
            <v>0</v>
          </cell>
          <cell r="AF220" t="str">
            <v/>
          </cell>
          <cell r="AG220" t="str">
            <v/>
          </cell>
          <cell r="AH220">
            <v>1</v>
          </cell>
          <cell r="AI220">
            <v>1</v>
          </cell>
          <cell r="AK220" t="str">
            <v>INV--9900-202</v>
          </cell>
          <cell r="AL220">
            <v>0</v>
          </cell>
          <cell r="AN220" t="str">
            <v>INVOICE</v>
          </cell>
          <cell r="AR220" t="str">
            <v/>
          </cell>
          <cell r="AS220" t="str">
            <v/>
          </cell>
          <cell r="AT220" t="str">
            <v/>
          </cell>
          <cell r="AU220" t="str">
            <v/>
          </cell>
          <cell r="AV220" t="str">
            <v/>
          </cell>
          <cell r="AW220" t="str">
            <v/>
          </cell>
          <cell r="AX220" t="str">
            <v/>
          </cell>
          <cell r="AY220" t="str">
            <v/>
          </cell>
          <cell r="AZ220" t="str">
            <v/>
          </cell>
          <cell r="BB220" t="str">
            <v/>
          </cell>
          <cell r="BC220" t="str">
            <v/>
          </cell>
          <cell r="BF220" t="str">
            <v/>
          </cell>
          <cell r="BI220">
            <v>0</v>
          </cell>
          <cell r="BJ220">
            <v>0</v>
          </cell>
          <cell r="BK220">
            <v>30</v>
          </cell>
          <cell r="BP220" t="str">
            <v/>
          </cell>
          <cell r="BQ220" t="str">
            <v/>
          </cell>
          <cell r="BR220" t="str">
            <v/>
          </cell>
          <cell r="BS220" t="str">
            <v/>
          </cell>
        </row>
        <row r="221">
          <cell r="B221" t="str">
            <v>INV--9900-203</v>
          </cell>
          <cell r="C221" t="str">
            <v/>
          </cell>
          <cell r="D221" t="e">
            <v>#VALUE!</v>
          </cell>
          <cell r="E221" t="str">
            <v>Jan1900</v>
          </cell>
          <cell r="F221">
            <v>31</v>
          </cell>
          <cell r="G221" t="e">
            <v>#VALUE!</v>
          </cell>
          <cell r="H221">
            <v>1</v>
          </cell>
          <cell r="I221">
            <v>1</v>
          </cell>
          <cell r="J221">
            <v>0</v>
          </cell>
          <cell r="K221" t="str">
            <v>0Jan1900</v>
          </cell>
          <cell r="L221" t="str">
            <v>Buildings</v>
          </cell>
          <cell r="M221" t="str">
            <v>BuildingsJan1900</v>
          </cell>
          <cell r="N221">
            <v>0</v>
          </cell>
          <cell r="O221">
            <v>0</v>
          </cell>
          <cell r="Q221" t="e">
            <v>#VALUE!</v>
          </cell>
          <cell r="R221">
            <v>0</v>
          </cell>
          <cell r="S221" t="str">
            <v>Jan1900</v>
          </cell>
          <cell r="T221" t="str">
            <v>Jan1900</v>
          </cell>
          <cell r="U221" t="e">
            <v>#VALUE!</v>
          </cell>
          <cell r="V221" t="e">
            <v>#VALUE!</v>
          </cell>
          <cell r="W221" t="str">
            <v/>
          </cell>
          <cell r="X221" t="str">
            <v>INV-9900</v>
          </cell>
          <cell r="Y221" t="str">
            <v>Jan</v>
          </cell>
          <cell r="Z221">
            <v>1900</v>
          </cell>
          <cell r="AA221" t="str">
            <v>9900</v>
          </cell>
          <cell r="AB221" t="str">
            <v>9900-203</v>
          </cell>
          <cell r="AC221">
            <v>203</v>
          </cell>
          <cell r="AD221">
            <v>0</v>
          </cell>
          <cell r="AE221">
            <v>0</v>
          </cell>
          <cell r="AF221" t="str">
            <v/>
          </cell>
          <cell r="AG221" t="str">
            <v/>
          </cell>
          <cell r="AH221">
            <v>1</v>
          </cell>
          <cell r="AI221">
            <v>1</v>
          </cell>
          <cell r="AK221" t="str">
            <v>INV--9900-203</v>
          </cell>
          <cell r="AL221">
            <v>0</v>
          </cell>
          <cell r="AN221" t="str">
            <v>INVOICE</v>
          </cell>
          <cell r="AR221" t="str">
            <v/>
          </cell>
          <cell r="AS221" t="str">
            <v/>
          </cell>
          <cell r="AT221" t="str">
            <v/>
          </cell>
          <cell r="AU221" t="str">
            <v/>
          </cell>
          <cell r="AV221" t="str">
            <v/>
          </cell>
          <cell r="AW221" t="str">
            <v/>
          </cell>
          <cell r="AX221" t="str">
            <v/>
          </cell>
          <cell r="AY221" t="str">
            <v/>
          </cell>
          <cell r="AZ221" t="str">
            <v/>
          </cell>
          <cell r="BB221" t="str">
            <v/>
          </cell>
          <cell r="BC221" t="str">
            <v/>
          </cell>
          <cell r="BF221" t="str">
            <v/>
          </cell>
          <cell r="BI221">
            <v>0</v>
          </cell>
          <cell r="BJ221">
            <v>0</v>
          </cell>
          <cell r="BK221">
            <v>30</v>
          </cell>
          <cell r="BP221" t="str">
            <v/>
          </cell>
          <cell r="BQ221" t="str">
            <v/>
          </cell>
          <cell r="BR221" t="str">
            <v/>
          </cell>
          <cell r="BS221" t="str">
            <v/>
          </cell>
        </row>
        <row r="222">
          <cell r="B222" t="str">
            <v>INV--9900-204</v>
          </cell>
          <cell r="C222" t="str">
            <v/>
          </cell>
          <cell r="D222" t="e">
            <v>#VALUE!</v>
          </cell>
          <cell r="E222" t="str">
            <v>Jan1900</v>
          </cell>
          <cell r="F222">
            <v>31</v>
          </cell>
          <cell r="G222" t="e">
            <v>#VALUE!</v>
          </cell>
          <cell r="H222">
            <v>1</v>
          </cell>
          <cell r="I222">
            <v>1</v>
          </cell>
          <cell r="J222">
            <v>0</v>
          </cell>
          <cell r="K222" t="str">
            <v>0Jan1900</v>
          </cell>
          <cell r="L222" t="str">
            <v>Buildings</v>
          </cell>
          <cell r="M222" t="str">
            <v>BuildingsJan1900</v>
          </cell>
          <cell r="N222">
            <v>0</v>
          </cell>
          <cell r="O222">
            <v>0</v>
          </cell>
          <cell r="Q222" t="e">
            <v>#VALUE!</v>
          </cell>
          <cell r="R222">
            <v>0</v>
          </cell>
          <cell r="S222" t="str">
            <v>Jan1900</v>
          </cell>
          <cell r="T222" t="str">
            <v>Jan1900</v>
          </cell>
          <cell r="U222" t="e">
            <v>#VALUE!</v>
          </cell>
          <cell r="V222" t="e">
            <v>#VALUE!</v>
          </cell>
          <cell r="W222" t="str">
            <v/>
          </cell>
          <cell r="X222" t="str">
            <v>INV-9900</v>
          </cell>
          <cell r="Y222" t="str">
            <v>Jan</v>
          </cell>
          <cell r="Z222">
            <v>1900</v>
          </cell>
          <cell r="AA222" t="str">
            <v>9900</v>
          </cell>
          <cell r="AB222" t="str">
            <v>9900-204</v>
          </cell>
          <cell r="AC222">
            <v>204</v>
          </cell>
          <cell r="AD222">
            <v>0</v>
          </cell>
          <cell r="AE222">
            <v>0</v>
          </cell>
          <cell r="AF222" t="str">
            <v/>
          </cell>
          <cell r="AG222" t="str">
            <v/>
          </cell>
          <cell r="AH222">
            <v>1</v>
          </cell>
          <cell r="AI222">
            <v>1</v>
          </cell>
          <cell r="AK222" t="str">
            <v>INV--9900-204</v>
          </cell>
          <cell r="AL222">
            <v>0</v>
          </cell>
          <cell r="AN222" t="str">
            <v>INVOICE</v>
          </cell>
          <cell r="AR222" t="str">
            <v/>
          </cell>
          <cell r="AS222" t="str">
            <v/>
          </cell>
          <cell r="AT222" t="str">
            <v/>
          </cell>
          <cell r="AU222" t="str">
            <v/>
          </cell>
          <cell r="AV222" t="str">
            <v/>
          </cell>
          <cell r="AW222" t="str">
            <v/>
          </cell>
          <cell r="AX222" t="str">
            <v/>
          </cell>
          <cell r="AY222" t="str">
            <v/>
          </cell>
          <cell r="AZ222" t="str">
            <v/>
          </cell>
          <cell r="BB222" t="str">
            <v/>
          </cell>
          <cell r="BC222" t="str">
            <v/>
          </cell>
          <cell r="BF222" t="str">
            <v/>
          </cell>
          <cell r="BI222">
            <v>0</v>
          </cell>
          <cell r="BJ222">
            <v>0</v>
          </cell>
          <cell r="BK222">
            <v>30</v>
          </cell>
          <cell r="BP222" t="str">
            <v/>
          </cell>
          <cell r="BQ222" t="str">
            <v/>
          </cell>
          <cell r="BR222" t="str">
            <v/>
          </cell>
          <cell r="BS222" t="str">
            <v/>
          </cell>
        </row>
        <row r="223">
          <cell r="B223" t="str">
            <v>INV--9900-205</v>
          </cell>
          <cell r="C223" t="str">
            <v/>
          </cell>
          <cell r="D223" t="e">
            <v>#VALUE!</v>
          </cell>
          <cell r="E223" t="str">
            <v>Jan1900</v>
          </cell>
          <cell r="F223">
            <v>31</v>
          </cell>
          <cell r="G223" t="e">
            <v>#VALUE!</v>
          </cell>
          <cell r="H223">
            <v>1</v>
          </cell>
          <cell r="I223">
            <v>1</v>
          </cell>
          <cell r="J223">
            <v>0</v>
          </cell>
          <cell r="K223" t="str">
            <v>0Jan1900</v>
          </cell>
          <cell r="L223" t="str">
            <v>Buildings</v>
          </cell>
          <cell r="M223" t="str">
            <v>BuildingsJan1900</v>
          </cell>
          <cell r="N223">
            <v>0</v>
          </cell>
          <cell r="O223">
            <v>0</v>
          </cell>
          <cell r="Q223" t="e">
            <v>#VALUE!</v>
          </cell>
          <cell r="R223">
            <v>0</v>
          </cell>
          <cell r="S223" t="str">
            <v>Jan1900</v>
          </cell>
          <cell r="T223" t="str">
            <v>Jan1900</v>
          </cell>
          <cell r="U223" t="e">
            <v>#VALUE!</v>
          </cell>
          <cell r="V223" t="e">
            <v>#VALUE!</v>
          </cell>
          <cell r="W223" t="str">
            <v/>
          </cell>
          <cell r="X223" t="str">
            <v>INV-9900</v>
          </cell>
          <cell r="Y223" t="str">
            <v>Jan</v>
          </cell>
          <cell r="Z223">
            <v>1900</v>
          </cell>
          <cell r="AA223" t="str">
            <v>9900</v>
          </cell>
          <cell r="AB223" t="str">
            <v>9900-205</v>
          </cell>
          <cell r="AC223">
            <v>205</v>
          </cell>
          <cell r="AD223">
            <v>0</v>
          </cell>
          <cell r="AE223">
            <v>0</v>
          </cell>
          <cell r="AF223" t="str">
            <v/>
          </cell>
          <cell r="AG223" t="str">
            <v/>
          </cell>
          <cell r="AH223">
            <v>1</v>
          </cell>
          <cell r="AI223">
            <v>1</v>
          </cell>
          <cell r="AK223" t="str">
            <v>INV--9900-205</v>
          </cell>
          <cell r="AL223">
            <v>0</v>
          </cell>
          <cell r="AN223" t="str">
            <v>INVOICE</v>
          </cell>
          <cell r="AR223" t="str">
            <v/>
          </cell>
          <cell r="AS223" t="str">
            <v/>
          </cell>
          <cell r="AT223" t="str">
            <v/>
          </cell>
          <cell r="AU223" t="str">
            <v/>
          </cell>
          <cell r="AV223" t="str">
            <v/>
          </cell>
          <cell r="AW223" t="str">
            <v/>
          </cell>
          <cell r="AX223" t="str">
            <v/>
          </cell>
          <cell r="AY223" t="str">
            <v/>
          </cell>
          <cell r="AZ223" t="str">
            <v/>
          </cell>
          <cell r="BB223" t="str">
            <v/>
          </cell>
          <cell r="BC223" t="str">
            <v/>
          </cell>
          <cell r="BF223" t="str">
            <v/>
          </cell>
          <cell r="BI223">
            <v>0</v>
          </cell>
          <cell r="BJ223">
            <v>0</v>
          </cell>
          <cell r="BK223">
            <v>30</v>
          </cell>
          <cell r="BP223" t="str">
            <v/>
          </cell>
          <cell r="BQ223" t="str">
            <v/>
          </cell>
          <cell r="BR223" t="str">
            <v/>
          </cell>
          <cell r="BS223" t="str">
            <v/>
          </cell>
        </row>
        <row r="224">
          <cell r="B224" t="str">
            <v>INV--9900-206</v>
          </cell>
          <cell r="C224" t="str">
            <v/>
          </cell>
          <cell r="D224" t="e">
            <v>#VALUE!</v>
          </cell>
          <cell r="E224" t="str">
            <v>Jan1900</v>
          </cell>
          <cell r="F224">
            <v>31</v>
          </cell>
          <cell r="G224" t="e">
            <v>#VALUE!</v>
          </cell>
          <cell r="H224">
            <v>1</v>
          </cell>
          <cell r="I224">
            <v>1</v>
          </cell>
          <cell r="J224">
            <v>0</v>
          </cell>
          <cell r="K224" t="str">
            <v>0Jan1900</v>
          </cell>
          <cell r="L224" t="str">
            <v>Buildings</v>
          </cell>
          <cell r="M224" t="str">
            <v>BuildingsJan1900</v>
          </cell>
          <cell r="N224">
            <v>0</v>
          </cell>
          <cell r="O224">
            <v>0</v>
          </cell>
          <cell r="Q224" t="e">
            <v>#VALUE!</v>
          </cell>
          <cell r="R224">
            <v>0</v>
          </cell>
          <cell r="S224" t="str">
            <v>Jan1900</v>
          </cell>
          <cell r="T224" t="str">
            <v>Jan1900</v>
          </cell>
          <cell r="U224" t="e">
            <v>#VALUE!</v>
          </cell>
          <cell r="V224" t="e">
            <v>#VALUE!</v>
          </cell>
          <cell r="W224" t="str">
            <v/>
          </cell>
          <cell r="X224" t="str">
            <v>INV-9900</v>
          </cell>
          <cell r="Y224" t="str">
            <v>Jan</v>
          </cell>
          <cell r="Z224">
            <v>1900</v>
          </cell>
          <cell r="AA224" t="str">
            <v>9900</v>
          </cell>
          <cell r="AB224" t="str">
            <v>9900-206</v>
          </cell>
          <cell r="AC224">
            <v>206</v>
          </cell>
          <cell r="AD224">
            <v>0</v>
          </cell>
          <cell r="AE224">
            <v>0</v>
          </cell>
          <cell r="AF224" t="str">
            <v/>
          </cell>
          <cell r="AG224" t="str">
            <v/>
          </cell>
          <cell r="AH224">
            <v>1</v>
          </cell>
          <cell r="AI224">
            <v>1</v>
          </cell>
          <cell r="AK224" t="str">
            <v>INV--9900-206</v>
          </cell>
          <cell r="AL224">
            <v>0</v>
          </cell>
          <cell r="AN224" t="str">
            <v>INVOICE</v>
          </cell>
          <cell r="AR224" t="str">
            <v/>
          </cell>
          <cell r="AS224" t="str">
            <v/>
          </cell>
          <cell r="AT224" t="str">
            <v/>
          </cell>
          <cell r="AU224" t="str">
            <v/>
          </cell>
          <cell r="AV224" t="str">
            <v/>
          </cell>
          <cell r="AW224" t="str">
            <v/>
          </cell>
          <cell r="AX224" t="str">
            <v/>
          </cell>
          <cell r="AY224" t="str">
            <v/>
          </cell>
          <cell r="AZ224" t="str">
            <v/>
          </cell>
          <cell r="BB224" t="str">
            <v/>
          </cell>
          <cell r="BC224" t="str">
            <v/>
          </cell>
          <cell r="BF224" t="str">
            <v/>
          </cell>
          <cell r="BI224">
            <v>0</v>
          </cell>
          <cell r="BJ224">
            <v>0</v>
          </cell>
          <cell r="BK224">
            <v>30</v>
          </cell>
          <cell r="BP224" t="str">
            <v/>
          </cell>
          <cell r="BQ224" t="str">
            <v/>
          </cell>
          <cell r="BR224" t="str">
            <v/>
          </cell>
          <cell r="BS224" t="str">
            <v/>
          </cell>
        </row>
        <row r="225">
          <cell r="B225" t="str">
            <v>INV--9900-207</v>
          </cell>
          <cell r="C225" t="str">
            <v/>
          </cell>
          <cell r="D225" t="e">
            <v>#VALUE!</v>
          </cell>
          <cell r="E225" t="str">
            <v>Jan1900</v>
          </cell>
          <cell r="F225">
            <v>31</v>
          </cell>
          <cell r="G225" t="e">
            <v>#VALUE!</v>
          </cell>
          <cell r="H225">
            <v>1</v>
          </cell>
          <cell r="I225">
            <v>1</v>
          </cell>
          <cell r="J225">
            <v>0</v>
          </cell>
          <cell r="K225" t="str">
            <v>0Jan1900</v>
          </cell>
          <cell r="L225" t="str">
            <v>Buildings</v>
          </cell>
          <cell r="M225" t="str">
            <v>BuildingsJan1900</v>
          </cell>
          <cell r="N225">
            <v>0</v>
          </cell>
          <cell r="O225">
            <v>0</v>
          </cell>
          <cell r="Q225" t="e">
            <v>#VALUE!</v>
          </cell>
          <cell r="R225">
            <v>0</v>
          </cell>
          <cell r="S225" t="str">
            <v>Jan1900</v>
          </cell>
          <cell r="T225" t="str">
            <v>Jan1900</v>
          </cell>
          <cell r="U225" t="e">
            <v>#VALUE!</v>
          </cell>
          <cell r="V225" t="e">
            <v>#VALUE!</v>
          </cell>
          <cell r="W225" t="str">
            <v/>
          </cell>
          <cell r="X225" t="str">
            <v>INV-9900</v>
          </cell>
          <cell r="Y225" t="str">
            <v>Jan</v>
          </cell>
          <cell r="Z225">
            <v>1900</v>
          </cell>
          <cell r="AA225" t="str">
            <v>9900</v>
          </cell>
          <cell r="AB225" t="str">
            <v>9900-207</v>
          </cell>
          <cell r="AC225">
            <v>207</v>
          </cell>
          <cell r="AD225">
            <v>0</v>
          </cell>
          <cell r="AE225">
            <v>0</v>
          </cell>
          <cell r="AF225" t="str">
            <v/>
          </cell>
          <cell r="AG225" t="str">
            <v/>
          </cell>
          <cell r="AH225">
            <v>1</v>
          </cell>
          <cell r="AI225">
            <v>1</v>
          </cell>
          <cell r="AK225" t="str">
            <v>INV--9900-207</v>
          </cell>
          <cell r="AL225">
            <v>0</v>
          </cell>
          <cell r="AN225" t="str">
            <v>INVOICE</v>
          </cell>
          <cell r="AR225" t="str">
            <v/>
          </cell>
          <cell r="AS225" t="str">
            <v/>
          </cell>
          <cell r="AT225" t="str">
            <v/>
          </cell>
          <cell r="AU225" t="str">
            <v/>
          </cell>
          <cell r="AV225" t="str">
            <v/>
          </cell>
          <cell r="AW225" t="str">
            <v/>
          </cell>
          <cell r="AX225" t="str">
            <v/>
          </cell>
          <cell r="AY225" t="str">
            <v/>
          </cell>
          <cell r="AZ225" t="str">
            <v/>
          </cell>
          <cell r="BB225" t="str">
            <v/>
          </cell>
          <cell r="BC225" t="str">
            <v/>
          </cell>
          <cell r="BF225" t="str">
            <v/>
          </cell>
          <cell r="BI225">
            <v>0</v>
          </cell>
          <cell r="BJ225">
            <v>0</v>
          </cell>
          <cell r="BK225">
            <v>30</v>
          </cell>
          <cell r="BP225" t="str">
            <v/>
          </cell>
          <cell r="BQ225" t="str">
            <v/>
          </cell>
          <cell r="BR225" t="str">
            <v/>
          </cell>
          <cell r="BS225" t="str">
            <v/>
          </cell>
        </row>
        <row r="226">
          <cell r="B226" t="str">
            <v>INV--9900-208</v>
          </cell>
          <cell r="C226" t="str">
            <v/>
          </cell>
          <cell r="D226" t="e">
            <v>#VALUE!</v>
          </cell>
          <cell r="E226" t="str">
            <v>Jan1900</v>
          </cell>
          <cell r="F226">
            <v>31</v>
          </cell>
          <cell r="G226" t="e">
            <v>#VALUE!</v>
          </cell>
          <cell r="H226">
            <v>1</v>
          </cell>
          <cell r="I226">
            <v>1</v>
          </cell>
          <cell r="J226">
            <v>0</v>
          </cell>
          <cell r="K226" t="str">
            <v>0Jan1900</v>
          </cell>
          <cell r="L226" t="str">
            <v>Buildings</v>
          </cell>
          <cell r="M226" t="str">
            <v>BuildingsJan1900</v>
          </cell>
          <cell r="N226">
            <v>0</v>
          </cell>
          <cell r="O226">
            <v>0</v>
          </cell>
          <cell r="Q226" t="e">
            <v>#VALUE!</v>
          </cell>
          <cell r="R226">
            <v>0</v>
          </cell>
          <cell r="S226" t="str">
            <v>Jan1900</v>
          </cell>
          <cell r="T226" t="str">
            <v>Jan1900</v>
          </cell>
          <cell r="U226" t="e">
            <v>#VALUE!</v>
          </cell>
          <cell r="V226" t="e">
            <v>#VALUE!</v>
          </cell>
          <cell r="W226" t="str">
            <v/>
          </cell>
          <cell r="X226" t="str">
            <v>INV-9900</v>
          </cell>
          <cell r="Y226" t="str">
            <v>Jan</v>
          </cell>
          <cell r="Z226">
            <v>1900</v>
          </cell>
          <cell r="AA226" t="str">
            <v>9900</v>
          </cell>
          <cell r="AB226" t="str">
            <v>9900-208</v>
          </cell>
          <cell r="AC226">
            <v>208</v>
          </cell>
          <cell r="AD226">
            <v>0</v>
          </cell>
          <cell r="AE226">
            <v>0</v>
          </cell>
          <cell r="AF226" t="str">
            <v/>
          </cell>
          <cell r="AG226" t="str">
            <v/>
          </cell>
          <cell r="AH226">
            <v>1</v>
          </cell>
          <cell r="AI226">
            <v>1</v>
          </cell>
          <cell r="AK226" t="str">
            <v>INV--9900-208</v>
          </cell>
          <cell r="AL226">
            <v>0</v>
          </cell>
          <cell r="AN226" t="str">
            <v>INVOICE</v>
          </cell>
          <cell r="AR226" t="str">
            <v/>
          </cell>
          <cell r="AS226" t="str">
            <v/>
          </cell>
          <cell r="AT226" t="str">
            <v/>
          </cell>
          <cell r="AU226" t="str">
            <v/>
          </cell>
          <cell r="AV226" t="str">
            <v/>
          </cell>
          <cell r="AW226" t="str">
            <v/>
          </cell>
          <cell r="AX226" t="str">
            <v/>
          </cell>
          <cell r="AY226" t="str">
            <v/>
          </cell>
          <cell r="AZ226" t="str">
            <v/>
          </cell>
          <cell r="BB226" t="str">
            <v/>
          </cell>
          <cell r="BC226" t="str">
            <v/>
          </cell>
          <cell r="BF226" t="str">
            <v/>
          </cell>
          <cell r="BI226">
            <v>0</v>
          </cell>
          <cell r="BJ226">
            <v>0</v>
          </cell>
          <cell r="BK226">
            <v>30</v>
          </cell>
          <cell r="BP226" t="str">
            <v/>
          </cell>
          <cell r="BQ226" t="str">
            <v/>
          </cell>
          <cell r="BR226" t="str">
            <v/>
          </cell>
          <cell r="BS226" t="str">
            <v/>
          </cell>
        </row>
        <row r="227">
          <cell r="B227" t="str">
            <v>INV--9900-209</v>
          </cell>
          <cell r="C227" t="str">
            <v/>
          </cell>
          <cell r="D227" t="e">
            <v>#VALUE!</v>
          </cell>
          <cell r="E227" t="str">
            <v>Jan1900</v>
          </cell>
          <cell r="F227">
            <v>31</v>
          </cell>
          <cell r="G227" t="e">
            <v>#VALUE!</v>
          </cell>
          <cell r="H227">
            <v>1</v>
          </cell>
          <cell r="I227">
            <v>1</v>
          </cell>
          <cell r="J227">
            <v>0</v>
          </cell>
          <cell r="K227" t="str">
            <v>0Jan1900</v>
          </cell>
          <cell r="L227" t="str">
            <v>Buildings</v>
          </cell>
          <cell r="M227" t="str">
            <v>BuildingsJan1900</v>
          </cell>
          <cell r="N227">
            <v>0</v>
          </cell>
          <cell r="O227">
            <v>0</v>
          </cell>
          <cell r="Q227" t="e">
            <v>#VALUE!</v>
          </cell>
          <cell r="R227">
            <v>0</v>
          </cell>
          <cell r="S227" t="str">
            <v>Jan1900</v>
          </cell>
          <cell r="T227" t="str">
            <v>Jan1900</v>
          </cell>
          <cell r="U227" t="e">
            <v>#VALUE!</v>
          </cell>
          <cell r="V227" t="e">
            <v>#VALUE!</v>
          </cell>
          <cell r="W227" t="str">
            <v/>
          </cell>
          <cell r="X227" t="str">
            <v>INV-9900</v>
          </cell>
          <cell r="Y227" t="str">
            <v>Jan</v>
          </cell>
          <cell r="Z227">
            <v>1900</v>
          </cell>
          <cell r="AA227" t="str">
            <v>9900</v>
          </cell>
          <cell r="AB227" t="str">
            <v>9900-209</v>
          </cell>
          <cell r="AC227">
            <v>209</v>
          </cell>
          <cell r="AD227">
            <v>0</v>
          </cell>
          <cell r="AE227">
            <v>0</v>
          </cell>
          <cell r="AF227" t="str">
            <v/>
          </cell>
          <cell r="AG227" t="str">
            <v/>
          </cell>
          <cell r="AH227">
            <v>1</v>
          </cell>
          <cell r="AI227">
            <v>1</v>
          </cell>
          <cell r="AK227" t="str">
            <v>INV--9900-209</v>
          </cell>
          <cell r="AL227">
            <v>0</v>
          </cell>
          <cell r="AN227" t="str">
            <v>INVOICE</v>
          </cell>
          <cell r="AR227" t="str">
            <v/>
          </cell>
          <cell r="AS227" t="str">
            <v/>
          </cell>
          <cell r="AT227" t="str">
            <v/>
          </cell>
          <cell r="AU227" t="str">
            <v/>
          </cell>
          <cell r="AV227" t="str">
            <v/>
          </cell>
          <cell r="AW227" t="str">
            <v/>
          </cell>
          <cell r="AX227" t="str">
            <v/>
          </cell>
          <cell r="AY227" t="str">
            <v/>
          </cell>
          <cell r="AZ227" t="str">
            <v/>
          </cell>
          <cell r="BB227" t="str">
            <v/>
          </cell>
          <cell r="BC227" t="str">
            <v/>
          </cell>
          <cell r="BF227" t="str">
            <v/>
          </cell>
          <cell r="BI227">
            <v>0</v>
          </cell>
          <cell r="BJ227">
            <v>0</v>
          </cell>
          <cell r="BK227">
            <v>30</v>
          </cell>
          <cell r="BP227" t="str">
            <v/>
          </cell>
          <cell r="BQ227" t="str">
            <v/>
          </cell>
          <cell r="BR227" t="str">
            <v/>
          </cell>
          <cell r="BS227" t="str">
            <v/>
          </cell>
        </row>
        <row r="228">
          <cell r="B228" t="str">
            <v>INV--9900-210</v>
          </cell>
          <cell r="C228" t="str">
            <v/>
          </cell>
          <cell r="D228" t="e">
            <v>#VALUE!</v>
          </cell>
          <cell r="E228" t="str">
            <v>Jan1900</v>
          </cell>
          <cell r="F228">
            <v>31</v>
          </cell>
          <cell r="G228" t="e">
            <v>#VALUE!</v>
          </cell>
          <cell r="H228">
            <v>1</v>
          </cell>
          <cell r="I228">
            <v>1</v>
          </cell>
          <cell r="J228">
            <v>0</v>
          </cell>
          <cell r="K228" t="str">
            <v>0Jan1900</v>
          </cell>
          <cell r="L228" t="str">
            <v>Buildings</v>
          </cell>
          <cell r="M228" t="str">
            <v>BuildingsJan1900</v>
          </cell>
          <cell r="N228">
            <v>0</v>
          </cell>
          <cell r="O228">
            <v>0</v>
          </cell>
          <cell r="Q228" t="e">
            <v>#VALUE!</v>
          </cell>
          <cell r="R228">
            <v>0</v>
          </cell>
          <cell r="S228" t="str">
            <v>Jan1900</v>
          </cell>
          <cell r="T228" t="str">
            <v>Jan1900</v>
          </cell>
          <cell r="U228" t="e">
            <v>#VALUE!</v>
          </cell>
          <cell r="V228" t="e">
            <v>#VALUE!</v>
          </cell>
          <cell r="W228" t="str">
            <v/>
          </cell>
          <cell r="X228" t="str">
            <v>INV-9900</v>
          </cell>
          <cell r="Y228" t="str">
            <v>Jan</v>
          </cell>
          <cell r="Z228">
            <v>1900</v>
          </cell>
          <cell r="AA228" t="str">
            <v>9900</v>
          </cell>
          <cell r="AB228" t="str">
            <v>9900-210</v>
          </cell>
          <cell r="AC228">
            <v>210</v>
          </cell>
          <cell r="AD228">
            <v>0</v>
          </cell>
          <cell r="AE228">
            <v>0</v>
          </cell>
          <cell r="AF228" t="str">
            <v/>
          </cell>
          <cell r="AG228" t="str">
            <v/>
          </cell>
          <cell r="AH228">
            <v>1</v>
          </cell>
          <cell r="AI228">
            <v>1</v>
          </cell>
          <cell r="AK228" t="str">
            <v>INV--9900-210</v>
          </cell>
          <cell r="AL228">
            <v>0</v>
          </cell>
          <cell r="AN228" t="str">
            <v>INVOICE</v>
          </cell>
          <cell r="AR228" t="str">
            <v/>
          </cell>
          <cell r="AS228" t="str">
            <v/>
          </cell>
          <cell r="AT228" t="str">
            <v/>
          </cell>
          <cell r="AU228" t="str">
            <v/>
          </cell>
          <cell r="AV228" t="str">
            <v/>
          </cell>
          <cell r="AW228" t="str">
            <v/>
          </cell>
          <cell r="AX228" t="str">
            <v/>
          </cell>
          <cell r="AY228" t="str">
            <v/>
          </cell>
          <cell r="AZ228" t="str">
            <v/>
          </cell>
          <cell r="BB228" t="str">
            <v/>
          </cell>
          <cell r="BC228" t="str">
            <v/>
          </cell>
          <cell r="BF228" t="str">
            <v/>
          </cell>
          <cell r="BI228">
            <v>0</v>
          </cell>
          <cell r="BJ228">
            <v>0</v>
          </cell>
          <cell r="BK228">
            <v>30</v>
          </cell>
          <cell r="BP228" t="str">
            <v/>
          </cell>
          <cell r="BQ228" t="str">
            <v/>
          </cell>
          <cell r="BR228" t="str">
            <v/>
          </cell>
          <cell r="BS228" t="str">
            <v/>
          </cell>
        </row>
        <row r="229">
          <cell r="B229" t="str">
            <v>INV--9900-211</v>
          </cell>
          <cell r="C229" t="str">
            <v/>
          </cell>
          <cell r="D229" t="e">
            <v>#VALUE!</v>
          </cell>
          <cell r="E229" t="str">
            <v>Jan1900</v>
          </cell>
          <cell r="F229">
            <v>31</v>
          </cell>
          <cell r="G229" t="e">
            <v>#VALUE!</v>
          </cell>
          <cell r="H229">
            <v>1</v>
          </cell>
          <cell r="I229">
            <v>1</v>
          </cell>
          <cell r="J229">
            <v>0</v>
          </cell>
          <cell r="K229" t="str">
            <v>0Jan1900</v>
          </cell>
          <cell r="L229" t="str">
            <v>Buildings</v>
          </cell>
          <cell r="M229" t="str">
            <v>BuildingsJan1900</v>
          </cell>
          <cell r="N229">
            <v>0</v>
          </cell>
          <cell r="O229">
            <v>0</v>
          </cell>
          <cell r="Q229" t="e">
            <v>#VALUE!</v>
          </cell>
          <cell r="R229">
            <v>0</v>
          </cell>
          <cell r="S229" t="str">
            <v>Jan1900</v>
          </cell>
          <cell r="T229" t="str">
            <v>Jan1900</v>
          </cell>
          <cell r="U229" t="e">
            <v>#VALUE!</v>
          </cell>
          <cell r="V229" t="e">
            <v>#VALUE!</v>
          </cell>
          <cell r="W229" t="str">
            <v/>
          </cell>
          <cell r="X229" t="str">
            <v>INV-9900</v>
          </cell>
          <cell r="Y229" t="str">
            <v>Jan</v>
          </cell>
          <cell r="Z229">
            <v>1900</v>
          </cell>
          <cell r="AA229" t="str">
            <v>9900</v>
          </cell>
          <cell r="AB229" t="str">
            <v>9900-211</v>
          </cell>
          <cell r="AC229">
            <v>211</v>
          </cell>
          <cell r="AD229">
            <v>0</v>
          </cell>
          <cell r="AE229">
            <v>0</v>
          </cell>
          <cell r="AF229" t="str">
            <v/>
          </cell>
          <cell r="AG229" t="str">
            <v/>
          </cell>
          <cell r="AH229">
            <v>1</v>
          </cell>
          <cell r="AI229">
            <v>1</v>
          </cell>
          <cell r="AK229" t="str">
            <v>INV--9900-211</v>
          </cell>
          <cell r="AL229">
            <v>0</v>
          </cell>
          <cell r="AN229" t="str">
            <v>INVOICE</v>
          </cell>
          <cell r="AR229" t="str">
            <v/>
          </cell>
          <cell r="AS229" t="str">
            <v/>
          </cell>
          <cell r="AT229" t="str">
            <v/>
          </cell>
          <cell r="AU229" t="str">
            <v/>
          </cell>
          <cell r="AV229" t="str">
            <v/>
          </cell>
          <cell r="AW229" t="str">
            <v/>
          </cell>
          <cell r="AX229" t="str">
            <v/>
          </cell>
          <cell r="AY229" t="str">
            <v/>
          </cell>
          <cell r="AZ229" t="str">
            <v/>
          </cell>
          <cell r="BB229" t="str">
            <v/>
          </cell>
          <cell r="BC229" t="str">
            <v/>
          </cell>
          <cell r="BF229" t="str">
            <v/>
          </cell>
          <cell r="BI229">
            <v>0</v>
          </cell>
          <cell r="BJ229">
            <v>0</v>
          </cell>
          <cell r="BK229">
            <v>30</v>
          </cell>
          <cell r="BP229" t="str">
            <v/>
          </cell>
          <cell r="BQ229" t="str">
            <v/>
          </cell>
          <cell r="BR229" t="str">
            <v/>
          </cell>
          <cell r="BS229" t="str">
            <v/>
          </cell>
        </row>
        <row r="230">
          <cell r="B230" t="str">
            <v>INV--9900-212</v>
          </cell>
          <cell r="C230" t="str">
            <v/>
          </cell>
          <cell r="D230" t="e">
            <v>#VALUE!</v>
          </cell>
          <cell r="E230" t="str">
            <v>Jan1900</v>
          </cell>
          <cell r="F230">
            <v>31</v>
          </cell>
          <cell r="G230" t="e">
            <v>#VALUE!</v>
          </cell>
          <cell r="H230">
            <v>1</v>
          </cell>
          <cell r="I230">
            <v>1</v>
          </cell>
          <cell r="J230">
            <v>0</v>
          </cell>
          <cell r="K230" t="str">
            <v>0Jan1900</v>
          </cell>
          <cell r="L230" t="str">
            <v>Buildings</v>
          </cell>
          <cell r="M230" t="str">
            <v>BuildingsJan1900</v>
          </cell>
          <cell r="N230">
            <v>0</v>
          </cell>
          <cell r="O230">
            <v>0</v>
          </cell>
          <cell r="Q230" t="e">
            <v>#VALUE!</v>
          </cell>
          <cell r="R230">
            <v>0</v>
          </cell>
          <cell r="S230" t="str">
            <v>Jan1900</v>
          </cell>
          <cell r="T230" t="str">
            <v>Jan1900</v>
          </cell>
          <cell r="U230" t="e">
            <v>#VALUE!</v>
          </cell>
          <cell r="V230" t="e">
            <v>#VALUE!</v>
          </cell>
          <cell r="W230" t="str">
            <v/>
          </cell>
          <cell r="X230" t="str">
            <v>INV-9900</v>
          </cell>
          <cell r="Y230" t="str">
            <v>Jan</v>
          </cell>
          <cell r="Z230">
            <v>1900</v>
          </cell>
          <cell r="AA230" t="str">
            <v>9900</v>
          </cell>
          <cell r="AB230" t="str">
            <v>9900-212</v>
          </cell>
          <cell r="AC230">
            <v>212</v>
          </cell>
          <cell r="AD230">
            <v>0</v>
          </cell>
          <cell r="AE230">
            <v>0</v>
          </cell>
          <cell r="AF230" t="str">
            <v/>
          </cell>
          <cell r="AG230" t="str">
            <v/>
          </cell>
          <cell r="AH230">
            <v>1</v>
          </cell>
          <cell r="AI230">
            <v>1</v>
          </cell>
          <cell r="AK230" t="str">
            <v>INV--9900-212</v>
          </cell>
          <cell r="AL230">
            <v>0</v>
          </cell>
          <cell r="AN230" t="str">
            <v>INVOICE</v>
          </cell>
          <cell r="AR230" t="str">
            <v/>
          </cell>
          <cell r="AS230" t="str">
            <v/>
          </cell>
          <cell r="AT230" t="str">
            <v/>
          </cell>
          <cell r="AU230" t="str">
            <v/>
          </cell>
          <cell r="AV230" t="str">
            <v/>
          </cell>
          <cell r="AW230" t="str">
            <v/>
          </cell>
          <cell r="AX230" t="str">
            <v/>
          </cell>
          <cell r="AY230" t="str">
            <v/>
          </cell>
          <cell r="AZ230" t="str">
            <v/>
          </cell>
          <cell r="BB230" t="str">
            <v/>
          </cell>
          <cell r="BC230" t="str">
            <v/>
          </cell>
          <cell r="BF230" t="str">
            <v/>
          </cell>
          <cell r="BI230">
            <v>0</v>
          </cell>
          <cell r="BJ230">
            <v>0</v>
          </cell>
          <cell r="BK230">
            <v>30</v>
          </cell>
          <cell r="BP230" t="str">
            <v/>
          </cell>
          <cell r="BQ230" t="str">
            <v/>
          </cell>
          <cell r="BR230" t="str">
            <v/>
          </cell>
          <cell r="BS230" t="str">
            <v/>
          </cell>
        </row>
        <row r="231">
          <cell r="B231" t="str">
            <v>INV--9900-213</v>
          </cell>
          <cell r="C231" t="str">
            <v/>
          </cell>
          <cell r="D231" t="e">
            <v>#VALUE!</v>
          </cell>
          <cell r="E231" t="str">
            <v>Jan1900</v>
          </cell>
          <cell r="F231">
            <v>31</v>
          </cell>
          <cell r="G231" t="e">
            <v>#VALUE!</v>
          </cell>
          <cell r="H231">
            <v>1</v>
          </cell>
          <cell r="I231">
            <v>1</v>
          </cell>
          <cell r="J231">
            <v>0</v>
          </cell>
          <cell r="K231" t="str">
            <v>0Jan1900</v>
          </cell>
          <cell r="L231" t="str">
            <v>Buildings</v>
          </cell>
          <cell r="M231" t="str">
            <v>BuildingsJan1900</v>
          </cell>
          <cell r="N231">
            <v>0</v>
          </cell>
          <cell r="O231">
            <v>0</v>
          </cell>
          <cell r="Q231" t="e">
            <v>#VALUE!</v>
          </cell>
          <cell r="R231">
            <v>0</v>
          </cell>
          <cell r="S231" t="str">
            <v>Jan1900</v>
          </cell>
          <cell r="T231" t="str">
            <v>Jan1900</v>
          </cell>
          <cell r="U231" t="e">
            <v>#VALUE!</v>
          </cell>
          <cell r="V231" t="e">
            <v>#VALUE!</v>
          </cell>
          <cell r="W231" t="str">
            <v/>
          </cell>
          <cell r="X231" t="str">
            <v>INV-9900</v>
          </cell>
          <cell r="Y231" t="str">
            <v>Jan</v>
          </cell>
          <cell r="Z231">
            <v>1900</v>
          </cell>
          <cell r="AA231" t="str">
            <v>9900</v>
          </cell>
          <cell r="AB231" t="str">
            <v>9900-213</v>
          </cell>
          <cell r="AC231">
            <v>213</v>
          </cell>
          <cell r="AD231">
            <v>0</v>
          </cell>
          <cell r="AE231">
            <v>0</v>
          </cell>
          <cell r="AF231" t="str">
            <v/>
          </cell>
          <cell r="AG231" t="str">
            <v/>
          </cell>
          <cell r="AH231">
            <v>1</v>
          </cell>
          <cell r="AI231">
            <v>1</v>
          </cell>
          <cell r="AK231" t="str">
            <v>INV--9900-213</v>
          </cell>
          <cell r="AL231">
            <v>0</v>
          </cell>
          <cell r="AN231" t="str">
            <v>INVOICE</v>
          </cell>
          <cell r="AR231" t="str">
            <v/>
          </cell>
          <cell r="AS231" t="str">
            <v/>
          </cell>
          <cell r="AT231" t="str">
            <v/>
          </cell>
          <cell r="AU231" t="str">
            <v/>
          </cell>
          <cell r="AV231" t="str">
            <v/>
          </cell>
          <cell r="AW231" t="str">
            <v/>
          </cell>
          <cell r="AX231" t="str">
            <v/>
          </cell>
          <cell r="AY231" t="str">
            <v/>
          </cell>
          <cell r="AZ231" t="str">
            <v/>
          </cell>
          <cell r="BB231" t="str">
            <v/>
          </cell>
          <cell r="BC231" t="str">
            <v/>
          </cell>
          <cell r="BF231" t="str">
            <v/>
          </cell>
          <cell r="BI231">
            <v>0</v>
          </cell>
          <cell r="BJ231">
            <v>0</v>
          </cell>
          <cell r="BK231">
            <v>30</v>
          </cell>
          <cell r="BP231" t="str">
            <v/>
          </cell>
          <cell r="BQ231" t="str">
            <v/>
          </cell>
          <cell r="BR231" t="str">
            <v/>
          </cell>
          <cell r="BS231" t="str">
            <v/>
          </cell>
        </row>
        <row r="232">
          <cell r="B232" t="str">
            <v>INV--9900-214</v>
          </cell>
          <cell r="C232" t="str">
            <v/>
          </cell>
          <cell r="D232" t="e">
            <v>#VALUE!</v>
          </cell>
          <cell r="E232" t="str">
            <v>Jan1900</v>
          </cell>
          <cell r="F232">
            <v>31</v>
          </cell>
          <cell r="G232" t="e">
            <v>#VALUE!</v>
          </cell>
          <cell r="H232">
            <v>1</v>
          </cell>
          <cell r="I232">
            <v>1</v>
          </cell>
          <cell r="J232">
            <v>0</v>
          </cell>
          <cell r="K232" t="str">
            <v>0Jan1900</v>
          </cell>
          <cell r="L232" t="str">
            <v>Buildings</v>
          </cell>
          <cell r="M232" t="str">
            <v>BuildingsJan1900</v>
          </cell>
          <cell r="N232">
            <v>0</v>
          </cell>
          <cell r="O232">
            <v>0</v>
          </cell>
          <cell r="Q232" t="e">
            <v>#VALUE!</v>
          </cell>
          <cell r="R232">
            <v>0</v>
          </cell>
          <cell r="S232" t="str">
            <v>Jan1900</v>
          </cell>
          <cell r="T232" t="str">
            <v>Jan1900</v>
          </cell>
          <cell r="U232" t="e">
            <v>#VALUE!</v>
          </cell>
          <cell r="V232" t="e">
            <v>#VALUE!</v>
          </cell>
          <cell r="W232" t="str">
            <v/>
          </cell>
          <cell r="X232" t="str">
            <v>INV-9900</v>
          </cell>
          <cell r="Y232" t="str">
            <v>Jan</v>
          </cell>
          <cell r="Z232">
            <v>1900</v>
          </cell>
          <cell r="AA232" t="str">
            <v>9900</v>
          </cell>
          <cell r="AB232" t="str">
            <v>9900-214</v>
          </cell>
          <cell r="AC232">
            <v>214</v>
          </cell>
          <cell r="AD232">
            <v>0</v>
          </cell>
          <cell r="AE232">
            <v>0</v>
          </cell>
          <cell r="AF232" t="str">
            <v/>
          </cell>
          <cell r="AG232" t="str">
            <v/>
          </cell>
          <cell r="AH232">
            <v>1</v>
          </cell>
          <cell r="AI232">
            <v>1</v>
          </cell>
          <cell r="AK232" t="str">
            <v>INV--9900-214</v>
          </cell>
          <cell r="AL232">
            <v>0</v>
          </cell>
          <cell r="AN232" t="str">
            <v>INVOICE</v>
          </cell>
          <cell r="AR232" t="str">
            <v/>
          </cell>
          <cell r="AS232" t="str">
            <v/>
          </cell>
          <cell r="AT232" t="str">
            <v/>
          </cell>
          <cell r="AU232" t="str">
            <v/>
          </cell>
          <cell r="AV232" t="str">
            <v/>
          </cell>
          <cell r="AW232" t="str">
            <v/>
          </cell>
          <cell r="AX232" t="str">
            <v/>
          </cell>
          <cell r="AY232" t="str">
            <v/>
          </cell>
          <cell r="AZ232" t="str">
            <v/>
          </cell>
          <cell r="BB232" t="str">
            <v/>
          </cell>
          <cell r="BC232" t="str">
            <v/>
          </cell>
          <cell r="BF232" t="str">
            <v/>
          </cell>
          <cell r="BI232">
            <v>0</v>
          </cell>
          <cell r="BJ232">
            <v>0</v>
          </cell>
          <cell r="BK232">
            <v>30</v>
          </cell>
          <cell r="BP232" t="str">
            <v/>
          </cell>
          <cell r="BQ232" t="str">
            <v/>
          </cell>
          <cell r="BR232" t="str">
            <v/>
          </cell>
          <cell r="BS232" t="str">
            <v/>
          </cell>
        </row>
        <row r="233">
          <cell r="B233" t="str">
            <v>INV--9900-215</v>
          </cell>
          <cell r="C233" t="str">
            <v/>
          </cell>
          <cell r="D233" t="e">
            <v>#VALUE!</v>
          </cell>
          <cell r="E233" t="str">
            <v>Jan1900</v>
          </cell>
          <cell r="F233">
            <v>31</v>
          </cell>
          <cell r="G233" t="e">
            <v>#VALUE!</v>
          </cell>
          <cell r="H233">
            <v>1</v>
          </cell>
          <cell r="I233">
            <v>1</v>
          </cell>
          <cell r="J233">
            <v>0</v>
          </cell>
          <cell r="K233" t="str">
            <v>0Jan1900</v>
          </cell>
          <cell r="L233" t="str">
            <v>Buildings</v>
          </cell>
          <cell r="M233" t="str">
            <v>BuildingsJan1900</v>
          </cell>
          <cell r="N233">
            <v>0</v>
          </cell>
          <cell r="O233">
            <v>0</v>
          </cell>
          <cell r="Q233" t="e">
            <v>#VALUE!</v>
          </cell>
          <cell r="R233">
            <v>0</v>
          </cell>
          <cell r="S233" t="str">
            <v>Jan1900</v>
          </cell>
          <cell r="T233" t="str">
            <v>Jan1900</v>
          </cell>
          <cell r="U233" t="e">
            <v>#VALUE!</v>
          </cell>
          <cell r="V233" t="e">
            <v>#VALUE!</v>
          </cell>
          <cell r="W233" t="str">
            <v/>
          </cell>
          <cell r="X233" t="str">
            <v>INV-9900</v>
          </cell>
          <cell r="Y233" t="str">
            <v>Jan</v>
          </cell>
          <cell r="Z233">
            <v>1900</v>
          </cell>
          <cell r="AA233" t="str">
            <v>9900</v>
          </cell>
          <cell r="AB233" t="str">
            <v>9900-215</v>
          </cell>
          <cell r="AC233">
            <v>215</v>
          </cell>
          <cell r="AD233">
            <v>0</v>
          </cell>
          <cell r="AE233">
            <v>0</v>
          </cell>
          <cell r="AF233" t="str">
            <v/>
          </cell>
          <cell r="AG233" t="str">
            <v/>
          </cell>
          <cell r="AH233">
            <v>1</v>
          </cell>
          <cell r="AI233">
            <v>1</v>
          </cell>
          <cell r="AK233" t="str">
            <v>INV--9900-215</v>
          </cell>
          <cell r="AL233">
            <v>0</v>
          </cell>
          <cell r="AN233" t="str">
            <v>INVOICE</v>
          </cell>
          <cell r="AR233" t="str">
            <v/>
          </cell>
          <cell r="AS233" t="str">
            <v/>
          </cell>
          <cell r="AT233" t="str">
            <v/>
          </cell>
          <cell r="AU233" t="str">
            <v/>
          </cell>
          <cell r="AV233" t="str">
            <v/>
          </cell>
          <cell r="AW233" t="str">
            <v/>
          </cell>
          <cell r="AX233" t="str">
            <v/>
          </cell>
          <cell r="AY233" t="str">
            <v/>
          </cell>
          <cell r="AZ233" t="str">
            <v/>
          </cell>
          <cell r="BB233" t="str">
            <v/>
          </cell>
          <cell r="BC233" t="str">
            <v/>
          </cell>
          <cell r="BF233" t="str">
            <v/>
          </cell>
          <cell r="BI233">
            <v>0</v>
          </cell>
          <cell r="BJ233">
            <v>0</v>
          </cell>
          <cell r="BK233">
            <v>30</v>
          </cell>
          <cell r="BP233" t="str">
            <v/>
          </cell>
          <cell r="BQ233" t="str">
            <v/>
          </cell>
          <cell r="BR233" t="str">
            <v/>
          </cell>
          <cell r="BS233" t="str">
            <v/>
          </cell>
        </row>
        <row r="234">
          <cell r="B234" t="str">
            <v>INV--9900-216</v>
          </cell>
          <cell r="C234" t="str">
            <v/>
          </cell>
          <cell r="D234" t="e">
            <v>#VALUE!</v>
          </cell>
          <cell r="E234" t="str">
            <v>Jan1900</v>
          </cell>
          <cell r="F234">
            <v>31</v>
          </cell>
          <cell r="G234" t="e">
            <v>#VALUE!</v>
          </cell>
          <cell r="H234">
            <v>1</v>
          </cell>
          <cell r="I234">
            <v>1</v>
          </cell>
          <cell r="J234">
            <v>0</v>
          </cell>
          <cell r="K234" t="str">
            <v>0Jan1900</v>
          </cell>
          <cell r="L234" t="str">
            <v>Buildings</v>
          </cell>
          <cell r="M234" t="str">
            <v>BuildingsJan1900</v>
          </cell>
          <cell r="N234">
            <v>0</v>
          </cell>
          <cell r="O234">
            <v>0</v>
          </cell>
          <cell r="Q234" t="e">
            <v>#VALUE!</v>
          </cell>
          <cell r="R234">
            <v>0</v>
          </cell>
          <cell r="S234" t="str">
            <v>Jan1900</v>
          </cell>
          <cell r="T234" t="str">
            <v>Jan1900</v>
          </cell>
          <cell r="U234" t="e">
            <v>#VALUE!</v>
          </cell>
          <cell r="V234" t="e">
            <v>#VALUE!</v>
          </cell>
          <cell r="W234" t="str">
            <v/>
          </cell>
          <cell r="X234" t="str">
            <v>INV-9900</v>
          </cell>
          <cell r="Y234" t="str">
            <v>Jan</v>
          </cell>
          <cell r="Z234">
            <v>1900</v>
          </cell>
          <cell r="AA234" t="str">
            <v>9900</v>
          </cell>
          <cell r="AB234" t="str">
            <v>9900-216</v>
          </cell>
          <cell r="AC234">
            <v>216</v>
          </cell>
          <cell r="AD234">
            <v>0</v>
          </cell>
          <cell r="AE234">
            <v>0</v>
          </cell>
          <cell r="AF234" t="str">
            <v/>
          </cell>
          <cell r="AG234" t="str">
            <v/>
          </cell>
          <cell r="AH234">
            <v>1</v>
          </cell>
          <cell r="AI234">
            <v>1</v>
          </cell>
          <cell r="AK234" t="str">
            <v>INV--9900-216</v>
          </cell>
          <cell r="AL234">
            <v>0</v>
          </cell>
          <cell r="AN234" t="str">
            <v>INVOICE</v>
          </cell>
          <cell r="AR234" t="str">
            <v/>
          </cell>
          <cell r="AS234" t="str">
            <v/>
          </cell>
          <cell r="AT234" t="str">
            <v/>
          </cell>
          <cell r="AU234" t="str">
            <v/>
          </cell>
          <cell r="AV234" t="str">
            <v/>
          </cell>
          <cell r="AW234" t="str">
            <v/>
          </cell>
          <cell r="AX234" t="str">
            <v/>
          </cell>
          <cell r="AY234" t="str">
            <v/>
          </cell>
          <cell r="AZ234" t="str">
            <v/>
          </cell>
          <cell r="BB234" t="str">
            <v/>
          </cell>
          <cell r="BC234" t="str">
            <v/>
          </cell>
          <cell r="BF234" t="str">
            <v/>
          </cell>
          <cell r="BI234">
            <v>0</v>
          </cell>
          <cell r="BJ234">
            <v>0</v>
          </cell>
          <cell r="BK234">
            <v>30</v>
          </cell>
          <cell r="BP234" t="str">
            <v/>
          </cell>
          <cell r="BQ234" t="str">
            <v/>
          </cell>
          <cell r="BR234" t="str">
            <v/>
          </cell>
          <cell r="BS234" t="str">
            <v/>
          </cell>
        </row>
        <row r="235">
          <cell r="B235" t="str">
            <v>INV--9900-217</v>
          </cell>
          <cell r="C235" t="str">
            <v/>
          </cell>
          <cell r="D235" t="e">
            <v>#VALUE!</v>
          </cell>
          <cell r="E235" t="str">
            <v>Jan1900</v>
          </cell>
          <cell r="F235">
            <v>31</v>
          </cell>
          <cell r="G235" t="e">
            <v>#VALUE!</v>
          </cell>
          <cell r="H235">
            <v>1</v>
          </cell>
          <cell r="I235">
            <v>1</v>
          </cell>
          <cell r="J235">
            <v>0</v>
          </cell>
          <cell r="K235" t="str">
            <v>0Jan1900</v>
          </cell>
          <cell r="L235" t="str">
            <v>Buildings</v>
          </cell>
          <cell r="M235" t="str">
            <v>BuildingsJan1900</v>
          </cell>
          <cell r="N235">
            <v>0</v>
          </cell>
          <cell r="O235">
            <v>0</v>
          </cell>
          <cell r="Q235" t="e">
            <v>#VALUE!</v>
          </cell>
          <cell r="R235">
            <v>0</v>
          </cell>
          <cell r="S235" t="str">
            <v>Jan1900</v>
          </cell>
          <cell r="T235" t="str">
            <v>Jan1900</v>
          </cell>
          <cell r="U235" t="e">
            <v>#VALUE!</v>
          </cell>
          <cell r="V235" t="e">
            <v>#VALUE!</v>
          </cell>
          <cell r="W235" t="str">
            <v/>
          </cell>
          <cell r="X235" t="str">
            <v>INV-9900</v>
          </cell>
          <cell r="Y235" t="str">
            <v>Jan</v>
          </cell>
          <cell r="Z235">
            <v>1900</v>
          </cell>
          <cell r="AA235" t="str">
            <v>9900</v>
          </cell>
          <cell r="AB235" t="str">
            <v>9900-217</v>
          </cell>
          <cell r="AC235">
            <v>217</v>
          </cell>
          <cell r="AD235">
            <v>0</v>
          </cell>
          <cell r="AE235">
            <v>0</v>
          </cell>
          <cell r="AF235" t="str">
            <v/>
          </cell>
          <cell r="AG235" t="str">
            <v/>
          </cell>
          <cell r="AH235">
            <v>1</v>
          </cell>
          <cell r="AI235">
            <v>1</v>
          </cell>
          <cell r="AK235" t="str">
            <v>INV--9900-217</v>
          </cell>
          <cell r="AL235">
            <v>0</v>
          </cell>
          <cell r="AN235" t="str">
            <v>INVOICE</v>
          </cell>
          <cell r="AR235" t="str">
            <v/>
          </cell>
          <cell r="AS235" t="str">
            <v/>
          </cell>
          <cell r="AT235" t="str">
            <v/>
          </cell>
          <cell r="AU235" t="str">
            <v/>
          </cell>
          <cell r="AV235" t="str">
            <v/>
          </cell>
          <cell r="AW235" t="str">
            <v/>
          </cell>
          <cell r="AX235" t="str">
            <v/>
          </cell>
          <cell r="AY235" t="str">
            <v/>
          </cell>
          <cell r="AZ235" t="str">
            <v/>
          </cell>
          <cell r="BB235" t="str">
            <v/>
          </cell>
          <cell r="BC235" t="str">
            <v/>
          </cell>
          <cell r="BF235" t="str">
            <v/>
          </cell>
          <cell r="BI235">
            <v>0</v>
          </cell>
          <cell r="BJ235">
            <v>0</v>
          </cell>
          <cell r="BK235">
            <v>30</v>
          </cell>
          <cell r="BP235" t="str">
            <v/>
          </cell>
          <cell r="BQ235" t="str">
            <v/>
          </cell>
          <cell r="BR235" t="str">
            <v/>
          </cell>
          <cell r="BS235" t="str">
            <v/>
          </cell>
        </row>
        <row r="236">
          <cell r="B236" t="str">
            <v>INV--9900-218</v>
          </cell>
          <cell r="C236" t="str">
            <v/>
          </cell>
          <cell r="D236" t="e">
            <v>#VALUE!</v>
          </cell>
          <cell r="E236" t="str">
            <v>Jan1900</v>
          </cell>
          <cell r="F236">
            <v>31</v>
          </cell>
          <cell r="G236" t="e">
            <v>#VALUE!</v>
          </cell>
          <cell r="H236">
            <v>1</v>
          </cell>
          <cell r="I236">
            <v>1</v>
          </cell>
          <cell r="J236">
            <v>0</v>
          </cell>
          <cell r="K236" t="str">
            <v>0Jan1900</v>
          </cell>
          <cell r="L236" t="str">
            <v>Buildings</v>
          </cell>
          <cell r="M236" t="str">
            <v>BuildingsJan1900</v>
          </cell>
          <cell r="N236">
            <v>0</v>
          </cell>
          <cell r="O236">
            <v>0</v>
          </cell>
          <cell r="Q236" t="e">
            <v>#VALUE!</v>
          </cell>
          <cell r="R236">
            <v>0</v>
          </cell>
          <cell r="S236" t="str">
            <v>Jan1900</v>
          </cell>
          <cell r="T236" t="str">
            <v>Jan1900</v>
          </cell>
          <cell r="U236" t="e">
            <v>#VALUE!</v>
          </cell>
          <cell r="V236" t="e">
            <v>#VALUE!</v>
          </cell>
          <cell r="W236" t="str">
            <v/>
          </cell>
          <cell r="X236" t="str">
            <v>INV-9900</v>
          </cell>
          <cell r="Y236" t="str">
            <v>Jan</v>
          </cell>
          <cell r="Z236">
            <v>1900</v>
          </cell>
          <cell r="AA236" t="str">
            <v>9900</v>
          </cell>
          <cell r="AB236" t="str">
            <v>9900-218</v>
          </cell>
          <cell r="AC236">
            <v>218</v>
          </cell>
          <cell r="AD236">
            <v>0</v>
          </cell>
          <cell r="AE236">
            <v>0</v>
          </cell>
          <cell r="AF236" t="str">
            <v/>
          </cell>
          <cell r="AG236" t="str">
            <v/>
          </cell>
          <cell r="AH236">
            <v>1</v>
          </cell>
          <cell r="AI236">
            <v>1</v>
          </cell>
          <cell r="AK236" t="str">
            <v>INV--9900-218</v>
          </cell>
          <cell r="AL236">
            <v>0</v>
          </cell>
          <cell r="AN236" t="str">
            <v>INVOICE</v>
          </cell>
          <cell r="AR236" t="str">
            <v/>
          </cell>
          <cell r="AS236" t="str">
            <v/>
          </cell>
          <cell r="AT236" t="str">
            <v/>
          </cell>
          <cell r="AU236" t="str">
            <v/>
          </cell>
          <cell r="AV236" t="str">
            <v/>
          </cell>
          <cell r="AW236" t="str">
            <v/>
          </cell>
          <cell r="AX236" t="str">
            <v/>
          </cell>
          <cell r="AY236" t="str">
            <v/>
          </cell>
          <cell r="AZ236" t="str">
            <v/>
          </cell>
          <cell r="BB236" t="str">
            <v/>
          </cell>
          <cell r="BC236" t="str">
            <v/>
          </cell>
          <cell r="BF236" t="str">
            <v/>
          </cell>
          <cell r="BI236">
            <v>0</v>
          </cell>
          <cell r="BJ236">
            <v>0</v>
          </cell>
          <cell r="BK236">
            <v>30</v>
          </cell>
          <cell r="BP236" t="str">
            <v/>
          </cell>
          <cell r="BQ236" t="str">
            <v/>
          </cell>
          <cell r="BR236" t="str">
            <v/>
          </cell>
          <cell r="BS236" t="str">
            <v/>
          </cell>
        </row>
        <row r="237">
          <cell r="B237" t="str">
            <v>INV--9900-219</v>
          </cell>
          <cell r="C237" t="str">
            <v/>
          </cell>
          <cell r="D237" t="e">
            <v>#VALUE!</v>
          </cell>
          <cell r="E237" t="str">
            <v>Jan1900</v>
          </cell>
          <cell r="F237">
            <v>31</v>
          </cell>
          <cell r="G237" t="e">
            <v>#VALUE!</v>
          </cell>
          <cell r="H237">
            <v>1</v>
          </cell>
          <cell r="I237">
            <v>1</v>
          </cell>
          <cell r="J237">
            <v>0</v>
          </cell>
          <cell r="K237" t="str">
            <v>0Jan1900</v>
          </cell>
          <cell r="L237" t="str">
            <v>Buildings</v>
          </cell>
          <cell r="M237" t="str">
            <v>BuildingsJan1900</v>
          </cell>
          <cell r="N237">
            <v>0</v>
          </cell>
          <cell r="O237">
            <v>0</v>
          </cell>
          <cell r="Q237" t="e">
            <v>#VALUE!</v>
          </cell>
          <cell r="R237">
            <v>0</v>
          </cell>
          <cell r="S237" t="str">
            <v>Jan1900</v>
          </cell>
          <cell r="T237" t="str">
            <v>Jan1900</v>
          </cell>
          <cell r="U237" t="e">
            <v>#VALUE!</v>
          </cell>
          <cell r="V237" t="e">
            <v>#VALUE!</v>
          </cell>
          <cell r="W237" t="str">
            <v/>
          </cell>
          <cell r="X237" t="str">
            <v>INV-9900</v>
          </cell>
          <cell r="Y237" t="str">
            <v>Jan</v>
          </cell>
          <cell r="Z237">
            <v>1900</v>
          </cell>
          <cell r="AA237" t="str">
            <v>9900</v>
          </cell>
          <cell r="AB237" t="str">
            <v>9900-219</v>
          </cell>
          <cell r="AC237">
            <v>219</v>
          </cell>
          <cell r="AD237">
            <v>0</v>
          </cell>
          <cell r="AE237">
            <v>0</v>
          </cell>
          <cell r="AF237" t="str">
            <v/>
          </cell>
          <cell r="AG237" t="str">
            <v/>
          </cell>
          <cell r="AH237">
            <v>1</v>
          </cell>
          <cell r="AI237">
            <v>1</v>
          </cell>
          <cell r="AK237" t="str">
            <v>INV--9900-219</v>
          </cell>
          <cell r="AL237">
            <v>0</v>
          </cell>
          <cell r="AN237" t="str">
            <v>INVOICE</v>
          </cell>
          <cell r="AR237" t="str">
            <v/>
          </cell>
          <cell r="AS237" t="str">
            <v/>
          </cell>
          <cell r="AT237" t="str">
            <v/>
          </cell>
          <cell r="AU237" t="str">
            <v/>
          </cell>
          <cell r="AV237" t="str">
            <v/>
          </cell>
          <cell r="AW237" t="str">
            <v/>
          </cell>
          <cell r="AX237" t="str">
            <v/>
          </cell>
          <cell r="AY237" t="str">
            <v/>
          </cell>
          <cell r="AZ237" t="str">
            <v/>
          </cell>
          <cell r="BB237" t="str">
            <v/>
          </cell>
          <cell r="BC237" t="str">
            <v/>
          </cell>
          <cell r="BF237" t="str">
            <v/>
          </cell>
          <cell r="BI237">
            <v>0</v>
          </cell>
          <cell r="BJ237">
            <v>0</v>
          </cell>
          <cell r="BK237">
            <v>30</v>
          </cell>
          <cell r="BP237" t="str">
            <v/>
          </cell>
          <cell r="BQ237" t="str">
            <v/>
          </cell>
          <cell r="BR237" t="str">
            <v/>
          </cell>
          <cell r="BS237" t="str">
            <v/>
          </cell>
        </row>
        <row r="238">
          <cell r="B238" t="str">
            <v>INV--9900-220</v>
          </cell>
          <cell r="C238" t="str">
            <v/>
          </cell>
          <cell r="D238" t="e">
            <v>#VALUE!</v>
          </cell>
          <cell r="E238" t="str">
            <v>Jan1900</v>
          </cell>
          <cell r="F238">
            <v>31</v>
          </cell>
          <cell r="G238" t="e">
            <v>#VALUE!</v>
          </cell>
          <cell r="H238">
            <v>1</v>
          </cell>
          <cell r="I238">
            <v>1</v>
          </cell>
          <cell r="J238">
            <v>0</v>
          </cell>
          <cell r="K238" t="str">
            <v>0Jan1900</v>
          </cell>
          <cell r="L238" t="str">
            <v>Buildings</v>
          </cell>
          <cell r="M238" t="str">
            <v>BuildingsJan1900</v>
          </cell>
          <cell r="N238">
            <v>0</v>
          </cell>
          <cell r="O238">
            <v>0</v>
          </cell>
          <cell r="Q238" t="e">
            <v>#VALUE!</v>
          </cell>
          <cell r="R238">
            <v>0</v>
          </cell>
          <cell r="S238" t="str">
            <v>Jan1900</v>
          </cell>
          <cell r="T238" t="str">
            <v>Jan1900</v>
          </cell>
          <cell r="U238" t="e">
            <v>#VALUE!</v>
          </cell>
          <cell r="V238" t="e">
            <v>#VALUE!</v>
          </cell>
          <cell r="W238" t="str">
            <v/>
          </cell>
          <cell r="X238" t="str">
            <v>INV-9900</v>
          </cell>
          <cell r="Y238" t="str">
            <v>Jan</v>
          </cell>
          <cell r="Z238">
            <v>1900</v>
          </cell>
          <cell r="AA238" t="str">
            <v>9900</v>
          </cell>
          <cell r="AB238" t="str">
            <v>9900-220</v>
          </cell>
          <cell r="AC238">
            <v>220</v>
          </cell>
          <cell r="AD238">
            <v>0</v>
          </cell>
          <cell r="AE238">
            <v>0</v>
          </cell>
          <cell r="AF238" t="str">
            <v/>
          </cell>
          <cell r="AG238" t="str">
            <v/>
          </cell>
          <cell r="AH238">
            <v>1</v>
          </cell>
          <cell r="AI238">
            <v>1</v>
          </cell>
          <cell r="AK238" t="str">
            <v>INV--9900-220</v>
          </cell>
          <cell r="AL238">
            <v>0</v>
          </cell>
          <cell r="AN238" t="str">
            <v>INVOICE</v>
          </cell>
          <cell r="AR238" t="str">
            <v/>
          </cell>
          <cell r="AS238" t="str">
            <v/>
          </cell>
          <cell r="AT238" t="str">
            <v/>
          </cell>
          <cell r="AU238" t="str">
            <v/>
          </cell>
          <cell r="AV238" t="str">
            <v/>
          </cell>
          <cell r="AW238" t="str">
            <v/>
          </cell>
          <cell r="AX238" t="str">
            <v/>
          </cell>
          <cell r="AY238" t="str">
            <v/>
          </cell>
          <cell r="AZ238" t="str">
            <v/>
          </cell>
          <cell r="BB238" t="str">
            <v/>
          </cell>
          <cell r="BC238" t="str">
            <v/>
          </cell>
          <cell r="BF238" t="str">
            <v/>
          </cell>
          <cell r="BI238">
            <v>0</v>
          </cell>
          <cell r="BJ238">
            <v>0</v>
          </cell>
          <cell r="BK238">
            <v>30</v>
          </cell>
          <cell r="BP238" t="str">
            <v/>
          </cell>
          <cell r="BQ238" t="str">
            <v/>
          </cell>
          <cell r="BR238" t="str">
            <v/>
          </cell>
          <cell r="BS238" t="str">
            <v/>
          </cell>
        </row>
        <row r="239">
          <cell r="B239" t="str">
            <v>INV--9900-221</v>
          </cell>
          <cell r="C239" t="str">
            <v/>
          </cell>
          <cell r="D239" t="e">
            <v>#VALUE!</v>
          </cell>
          <cell r="E239" t="str">
            <v>Jan1900</v>
          </cell>
          <cell r="F239">
            <v>31</v>
          </cell>
          <cell r="G239" t="e">
            <v>#VALUE!</v>
          </cell>
          <cell r="H239">
            <v>1</v>
          </cell>
          <cell r="I239">
            <v>1</v>
          </cell>
          <cell r="J239">
            <v>0</v>
          </cell>
          <cell r="K239" t="str">
            <v>0Jan1900</v>
          </cell>
          <cell r="L239" t="str">
            <v>Buildings</v>
          </cell>
          <cell r="M239" t="str">
            <v>BuildingsJan1900</v>
          </cell>
          <cell r="N239">
            <v>0</v>
          </cell>
          <cell r="O239">
            <v>0</v>
          </cell>
          <cell r="Q239" t="e">
            <v>#VALUE!</v>
          </cell>
          <cell r="R239">
            <v>0</v>
          </cell>
          <cell r="S239" t="str">
            <v>Jan1900</v>
          </cell>
          <cell r="T239" t="str">
            <v>Jan1900</v>
          </cell>
          <cell r="U239" t="e">
            <v>#VALUE!</v>
          </cell>
          <cell r="V239" t="e">
            <v>#VALUE!</v>
          </cell>
          <cell r="W239" t="str">
            <v/>
          </cell>
          <cell r="X239" t="str">
            <v>INV-9900</v>
          </cell>
          <cell r="Y239" t="str">
            <v>Jan</v>
          </cell>
          <cell r="Z239">
            <v>1900</v>
          </cell>
          <cell r="AA239" t="str">
            <v>9900</v>
          </cell>
          <cell r="AB239" t="str">
            <v>9900-221</v>
          </cell>
          <cell r="AC239">
            <v>221</v>
          </cell>
          <cell r="AD239">
            <v>0</v>
          </cell>
          <cell r="AE239">
            <v>0</v>
          </cell>
          <cell r="AF239" t="str">
            <v/>
          </cell>
          <cell r="AG239" t="str">
            <v/>
          </cell>
          <cell r="AH239">
            <v>1</v>
          </cell>
          <cell r="AI239">
            <v>1</v>
          </cell>
          <cell r="AK239" t="str">
            <v>INV--9900-221</v>
          </cell>
          <cell r="AL239">
            <v>0</v>
          </cell>
          <cell r="AN239" t="str">
            <v>INVOICE</v>
          </cell>
          <cell r="AR239" t="str">
            <v/>
          </cell>
          <cell r="AS239" t="str">
            <v/>
          </cell>
          <cell r="AT239" t="str">
            <v/>
          </cell>
          <cell r="AU239" t="str">
            <v/>
          </cell>
          <cell r="AV239" t="str">
            <v/>
          </cell>
          <cell r="AW239" t="str">
            <v/>
          </cell>
          <cell r="AX239" t="str">
            <v/>
          </cell>
          <cell r="AY239" t="str">
            <v/>
          </cell>
          <cell r="AZ239" t="str">
            <v/>
          </cell>
          <cell r="BB239" t="str">
            <v/>
          </cell>
          <cell r="BC239" t="str">
            <v/>
          </cell>
          <cell r="BF239" t="str">
            <v/>
          </cell>
          <cell r="BI239">
            <v>0</v>
          </cell>
          <cell r="BJ239">
            <v>0</v>
          </cell>
          <cell r="BK239">
            <v>30</v>
          </cell>
          <cell r="BP239" t="str">
            <v/>
          </cell>
          <cell r="BQ239" t="str">
            <v/>
          </cell>
          <cell r="BR239" t="str">
            <v/>
          </cell>
          <cell r="BS239" t="str">
            <v/>
          </cell>
        </row>
        <row r="240">
          <cell r="B240" t="str">
            <v>INV--9900-222</v>
          </cell>
          <cell r="C240" t="str">
            <v/>
          </cell>
          <cell r="D240" t="e">
            <v>#VALUE!</v>
          </cell>
          <cell r="E240" t="str">
            <v>Jan1900</v>
          </cell>
          <cell r="F240">
            <v>31</v>
          </cell>
          <cell r="G240" t="e">
            <v>#VALUE!</v>
          </cell>
          <cell r="H240">
            <v>1</v>
          </cell>
          <cell r="I240">
            <v>1</v>
          </cell>
          <cell r="J240">
            <v>0</v>
          </cell>
          <cell r="K240" t="str">
            <v>0Jan1900</v>
          </cell>
          <cell r="L240" t="str">
            <v>Buildings</v>
          </cell>
          <cell r="M240" t="str">
            <v>BuildingsJan1900</v>
          </cell>
          <cell r="N240">
            <v>0</v>
          </cell>
          <cell r="O240">
            <v>0</v>
          </cell>
          <cell r="Q240" t="e">
            <v>#VALUE!</v>
          </cell>
          <cell r="R240">
            <v>0</v>
          </cell>
          <cell r="S240" t="str">
            <v>Jan1900</v>
          </cell>
          <cell r="T240" t="str">
            <v>Jan1900</v>
          </cell>
          <cell r="U240" t="e">
            <v>#VALUE!</v>
          </cell>
          <cell r="V240" t="e">
            <v>#VALUE!</v>
          </cell>
          <cell r="W240" t="str">
            <v/>
          </cell>
          <cell r="X240" t="str">
            <v>INV-9900</v>
          </cell>
          <cell r="Y240" t="str">
            <v>Jan</v>
          </cell>
          <cell r="Z240">
            <v>1900</v>
          </cell>
          <cell r="AA240" t="str">
            <v>9900</v>
          </cell>
          <cell r="AB240" t="str">
            <v>9900-222</v>
          </cell>
          <cell r="AC240">
            <v>222</v>
          </cell>
          <cell r="AD240">
            <v>0</v>
          </cell>
          <cell r="AE240">
            <v>0</v>
          </cell>
          <cell r="AF240" t="str">
            <v/>
          </cell>
          <cell r="AG240" t="str">
            <v/>
          </cell>
          <cell r="AH240">
            <v>1</v>
          </cell>
          <cell r="AI240">
            <v>1</v>
          </cell>
          <cell r="AK240" t="str">
            <v>INV--9900-222</v>
          </cell>
          <cell r="AL240">
            <v>0</v>
          </cell>
          <cell r="AN240" t="str">
            <v>INVOICE</v>
          </cell>
          <cell r="AR240" t="str">
            <v/>
          </cell>
          <cell r="AS240" t="str">
            <v/>
          </cell>
          <cell r="AT240" t="str">
            <v/>
          </cell>
          <cell r="AU240" t="str">
            <v/>
          </cell>
          <cell r="AV240" t="str">
            <v/>
          </cell>
          <cell r="AW240" t="str">
            <v/>
          </cell>
          <cell r="AX240" t="str">
            <v/>
          </cell>
          <cell r="AY240" t="str">
            <v/>
          </cell>
          <cell r="AZ240" t="str">
            <v/>
          </cell>
          <cell r="BB240" t="str">
            <v/>
          </cell>
          <cell r="BC240" t="str">
            <v/>
          </cell>
          <cell r="BF240" t="str">
            <v/>
          </cell>
          <cell r="BI240">
            <v>0</v>
          </cell>
          <cell r="BJ240">
            <v>0</v>
          </cell>
          <cell r="BK240">
            <v>30</v>
          </cell>
          <cell r="BP240" t="str">
            <v/>
          </cell>
          <cell r="BQ240" t="str">
            <v/>
          </cell>
          <cell r="BR240" t="str">
            <v/>
          </cell>
          <cell r="BS240" t="str">
            <v/>
          </cell>
        </row>
        <row r="241">
          <cell r="B241" t="str">
            <v>INV--9900-223</v>
          </cell>
          <cell r="C241" t="str">
            <v/>
          </cell>
          <cell r="D241" t="e">
            <v>#VALUE!</v>
          </cell>
          <cell r="E241" t="str">
            <v>Jan1900</v>
          </cell>
          <cell r="F241">
            <v>31</v>
          </cell>
          <cell r="G241" t="e">
            <v>#VALUE!</v>
          </cell>
          <cell r="H241">
            <v>1</v>
          </cell>
          <cell r="I241">
            <v>1</v>
          </cell>
          <cell r="J241">
            <v>0</v>
          </cell>
          <cell r="K241" t="str">
            <v>0Jan1900</v>
          </cell>
          <cell r="L241" t="str">
            <v>Buildings</v>
          </cell>
          <cell r="M241" t="str">
            <v>BuildingsJan1900</v>
          </cell>
          <cell r="N241">
            <v>0</v>
          </cell>
          <cell r="O241">
            <v>0</v>
          </cell>
          <cell r="Q241" t="e">
            <v>#VALUE!</v>
          </cell>
          <cell r="R241">
            <v>0</v>
          </cell>
          <cell r="S241" t="str">
            <v>Jan1900</v>
          </cell>
          <cell r="T241" t="str">
            <v>Jan1900</v>
          </cell>
          <cell r="U241" t="e">
            <v>#VALUE!</v>
          </cell>
          <cell r="V241" t="e">
            <v>#VALUE!</v>
          </cell>
          <cell r="W241" t="str">
            <v/>
          </cell>
          <cell r="X241" t="str">
            <v>INV-9900</v>
          </cell>
          <cell r="Y241" t="str">
            <v>Jan</v>
          </cell>
          <cell r="Z241">
            <v>1900</v>
          </cell>
          <cell r="AA241" t="str">
            <v>9900</v>
          </cell>
          <cell r="AB241" t="str">
            <v>9900-223</v>
          </cell>
          <cell r="AC241">
            <v>223</v>
          </cell>
          <cell r="AD241">
            <v>0</v>
          </cell>
          <cell r="AE241">
            <v>0</v>
          </cell>
          <cell r="AF241" t="str">
            <v/>
          </cell>
          <cell r="AG241" t="str">
            <v/>
          </cell>
          <cell r="AH241">
            <v>1</v>
          </cell>
          <cell r="AI241">
            <v>1</v>
          </cell>
          <cell r="AK241" t="str">
            <v>INV--9900-223</v>
          </cell>
          <cell r="AL241">
            <v>0</v>
          </cell>
          <cell r="AN241" t="str">
            <v>INVOICE</v>
          </cell>
          <cell r="AR241" t="str">
            <v/>
          </cell>
          <cell r="AS241" t="str">
            <v/>
          </cell>
          <cell r="AT241" t="str">
            <v/>
          </cell>
          <cell r="AU241" t="str">
            <v/>
          </cell>
          <cell r="AV241" t="str">
            <v/>
          </cell>
          <cell r="AW241" t="str">
            <v/>
          </cell>
          <cell r="AX241" t="str">
            <v/>
          </cell>
          <cell r="AY241" t="str">
            <v/>
          </cell>
          <cell r="AZ241" t="str">
            <v/>
          </cell>
          <cell r="BB241" t="str">
            <v/>
          </cell>
          <cell r="BC241" t="str">
            <v/>
          </cell>
          <cell r="BF241" t="str">
            <v/>
          </cell>
          <cell r="BI241">
            <v>0</v>
          </cell>
          <cell r="BJ241">
            <v>0</v>
          </cell>
          <cell r="BK241">
            <v>30</v>
          </cell>
          <cell r="BP241" t="str">
            <v/>
          </cell>
          <cell r="BQ241" t="str">
            <v/>
          </cell>
          <cell r="BR241" t="str">
            <v/>
          </cell>
          <cell r="BS241" t="str">
            <v/>
          </cell>
        </row>
        <row r="242">
          <cell r="B242" t="str">
            <v>INV--9900-224</v>
          </cell>
          <cell r="C242" t="str">
            <v/>
          </cell>
          <cell r="D242" t="e">
            <v>#VALUE!</v>
          </cell>
          <cell r="E242" t="str">
            <v>Jan1900</v>
          </cell>
          <cell r="F242">
            <v>31</v>
          </cell>
          <cell r="G242" t="e">
            <v>#VALUE!</v>
          </cell>
          <cell r="H242">
            <v>1</v>
          </cell>
          <cell r="I242">
            <v>1</v>
          </cell>
          <cell r="J242">
            <v>0</v>
          </cell>
          <cell r="K242" t="str">
            <v>0Jan1900</v>
          </cell>
          <cell r="L242" t="str">
            <v>Buildings</v>
          </cell>
          <cell r="M242" t="str">
            <v>BuildingsJan1900</v>
          </cell>
          <cell r="N242">
            <v>0</v>
          </cell>
          <cell r="O242">
            <v>0</v>
          </cell>
          <cell r="Q242" t="e">
            <v>#VALUE!</v>
          </cell>
          <cell r="R242">
            <v>0</v>
          </cell>
          <cell r="S242" t="str">
            <v>Jan1900</v>
          </cell>
          <cell r="T242" t="str">
            <v>Jan1900</v>
          </cell>
          <cell r="U242" t="e">
            <v>#VALUE!</v>
          </cell>
          <cell r="V242" t="e">
            <v>#VALUE!</v>
          </cell>
          <cell r="W242" t="str">
            <v/>
          </cell>
          <cell r="X242" t="str">
            <v>INV-9900</v>
          </cell>
          <cell r="Y242" t="str">
            <v>Jan</v>
          </cell>
          <cell r="Z242">
            <v>1900</v>
          </cell>
          <cell r="AA242" t="str">
            <v>9900</v>
          </cell>
          <cell r="AB242" t="str">
            <v>9900-224</v>
          </cell>
          <cell r="AC242">
            <v>224</v>
          </cell>
          <cell r="AD242">
            <v>0</v>
          </cell>
          <cell r="AE242">
            <v>0</v>
          </cell>
          <cell r="AF242" t="str">
            <v/>
          </cell>
          <cell r="AG242" t="str">
            <v/>
          </cell>
          <cell r="AH242">
            <v>1</v>
          </cell>
          <cell r="AI242">
            <v>1</v>
          </cell>
          <cell r="AK242" t="str">
            <v>INV--9900-224</v>
          </cell>
          <cell r="AL242">
            <v>0</v>
          </cell>
          <cell r="AN242" t="str">
            <v>INVOICE</v>
          </cell>
          <cell r="AR242" t="str">
            <v/>
          </cell>
          <cell r="AS242" t="str">
            <v/>
          </cell>
          <cell r="AT242" t="str">
            <v/>
          </cell>
          <cell r="AU242" t="str">
            <v/>
          </cell>
          <cell r="AV242" t="str">
            <v/>
          </cell>
          <cell r="AW242" t="str">
            <v/>
          </cell>
          <cell r="AX242" t="str">
            <v/>
          </cell>
          <cell r="AY242" t="str">
            <v/>
          </cell>
          <cell r="AZ242" t="str">
            <v/>
          </cell>
          <cell r="BB242" t="str">
            <v/>
          </cell>
          <cell r="BC242" t="str">
            <v/>
          </cell>
          <cell r="BF242" t="str">
            <v/>
          </cell>
          <cell r="BI242">
            <v>0</v>
          </cell>
          <cell r="BJ242">
            <v>0</v>
          </cell>
          <cell r="BK242">
            <v>30</v>
          </cell>
          <cell r="BP242" t="str">
            <v/>
          </cell>
          <cell r="BQ242" t="str">
            <v/>
          </cell>
          <cell r="BR242" t="str">
            <v/>
          </cell>
          <cell r="BS242" t="str">
            <v/>
          </cell>
        </row>
        <row r="243">
          <cell r="B243" t="str">
            <v>INV--9900-225</v>
          </cell>
          <cell r="C243" t="str">
            <v/>
          </cell>
          <cell r="D243" t="e">
            <v>#VALUE!</v>
          </cell>
          <cell r="E243" t="str">
            <v>Jan1900</v>
          </cell>
          <cell r="F243">
            <v>31</v>
          </cell>
          <cell r="G243" t="e">
            <v>#VALUE!</v>
          </cell>
          <cell r="H243">
            <v>1</v>
          </cell>
          <cell r="I243">
            <v>1</v>
          </cell>
          <cell r="J243">
            <v>0</v>
          </cell>
          <cell r="K243" t="str">
            <v>0Jan1900</v>
          </cell>
          <cell r="L243" t="str">
            <v>Buildings</v>
          </cell>
          <cell r="M243" t="str">
            <v>BuildingsJan1900</v>
          </cell>
          <cell r="N243">
            <v>0</v>
          </cell>
          <cell r="O243">
            <v>0</v>
          </cell>
          <cell r="Q243" t="e">
            <v>#VALUE!</v>
          </cell>
          <cell r="R243">
            <v>0</v>
          </cell>
          <cell r="S243" t="str">
            <v>Jan1900</v>
          </cell>
          <cell r="T243" t="str">
            <v>Jan1900</v>
          </cell>
          <cell r="U243" t="e">
            <v>#VALUE!</v>
          </cell>
          <cell r="V243" t="e">
            <v>#VALUE!</v>
          </cell>
          <cell r="W243" t="str">
            <v/>
          </cell>
          <cell r="X243" t="str">
            <v>INV-9900</v>
          </cell>
          <cell r="Y243" t="str">
            <v>Jan</v>
          </cell>
          <cell r="Z243">
            <v>1900</v>
          </cell>
          <cell r="AA243" t="str">
            <v>9900</v>
          </cell>
          <cell r="AB243" t="str">
            <v>9900-225</v>
          </cell>
          <cell r="AC243">
            <v>225</v>
          </cell>
          <cell r="AD243">
            <v>0</v>
          </cell>
          <cell r="AE243">
            <v>0</v>
          </cell>
          <cell r="AF243" t="str">
            <v/>
          </cell>
          <cell r="AG243" t="str">
            <v/>
          </cell>
          <cell r="AH243">
            <v>1</v>
          </cell>
          <cell r="AI243">
            <v>1</v>
          </cell>
          <cell r="AK243" t="str">
            <v>INV--9900-225</v>
          </cell>
          <cell r="AL243">
            <v>0</v>
          </cell>
          <cell r="AN243" t="str">
            <v>INVOICE</v>
          </cell>
          <cell r="AR243" t="str">
            <v/>
          </cell>
          <cell r="AS243" t="str">
            <v/>
          </cell>
          <cell r="AT243" t="str">
            <v/>
          </cell>
          <cell r="AU243" t="str">
            <v/>
          </cell>
          <cell r="AV243" t="str">
            <v/>
          </cell>
          <cell r="AW243" t="str">
            <v/>
          </cell>
          <cell r="AX243" t="str">
            <v/>
          </cell>
          <cell r="AY243" t="str">
            <v/>
          </cell>
          <cell r="AZ243" t="str">
            <v/>
          </cell>
          <cell r="BB243" t="str">
            <v/>
          </cell>
          <cell r="BC243" t="str">
            <v/>
          </cell>
          <cell r="BF243" t="str">
            <v/>
          </cell>
          <cell r="BI243">
            <v>0</v>
          </cell>
          <cell r="BJ243">
            <v>0</v>
          </cell>
          <cell r="BK243">
            <v>30</v>
          </cell>
          <cell r="BP243" t="str">
            <v/>
          </cell>
          <cell r="BQ243" t="str">
            <v/>
          </cell>
          <cell r="BR243" t="str">
            <v/>
          </cell>
          <cell r="BS243" t="str">
            <v/>
          </cell>
        </row>
        <row r="244">
          <cell r="B244" t="str">
            <v>INV--9900-226</v>
          </cell>
          <cell r="C244" t="str">
            <v/>
          </cell>
          <cell r="D244" t="e">
            <v>#VALUE!</v>
          </cell>
          <cell r="E244" t="str">
            <v>Jan1900</v>
          </cell>
          <cell r="F244">
            <v>31</v>
          </cell>
          <cell r="G244" t="e">
            <v>#VALUE!</v>
          </cell>
          <cell r="H244">
            <v>1</v>
          </cell>
          <cell r="I244">
            <v>1</v>
          </cell>
          <cell r="J244">
            <v>0</v>
          </cell>
          <cell r="K244" t="str">
            <v>0Jan1900</v>
          </cell>
          <cell r="L244" t="str">
            <v>Buildings</v>
          </cell>
          <cell r="M244" t="str">
            <v>BuildingsJan1900</v>
          </cell>
          <cell r="N244">
            <v>0</v>
          </cell>
          <cell r="O244">
            <v>0</v>
          </cell>
          <cell r="Q244" t="e">
            <v>#VALUE!</v>
          </cell>
          <cell r="R244">
            <v>0</v>
          </cell>
          <cell r="S244" t="str">
            <v>Jan1900</v>
          </cell>
          <cell r="T244" t="str">
            <v>Jan1900</v>
          </cell>
          <cell r="U244" t="e">
            <v>#VALUE!</v>
          </cell>
          <cell r="V244" t="e">
            <v>#VALUE!</v>
          </cell>
          <cell r="W244" t="str">
            <v/>
          </cell>
          <cell r="X244" t="str">
            <v>INV-9900</v>
          </cell>
          <cell r="Y244" t="str">
            <v>Jan</v>
          </cell>
          <cell r="Z244">
            <v>1900</v>
          </cell>
          <cell r="AA244" t="str">
            <v>9900</v>
          </cell>
          <cell r="AB244" t="str">
            <v>9900-226</v>
          </cell>
          <cell r="AC244">
            <v>226</v>
          </cell>
          <cell r="AD244">
            <v>0</v>
          </cell>
          <cell r="AE244">
            <v>0</v>
          </cell>
          <cell r="AF244" t="str">
            <v/>
          </cell>
          <cell r="AG244" t="str">
            <v/>
          </cell>
          <cell r="AH244">
            <v>1</v>
          </cell>
          <cell r="AI244">
            <v>1</v>
          </cell>
          <cell r="AK244" t="str">
            <v>INV--9900-226</v>
          </cell>
          <cell r="AL244">
            <v>0</v>
          </cell>
          <cell r="AN244" t="str">
            <v>INVOICE</v>
          </cell>
          <cell r="AR244" t="str">
            <v/>
          </cell>
          <cell r="AS244" t="str">
            <v/>
          </cell>
          <cell r="AT244" t="str">
            <v/>
          </cell>
          <cell r="AU244" t="str">
            <v/>
          </cell>
          <cell r="AV244" t="str">
            <v/>
          </cell>
          <cell r="AW244" t="str">
            <v/>
          </cell>
          <cell r="AX244" t="str">
            <v/>
          </cell>
          <cell r="AY244" t="str">
            <v/>
          </cell>
          <cell r="AZ244" t="str">
            <v/>
          </cell>
          <cell r="BB244" t="str">
            <v/>
          </cell>
          <cell r="BC244" t="str">
            <v/>
          </cell>
          <cell r="BF244" t="str">
            <v/>
          </cell>
          <cell r="BI244">
            <v>0</v>
          </cell>
          <cell r="BJ244">
            <v>0</v>
          </cell>
          <cell r="BK244">
            <v>30</v>
          </cell>
          <cell r="BP244" t="str">
            <v/>
          </cell>
          <cell r="BQ244" t="str">
            <v/>
          </cell>
          <cell r="BR244" t="str">
            <v/>
          </cell>
          <cell r="BS244" t="str">
            <v/>
          </cell>
        </row>
        <row r="245">
          <cell r="B245" t="str">
            <v>INV--9900-227</v>
          </cell>
          <cell r="C245" t="str">
            <v/>
          </cell>
          <cell r="D245" t="e">
            <v>#VALUE!</v>
          </cell>
          <cell r="E245" t="str">
            <v>Jan1900</v>
          </cell>
          <cell r="F245">
            <v>31</v>
          </cell>
          <cell r="G245" t="e">
            <v>#VALUE!</v>
          </cell>
          <cell r="H245">
            <v>1</v>
          </cell>
          <cell r="I245">
            <v>1</v>
          </cell>
          <cell r="J245">
            <v>0</v>
          </cell>
          <cell r="K245" t="str">
            <v>0Jan1900</v>
          </cell>
          <cell r="L245" t="str">
            <v>Buildings</v>
          </cell>
          <cell r="M245" t="str">
            <v>BuildingsJan1900</v>
          </cell>
          <cell r="N245">
            <v>0</v>
          </cell>
          <cell r="O245">
            <v>0</v>
          </cell>
          <cell r="Q245" t="e">
            <v>#VALUE!</v>
          </cell>
          <cell r="R245">
            <v>0</v>
          </cell>
          <cell r="S245" t="str">
            <v>Jan1900</v>
          </cell>
          <cell r="T245" t="str">
            <v>Jan1900</v>
          </cell>
          <cell r="U245" t="e">
            <v>#VALUE!</v>
          </cell>
          <cell r="V245" t="e">
            <v>#VALUE!</v>
          </cell>
          <cell r="W245" t="str">
            <v/>
          </cell>
          <cell r="X245" t="str">
            <v>INV-9900</v>
          </cell>
          <cell r="Y245" t="str">
            <v>Jan</v>
          </cell>
          <cell r="Z245">
            <v>1900</v>
          </cell>
          <cell r="AA245" t="str">
            <v>9900</v>
          </cell>
          <cell r="AB245" t="str">
            <v>9900-227</v>
          </cell>
          <cell r="AC245">
            <v>227</v>
          </cell>
          <cell r="AD245">
            <v>0</v>
          </cell>
          <cell r="AE245">
            <v>0</v>
          </cell>
          <cell r="AF245" t="str">
            <v/>
          </cell>
          <cell r="AG245" t="str">
            <v/>
          </cell>
          <cell r="AH245">
            <v>1</v>
          </cell>
          <cell r="AI245">
            <v>1</v>
          </cell>
          <cell r="AK245" t="str">
            <v>INV--9900-227</v>
          </cell>
          <cell r="AL245">
            <v>0</v>
          </cell>
          <cell r="AN245" t="str">
            <v>INVOICE</v>
          </cell>
          <cell r="AR245" t="str">
            <v/>
          </cell>
          <cell r="AS245" t="str">
            <v/>
          </cell>
          <cell r="AT245" t="str">
            <v/>
          </cell>
          <cell r="AU245" t="str">
            <v/>
          </cell>
          <cell r="AV245" t="str">
            <v/>
          </cell>
          <cell r="AW245" t="str">
            <v/>
          </cell>
          <cell r="AX245" t="str">
            <v/>
          </cell>
          <cell r="AY245" t="str">
            <v/>
          </cell>
          <cell r="AZ245" t="str">
            <v/>
          </cell>
          <cell r="BB245" t="str">
            <v/>
          </cell>
          <cell r="BC245" t="str">
            <v/>
          </cell>
          <cell r="BF245" t="str">
            <v/>
          </cell>
          <cell r="BI245">
            <v>0</v>
          </cell>
          <cell r="BJ245">
            <v>0</v>
          </cell>
          <cell r="BK245">
            <v>30</v>
          </cell>
          <cell r="BP245" t="str">
            <v/>
          </cell>
          <cell r="BQ245" t="str">
            <v/>
          </cell>
          <cell r="BR245" t="str">
            <v/>
          </cell>
          <cell r="BS245" t="str">
            <v/>
          </cell>
        </row>
        <row r="246">
          <cell r="B246" t="str">
            <v>INV--9900-228</v>
          </cell>
          <cell r="C246" t="str">
            <v/>
          </cell>
          <cell r="D246" t="e">
            <v>#VALUE!</v>
          </cell>
          <cell r="E246" t="str">
            <v>Jan1900</v>
          </cell>
          <cell r="F246">
            <v>31</v>
          </cell>
          <cell r="G246" t="e">
            <v>#VALUE!</v>
          </cell>
          <cell r="H246">
            <v>1</v>
          </cell>
          <cell r="I246">
            <v>1</v>
          </cell>
          <cell r="J246">
            <v>0</v>
          </cell>
          <cell r="K246" t="str">
            <v>0Jan1900</v>
          </cell>
          <cell r="L246" t="str">
            <v>Buildings</v>
          </cell>
          <cell r="M246" t="str">
            <v>BuildingsJan1900</v>
          </cell>
          <cell r="N246">
            <v>0</v>
          </cell>
          <cell r="O246">
            <v>0</v>
          </cell>
          <cell r="Q246" t="e">
            <v>#VALUE!</v>
          </cell>
          <cell r="R246">
            <v>0</v>
          </cell>
          <cell r="S246" t="str">
            <v>Jan1900</v>
          </cell>
          <cell r="T246" t="str">
            <v>Jan1900</v>
          </cell>
          <cell r="U246" t="e">
            <v>#VALUE!</v>
          </cell>
          <cell r="V246" t="e">
            <v>#VALUE!</v>
          </cell>
          <cell r="W246" t="str">
            <v/>
          </cell>
          <cell r="X246" t="str">
            <v>INV-9900</v>
          </cell>
          <cell r="Y246" t="str">
            <v>Jan</v>
          </cell>
          <cell r="Z246">
            <v>1900</v>
          </cell>
          <cell r="AA246" t="str">
            <v>9900</v>
          </cell>
          <cell r="AB246" t="str">
            <v>9900-228</v>
          </cell>
          <cell r="AC246">
            <v>228</v>
          </cell>
          <cell r="AD246">
            <v>0</v>
          </cell>
          <cell r="AE246">
            <v>0</v>
          </cell>
          <cell r="AF246" t="str">
            <v/>
          </cell>
          <cell r="AG246" t="str">
            <v/>
          </cell>
          <cell r="AH246">
            <v>1</v>
          </cell>
          <cell r="AI246">
            <v>1</v>
          </cell>
          <cell r="AK246" t="str">
            <v>INV--9900-228</v>
          </cell>
          <cell r="AL246">
            <v>0</v>
          </cell>
          <cell r="AN246" t="str">
            <v>INVOICE</v>
          </cell>
          <cell r="AR246" t="str">
            <v/>
          </cell>
          <cell r="AS246" t="str">
            <v/>
          </cell>
          <cell r="AT246" t="str">
            <v/>
          </cell>
          <cell r="AU246" t="str">
            <v/>
          </cell>
          <cell r="AV246" t="str">
            <v/>
          </cell>
          <cell r="AW246" t="str">
            <v/>
          </cell>
          <cell r="AX246" t="str">
            <v/>
          </cell>
          <cell r="AY246" t="str">
            <v/>
          </cell>
          <cell r="AZ246" t="str">
            <v/>
          </cell>
          <cell r="BB246" t="str">
            <v/>
          </cell>
          <cell r="BC246" t="str">
            <v/>
          </cell>
          <cell r="BF246" t="str">
            <v/>
          </cell>
          <cell r="BI246">
            <v>0</v>
          </cell>
          <cell r="BJ246">
            <v>0</v>
          </cell>
          <cell r="BK246">
            <v>30</v>
          </cell>
          <cell r="BP246" t="str">
            <v/>
          </cell>
          <cell r="BQ246" t="str">
            <v/>
          </cell>
          <cell r="BR246" t="str">
            <v/>
          </cell>
          <cell r="BS246" t="str">
            <v/>
          </cell>
        </row>
        <row r="247">
          <cell r="B247" t="str">
            <v>INV--9900-229</v>
          </cell>
          <cell r="C247" t="str">
            <v/>
          </cell>
          <cell r="D247" t="e">
            <v>#VALUE!</v>
          </cell>
          <cell r="E247" t="str">
            <v>Jan1900</v>
          </cell>
          <cell r="F247">
            <v>31</v>
          </cell>
          <cell r="G247" t="e">
            <v>#VALUE!</v>
          </cell>
          <cell r="H247">
            <v>1</v>
          </cell>
          <cell r="I247">
            <v>1</v>
          </cell>
          <cell r="J247">
            <v>0</v>
          </cell>
          <cell r="K247" t="str">
            <v>0Jan1900</v>
          </cell>
          <cell r="L247" t="str">
            <v>Buildings</v>
          </cell>
          <cell r="M247" t="str">
            <v>BuildingsJan1900</v>
          </cell>
          <cell r="N247">
            <v>0</v>
          </cell>
          <cell r="O247">
            <v>0</v>
          </cell>
          <cell r="Q247" t="e">
            <v>#VALUE!</v>
          </cell>
          <cell r="R247">
            <v>0</v>
          </cell>
          <cell r="S247" t="str">
            <v>Jan1900</v>
          </cell>
          <cell r="T247" t="str">
            <v>Jan1900</v>
          </cell>
          <cell r="U247" t="e">
            <v>#VALUE!</v>
          </cell>
          <cell r="V247" t="e">
            <v>#VALUE!</v>
          </cell>
          <cell r="W247" t="str">
            <v/>
          </cell>
          <cell r="X247" t="str">
            <v>INV-9900</v>
          </cell>
          <cell r="Y247" t="str">
            <v>Jan</v>
          </cell>
          <cell r="Z247">
            <v>1900</v>
          </cell>
          <cell r="AA247" t="str">
            <v>9900</v>
          </cell>
          <cell r="AB247" t="str">
            <v>9900-229</v>
          </cell>
          <cell r="AC247">
            <v>229</v>
          </cell>
          <cell r="AD247">
            <v>0</v>
          </cell>
          <cell r="AE247">
            <v>0</v>
          </cell>
          <cell r="AF247" t="str">
            <v/>
          </cell>
          <cell r="AG247" t="str">
            <v/>
          </cell>
          <cell r="AH247">
            <v>1</v>
          </cell>
          <cell r="AI247">
            <v>1</v>
          </cell>
          <cell r="AK247" t="str">
            <v>INV--9900-229</v>
          </cell>
          <cell r="AL247">
            <v>0</v>
          </cell>
          <cell r="AN247" t="str">
            <v>INVOICE</v>
          </cell>
          <cell r="AR247" t="str">
            <v/>
          </cell>
          <cell r="AS247" t="str">
            <v/>
          </cell>
          <cell r="AT247" t="str">
            <v/>
          </cell>
          <cell r="AU247" t="str">
            <v/>
          </cell>
          <cell r="AV247" t="str">
            <v/>
          </cell>
          <cell r="AW247" t="str">
            <v/>
          </cell>
          <cell r="AX247" t="str">
            <v/>
          </cell>
          <cell r="AY247" t="str">
            <v/>
          </cell>
          <cell r="AZ247" t="str">
            <v/>
          </cell>
          <cell r="BB247" t="str">
            <v/>
          </cell>
          <cell r="BC247" t="str">
            <v/>
          </cell>
          <cell r="BF247" t="str">
            <v/>
          </cell>
          <cell r="BI247">
            <v>0</v>
          </cell>
          <cell r="BJ247">
            <v>0</v>
          </cell>
          <cell r="BK247">
            <v>30</v>
          </cell>
          <cell r="BP247" t="str">
            <v/>
          </cell>
          <cell r="BQ247" t="str">
            <v/>
          </cell>
          <cell r="BR247" t="str">
            <v/>
          </cell>
          <cell r="BS247" t="str">
            <v/>
          </cell>
        </row>
        <row r="248">
          <cell r="B248" t="str">
            <v>INV--9900-230</v>
          </cell>
          <cell r="C248" t="str">
            <v/>
          </cell>
          <cell r="D248" t="e">
            <v>#VALUE!</v>
          </cell>
          <cell r="E248" t="str">
            <v>Jan1900</v>
          </cell>
          <cell r="F248">
            <v>31</v>
          </cell>
          <cell r="G248" t="e">
            <v>#VALUE!</v>
          </cell>
          <cell r="H248">
            <v>1</v>
          </cell>
          <cell r="I248">
            <v>1</v>
          </cell>
          <cell r="J248">
            <v>0</v>
          </cell>
          <cell r="K248" t="str">
            <v>0Jan1900</v>
          </cell>
          <cell r="L248" t="str">
            <v>Buildings</v>
          </cell>
          <cell r="M248" t="str">
            <v>BuildingsJan1900</v>
          </cell>
          <cell r="N248">
            <v>0</v>
          </cell>
          <cell r="O248">
            <v>0</v>
          </cell>
          <cell r="Q248" t="e">
            <v>#VALUE!</v>
          </cell>
          <cell r="R248">
            <v>0</v>
          </cell>
          <cell r="S248" t="str">
            <v>Jan1900</v>
          </cell>
          <cell r="T248" t="str">
            <v>Jan1900</v>
          </cell>
          <cell r="U248" t="e">
            <v>#VALUE!</v>
          </cell>
          <cell r="V248" t="e">
            <v>#VALUE!</v>
          </cell>
          <cell r="W248" t="str">
            <v/>
          </cell>
          <cell r="X248" t="str">
            <v>INV-9900</v>
          </cell>
          <cell r="Y248" t="str">
            <v>Jan</v>
          </cell>
          <cell r="Z248">
            <v>1900</v>
          </cell>
          <cell r="AA248" t="str">
            <v>9900</v>
          </cell>
          <cell r="AB248" t="str">
            <v>9900-230</v>
          </cell>
          <cell r="AC248">
            <v>230</v>
          </cell>
          <cell r="AD248">
            <v>0</v>
          </cell>
          <cell r="AE248">
            <v>0</v>
          </cell>
          <cell r="AF248" t="str">
            <v/>
          </cell>
          <cell r="AG248" t="str">
            <v/>
          </cell>
          <cell r="AH248">
            <v>1</v>
          </cell>
          <cell r="AI248">
            <v>1</v>
          </cell>
          <cell r="AK248" t="str">
            <v>INV--9900-230</v>
          </cell>
          <cell r="AL248">
            <v>0</v>
          </cell>
          <cell r="AN248" t="str">
            <v>INVOICE</v>
          </cell>
          <cell r="AR248" t="str">
            <v/>
          </cell>
          <cell r="AS248" t="str">
            <v/>
          </cell>
          <cell r="AT248" t="str">
            <v/>
          </cell>
          <cell r="AU248" t="str">
            <v/>
          </cell>
          <cell r="AV248" t="str">
            <v/>
          </cell>
          <cell r="AW248" t="str">
            <v/>
          </cell>
          <cell r="AX248" t="str">
            <v/>
          </cell>
          <cell r="AY248" t="str">
            <v/>
          </cell>
          <cell r="AZ248" t="str">
            <v/>
          </cell>
          <cell r="BB248" t="str">
            <v/>
          </cell>
          <cell r="BC248" t="str">
            <v/>
          </cell>
          <cell r="BF248" t="str">
            <v/>
          </cell>
          <cell r="BI248">
            <v>0</v>
          </cell>
          <cell r="BJ248">
            <v>0</v>
          </cell>
          <cell r="BK248">
            <v>30</v>
          </cell>
          <cell r="BP248" t="str">
            <v/>
          </cell>
          <cell r="BQ248" t="str">
            <v/>
          </cell>
          <cell r="BR248" t="str">
            <v/>
          </cell>
          <cell r="BS248" t="str">
            <v/>
          </cell>
        </row>
        <row r="249">
          <cell r="B249" t="str">
            <v>INV--9900-231</v>
          </cell>
          <cell r="C249" t="str">
            <v/>
          </cell>
          <cell r="D249" t="e">
            <v>#VALUE!</v>
          </cell>
          <cell r="E249" t="str">
            <v>Jan1900</v>
          </cell>
          <cell r="F249">
            <v>31</v>
          </cell>
          <cell r="G249" t="e">
            <v>#VALUE!</v>
          </cell>
          <cell r="H249">
            <v>1</v>
          </cell>
          <cell r="I249">
            <v>1</v>
          </cell>
          <cell r="J249">
            <v>0</v>
          </cell>
          <cell r="K249" t="str">
            <v>0Jan1900</v>
          </cell>
          <cell r="L249" t="str">
            <v>Buildings</v>
          </cell>
          <cell r="M249" t="str">
            <v>BuildingsJan1900</v>
          </cell>
          <cell r="N249">
            <v>0</v>
          </cell>
          <cell r="O249">
            <v>0</v>
          </cell>
          <cell r="Q249" t="e">
            <v>#VALUE!</v>
          </cell>
          <cell r="R249">
            <v>0</v>
          </cell>
          <cell r="S249" t="str">
            <v>Jan1900</v>
          </cell>
          <cell r="T249" t="str">
            <v>Jan1900</v>
          </cell>
          <cell r="U249" t="e">
            <v>#VALUE!</v>
          </cell>
          <cell r="V249" t="e">
            <v>#VALUE!</v>
          </cell>
          <cell r="W249" t="str">
            <v/>
          </cell>
          <cell r="X249" t="str">
            <v>INV-9900</v>
          </cell>
          <cell r="Y249" t="str">
            <v>Jan</v>
          </cell>
          <cell r="Z249">
            <v>1900</v>
          </cell>
          <cell r="AA249" t="str">
            <v>9900</v>
          </cell>
          <cell r="AB249" t="str">
            <v>9900-231</v>
          </cell>
          <cell r="AC249">
            <v>231</v>
          </cell>
          <cell r="AD249">
            <v>0</v>
          </cell>
          <cell r="AE249">
            <v>0</v>
          </cell>
          <cell r="AF249" t="str">
            <v/>
          </cell>
          <cell r="AG249" t="str">
            <v/>
          </cell>
          <cell r="AH249">
            <v>1</v>
          </cell>
          <cell r="AI249">
            <v>1</v>
          </cell>
          <cell r="AK249" t="str">
            <v>INV--9900-231</v>
          </cell>
          <cell r="AL249">
            <v>0</v>
          </cell>
          <cell r="AN249" t="str">
            <v>INVOICE</v>
          </cell>
          <cell r="AR249" t="str">
            <v/>
          </cell>
          <cell r="AS249" t="str">
            <v/>
          </cell>
          <cell r="AT249" t="str">
            <v/>
          </cell>
          <cell r="AU249" t="str">
            <v/>
          </cell>
          <cell r="AV249" t="str">
            <v/>
          </cell>
          <cell r="AW249" t="str">
            <v/>
          </cell>
          <cell r="AX249" t="str">
            <v/>
          </cell>
          <cell r="AY249" t="str">
            <v/>
          </cell>
          <cell r="AZ249" t="str">
            <v/>
          </cell>
          <cell r="BB249" t="str">
            <v/>
          </cell>
          <cell r="BC249" t="str">
            <v/>
          </cell>
          <cell r="BF249" t="str">
            <v/>
          </cell>
          <cell r="BI249">
            <v>0</v>
          </cell>
          <cell r="BJ249">
            <v>0</v>
          </cell>
          <cell r="BK249">
            <v>30</v>
          </cell>
          <cell r="BP249" t="str">
            <v/>
          </cell>
          <cell r="BQ249" t="str">
            <v/>
          </cell>
          <cell r="BR249" t="str">
            <v/>
          </cell>
          <cell r="BS249" t="str">
            <v/>
          </cell>
        </row>
        <row r="250">
          <cell r="B250" t="str">
            <v>INV--9900-232</v>
          </cell>
          <cell r="C250" t="str">
            <v/>
          </cell>
          <cell r="D250" t="e">
            <v>#VALUE!</v>
          </cell>
          <cell r="E250" t="str">
            <v>Jan1900</v>
          </cell>
          <cell r="F250">
            <v>31</v>
          </cell>
          <cell r="G250" t="e">
            <v>#VALUE!</v>
          </cell>
          <cell r="H250">
            <v>1</v>
          </cell>
          <cell r="I250">
            <v>1</v>
          </cell>
          <cell r="J250">
            <v>0</v>
          </cell>
          <cell r="K250" t="str">
            <v>0Jan1900</v>
          </cell>
          <cell r="L250" t="str">
            <v>Buildings</v>
          </cell>
          <cell r="M250" t="str">
            <v>BuildingsJan1900</v>
          </cell>
          <cell r="N250">
            <v>0</v>
          </cell>
          <cell r="O250">
            <v>0</v>
          </cell>
          <cell r="Q250" t="e">
            <v>#VALUE!</v>
          </cell>
          <cell r="R250">
            <v>0</v>
          </cell>
          <cell r="S250" t="str">
            <v>Jan1900</v>
          </cell>
          <cell r="T250" t="str">
            <v>Jan1900</v>
          </cell>
          <cell r="U250" t="e">
            <v>#VALUE!</v>
          </cell>
          <cell r="V250" t="e">
            <v>#VALUE!</v>
          </cell>
          <cell r="W250" t="str">
            <v/>
          </cell>
          <cell r="X250" t="str">
            <v>INV-9900</v>
          </cell>
          <cell r="Y250" t="str">
            <v>Jan</v>
          </cell>
          <cell r="Z250">
            <v>1900</v>
          </cell>
          <cell r="AA250" t="str">
            <v>9900</v>
          </cell>
          <cell r="AB250" t="str">
            <v>9900-232</v>
          </cell>
          <cell r="AC250">
            <v>232</v>
          </cell>
          <cell r="AD250">
            <v>0</v>
          </cell>
          <cell r="AE250">
            <v>0</v>
          </cell>
          <cell r="AF250" t="str">
            <v/>
          </cell>
          <cell r="AG250" t="str">
            <v/>
          </cell>
          <cell r="AH250">
            <v>1</v>
          </cell>
          <cell r="AI250">
            <v>1</v>
          </cell>
          <cell r="AK250" t="str">
            <v>INV--9900-232</v>
          </cell>
          <cell r="AL250">
            <v>0</v>
          </cell>
          <cell r="AN250" t="str">
            <v>INVOICE</v>
          </cell>
          <cell r="AR250" t="str">
            <v/>
          </cell>
          <cell r="AS250" t="str">
            <v/>
          </cell>
          <cell r="AT250" t="str">
            <v/>
          </cell>
          <cell r="AU250" t="str">
            <v/>
          </cell>
          <cell r="AV250" t="str">
            <v/>
          </cell>
          <cell r="AW250" t="str">
            <v/>
          </cell>
          <cell r="AX250" t="str">
            <v/>
          </cell>
          <cell r="AY250" t="str">
            <v/>
          </cell>
          <cell r="AZ250" t="str">
            <v/>
          </cell>
          <cell r="BB250" t="str">
            <v/>
          </cell>
          <cell r="BC250" t="str">
            <v/>
          </cell>
          <cell r="BF250" t="str">
            <v/>
          </cell>
          <cell r="BI250">
            <v>0</v>
          </cell>
          <cell r="BJ250">
            <v>0</v>
          </cell>
          <cell r="BK250">
            <v>30</v>
          </cell>
          <cell r="BP250" t="str">
            <v/>
          </cell>
          <cell r="BQ250" t="str">
            <v/>
          </cell>
          <cell r="BR250" t="str">
            <v/>
          </cell>
          <cell r="BS250" t="str">
            <v/>
          </cell>
        </row>
        <row r="251">
          <cell r="B251" t="str">
            <v>INV--9900-233</v>
          </cell>
          <cell r="C251" t="str">
            <v/>
          </cell>
          <cell r="D251" t="e">
            <v>#VALUE!</v>
          </cell>
          <cell r="E251" t="str">
            <v>Jan1900</v>
          </cell>
          <cell r="F251">
            <v>31</v>
          </cell>
          <cell r="G251" t="e">
            <v>#VALUE!</v>
          </cell>
          <cell r="H251">
            <v>1</v>
          </cell>
          <cell r="I251">
            <v>1</v>
          </cell>
          <cell r="J251">
            <v>0</v>
          </cell>
          <cell r="K251" t="str">
            <v>0Jan1900</v>
          </cell>
          <cell r="L251" t="str">
            <v>Buildings</v>
          </cell>
          <cell r="M251" t="str">
            <v>BuildingsJan1900</v>
          </cell>
          <cell r="N251">
            <v>0</v>
          </cell>
          <cell r="O251">
            <v>0</v>
          </cell>
          <cell r="Q251" t="e">
            <v>#VALUE!</v>
          </cell>
          <cell r="R251">
            <v>0</v>
          </cell>
          <cell r="S251" t="str">
            <v>Jan1900</v>
          </cell>
          <cell r="T251" t="str">
            <v>Jan1900</v>
          </cell>
          <cell r="U251" t="e">
            <v>#VALUE!</v>
          </cell>
          <cell r="V251" t="e">
            <v>#VALUE!</v>
          </cell>
          <cell r="W251" t="str">
            <v/>
          </cell>
          <cell r="X251" t="str">
            <v>INV-9900</v>
          </cell>
          <cell r="Y251" t="str">
            <v>Jan</v>
          </cell>
          <cell r="Z251">
            <v>1900</v>
          </cell>
          <cell r="AA251" t="str">
            <v>9900</v>
          </cell>
          <cell r="AB251" t="str">
            <v>9900-233</v>
          </cell>
          <cell r="AC251">
            <v>233</v>
          </cell>
          <cell r="AD251">
            <v>0</v>
          </cell>
          <cell r="AE251">
            <v>0</v>
          </cell>
          <cell r="AF251" t="str">
            <v/>
          </cell>
          <cell r="AG251" t="str">
            <v/>
          </cell>
          <cell r="AH251">
            <v>1</v>
          </cell>
          <cell r="AI251">
            <v>1</v>
          </cell>
          <cell r="AK251" t="str">
            <v>INV--9900-233</v>
          </cell>
          <cell r="AL251">
            <v>0</v>
          </cell>
          <cell r="AN251" t="str">
            <v>INVOICE</v>
          </cell>
          <cell r="AR251" t="str">
            <v/>
          </cell>
          <cell r="AS251" t="str">
            <v/>
          </cell>
          <cell r="AT251" t="str">
            <v/>
          </cell>
          <cell r="AU251" t="str">
            <v/>
          </cell>
          <cell r="AV251" t="str">
            <v/>
          </cell>
          <cell r="AW251" t="str">
            <v/>
          </cell>
          <cell r="AX251" t="str">
            <v/>
          </cell>
          <cell r="AY251" t="str">
            <v/>
          </cell>
          <cell r="AZ251" t="str">
            <v/>
          </cell>
          <cell r="BB251" t="str">
            <v/>
          </cell>
          <cell r="BC251" t="str">
            <v/>
          </cell>
          <cell r="BF251" t="str">
            <v/>
          </cell>
          <cell r="BI251">
            <v>0</v>
          </cell>
          <cell r="BJ251">
            <v>0</v>
          </cell>
          <cell r="BK251">
            <v>30</v>
          </cell>
          <cell r="BP251" t="str">
            <v/>
          </cell>
          <cell r="BQ251" t="str">
            <v/>
          </cell>
          <cell r="BR251" t="str">
            <v/>
          </cell>
          <cell r="BS251" t="str">
            <v/>
          </cell>
        </row>
        <row r="252">
          <cell r="B252" t="str">
            <v>INV--9900-234</v>
          </cell>
          <cell r="C252" t="str">
            <v/>
          </cell>
          <cell r="D252" t="e">
            <v>#VALUE!</v>
          </cell>
          <cell r="E252" t="str">
            <v>Jan1900</v>
          </cell>
          <cell r="F252">
            <v>31</v>
          </cell>
          <cell r="G252" t="e">
            <v>#VALUE!</v>
          </cell>
          <cell r="H252">
            <v>1</v>
          </cell>
          <cell r="I252">
            <v>1</v>
          </cell>
          <cell r="J252">
            <v>0</v>
          </cell>
          <cell r="K252" t="str">
            <v>0Jan1900</v>
          </cell>
          <cell r="L252" t="str">
            <v>Buildings</v>
          </cell>
          <cell r="M252" t="str">
            <v>BuildingsJan1900</v>
          </cell>
          <cell r="N252">
            <v>0</v>
          </cell>
          <cell r="O252">
            <v>0</v>
          </cell>
          <cell r="Q252" t="e">
            <v>#VALUE!</v>
          </cell>
          <cell r="R252">
            <v>0</v>
          </cell>
          <cell r="S252" t="str">
            <v>Jan1900</v>
          </cell>
          <cell r="T252" t="str">
            <v>Jan1900</v>
          </cell>
          <cell r="U252" t="e">
            <v>#VALUE!</v>
          </cell>
          <cell r="V252" t="e">
            <v>#VALUE!</v>
          </cell>
          <cell r="W252" t="str">
            <v/>
          </cell>
          <cell r="X252" t="str">
            <v>INV-9900</v>
          </cell>
          <cell r="Y252" t="str">
            <v>Jan</v>
          </cell>
          <cell r="Z252">
            <v>1900</v>
          </cell>
          <cell r="AA252" t="str">
            <v>9900</v>
          </cell>
          <cell r="AB252" t="str">
            <v>9900-234</v>
          </cell>
          <cell r="AC252">
            <v>234</v>
          </cell>
          <cell r="AD252">
            <v>0</v>
          </cell>
          <cell r="AE252">
            <v>0</v>
          </cell>
          <cell r="AF252" t="str">
            <v/>
          </cell>
          <cell r="AG252" t="str">
            <v/>
          </cell>
          <cell r="AH252">
            <v>1</v>
          </cell>
          <cell r="AI252">
            <v>1</v>
          </cell>
          <cell r="AK252" t="str">
            <v>INV--9900-234</v>
          </cell>
          <cell r="AL252">
            <v>0</v>
          </cell>
          <cell r="AN252" t="str">
            <v>INVOICE</v>
          </cell>
          <cell r="AR252" t="str">
            <v/>
          </cell>
          <cell r="AS252" t="str">
            <v/>
          </cell>
          <cell r="AT252" t="str">
            <v/>
          </cell>
          <cell r="AU252" t="str">
            <v/>
          </cell>
          <cell r="AV252" t="str">
            <v/>
          </cell>
          <cell r="AW252" t="str">
            <v/>
          </cell>
          <cell r="AX252" t="str">
            <v/>
          </cell>
          <cell r="AY252" t="str">
            <v/>
          </cell>
          <cell r="AZ252" t="str">
            <v/>
          </cell>
          <cell r="BB252" t="str">
            <v/>
          </cell>
          <cell r="BC252" t="str">
            <v/>
          </cell>
          <cell r="BF252" t="str">
            <v/>
          </cell>
          <cell r="BI252">
            <v>0</v>
          </cell>
          <cell r="BJ252">
            <v>0</v>
          </cell>
          <cell r="BK252">
            <v>30</v>
          </cell>
          <cell r="BP252" t="str">
            <v/>
          </cell>
          <cell r="BQ252" t="str">
            <v/>
          </cell>
          <cell r="BR252" t="str">
            <v/>
          </cell>
          <cell r="BS252" t="str">
            <v/>
          </cell>
        </row>
        <row r="253">
          <cell r="B253" t="str">
            <v>INV--9900-235</v>
          </cell>
          <cell r="C253" t="str">
            <v/>
          </cell>
          <cell r="D253" t="e">
            <v>#VALUE!</v>
          </cell>
          <cell r="E253" t="str">
            <v>Jan1900</v>
          </cell>
          <cell r="F253">
            <v>31</v>
          </cell>
          <cell r="G253" t="e">
            <v>#VALUE!</v>
          </cell>
          <cell r="H253">
            <v>1</v>
          </cell>
          <cell r="I253">
            <v>1</v>
          </cell>
          <cell r="J253">
            <v>0</v>
          </cell>
          <cell r="K253" t="str">
            <v>0Jan1900</v>
          </cell>
          <cell r="L253" t="str">
            <v>Buildings</v>
          </cell>
          <cell r="M253" t="str">
            <v>BuildingsJan1900</v>
          </cell>
          <cell r="N253">
            <v>0</v>
          </cell>
          <cell r="O253">
            <v>0</v>
          </cell>
          <cell r="Q253" t="e">
            <v>#VALUE!</v>
          </cell>
          <cell r="R253">
            <v>0</v>
          </cell>
          <cell r="S253" t="str">
            <v>Jan1900</v>
          </cell>
          <cell r="T253" t="str">
            <v>Jan1900</v>
          </cell>
          <cell r="U253" t="e">
            <v>#VALUE!</v>
          </cell>
          <cell r="V253" t="e">
            <v>#VALUE!</v>
          </cell>
          <cell r="W253" t="str">
            <v/>
          </cell>
          <cell r="X253" t="str">
            <v>INV-9900</v>
          </cell>
          <cell r="Y253" t="str">
            <v>Jan</v>
          </cell>
          <cell r="Z253">
            <v>1900</v>
          </cell>
          <cell r="AA253" t="str">
            <v>9900</v>
          </cell>
          <cell r="AB253" t="str">
            <v>9900-235</v>
          </cell>
          <cell r="AC253">
            <v>235</v>
          </cell>
          <cell r="AD253">
            <v>0</v>
          </cell>
          <cell r="AE253">
            <v>0</v>
          </cell>
          <cell r="AF253" t="str">
            <v/>
          </cell>
          <cell r="AG253" t="str">
            <v/>
          </cell>
          <cell r="AH253">
            <v>1</v>
          </cell>
          <cell r="AI253">
            <v>1</v>
          </cell>
          <cell r="AK253" t="str">
            <v>INV--9900-235</v>
          </cell>
          <cell r="AL253">
            <v>0</v>
          </cell>
          <cell r="AN253" t="str">
            <v>INVOICE</v>
          </cell>
          <cell r="AR253" t="str">
            <v/>
          </cell>
          <cell r="AS253" t="str">
            <v/>
          </cell>
          <cell r="AT253" t="str">
            <v/>
          </cell>
          <cell r="AU253" t="str">
            <v/>
          </cell>
          <cell r="AV253" t="str">
            <v/>
          </cell>
          <cell r="AW253" t="str">
            <v/>
          </cell>
          <cell r="AX253" t="str">
            <v/>
          </cell>
          <cell r="AY253" t="str">
            <v/>
          </cell>
          <cell r="AZ253" t="str">
            <v/>
          </cell>
          <cell r="BB253" t="str">
            <v/>
          </cell>
          <cell r="BC253" t="str">
            <v/>
          </cell>
          <cell r="BF253" t="str">
            <v/>
          </cell>
          <cell r="BI253">
            <v>0</v>
          </cell>
          <cell r="BJ253">
            <v>0</v>
          </cell>
          <cell r="BK253">
            <v>30</v>
          </cell>
          <cell r="BP253" t="str">
            <v/>
          </cell>
          <cell r="BQ253" t="str">
            <v/>
          </cell>
          <cell r="BR253" t="str">
            <v/>
          </cell>
          <cell r="BS253" t="str">
            <v/>
          </cell>
        </row>
        <row r="254">
          <cell r="B254" t="str">
            <v>INV--9900-236</v>
          </cell>
          <cell r="C254" t="str">
            <v/>
          </cell>
          <cell r="D254" t="e">
            <v>#VALUE!</v>
          </cell>
          <cell r="E254" t="str">
            <v>Jan1900</v>
          </cell>
          <cell r="F254">
            <v>31</v>
          </cell>
          <cell r="G254" t="e">
            <v>#VALUE!</v>
          </cell>
          <cell r="H254">
            <v>1</v>
          </cell>
          <cell r="I254">
            <v>1</v>
          </cell>
          <cell r="J254">
            <v>0</v>
          </cell>
          <cell r="K254" t="str">
            <v>0Jan1900</v>
          </cell>
          <cell r="L254" t="str">
            <v>Buildings</v>
          </cell>
          <cell r="M254" t="str">
            <v>BuildingsJan1900</v>
          </cell>
          <cell r="N254">
            <v>0</v>
          </cell>
          <cell r="O254">
            <v>0</v>
          </cell>
          <cell r="Q254" t="e">
            <v>#VALUE!</v>
          </cell>
          <cell r="R254">
            <v>0</v>
          </cell>
          <cell r="S254" t="str">
            <v>Jan1900</v>
          </cell>
          <cell r="T254" t="str">
            <v>Jan1900</v>
          </cell>
          <cell r="U254" t="e">
            <v>#VALUE!</v>
          </cell>
          <cell r="V254" t="e">
            <v>#VALUE!</v>
          </cell>
          <cell r="W254" t="str">
            <v/>
          </cell>
          <cell r="X254" t="str">
            <v>INV-9900</v>
          </cell>
          <cell r="Y254" t="str">
            <v>Jan</v>
          </cell>
          <cell r="Z254">
            <v>1900</v>
          </cell>
          <cell r="AA254" t="str">
            <v>9900</v>
          </cell>
          <cell r="AB254" t="str">
            <v>9900-236</v>
          </cell>
          <cell r="AC254">
            <v>236</v>
          </cell>
          <cell r="AD254">
            <v>0</v>
          </cell>
          <cell r="AE254">
            <v>0</v>
          </cell>
          <cell r="AF254" t="str">
            <v/>
          </cell>
          <cell r="AG254" t="str">
            <v/>
          </cell>
          <cell r="AH254">
            <v>1</v>
          </cell>
          <cell r="AI254">
            <v>1</v>
          </cell>
          <cell r="AK254" t="str">
            <v>INV--9900-236</v>
          </cell>
          <cell r="AL254">
            <v>0</v>
          </cell>
          <cell r="AN254" t="str">
            <v>INVOICE</v>
          </cell>
          <cell r="AR254" t="str">
            <v/>
          </cell>
          <cell r="AS254" t="str">
            <v/>
          </cell>
          <cell r="AT254" t="str">
            <v/>
          </cell>
          <cell r="AU254" t="str">
            <v/>
          </cell>
          <cell r="AV254" t="str">
            <v/>
          </cell>
          <cell r="AW254" t="str">
            <v/>
          </cell>
          <cell r="AX254" t="str">
            <v/>
          </cell>
          <cell r="AY254" t="str">
            <v/>
          </cell>
          <cell r="AZ254" t="str">
            <v/>
          </cell>
          <cell r="BB254" t="str">
            <v/>
          </cell>
          <cell r="BC254" t="str">
            <v/>
          </cell>
          <cell r="BF254" t="str">
            <v/>
          </cell>
          <cell r="BI254">
            <v>0</v>
          </cell>
          <cell r="BJ254">
            <v>0</v>
          </cell>
          <cell r="BK254">
            <v>30</v>
          </cell>
          <cell r="BP254" t="str">
            <v/>
          </cell>
          <cell r="BQ254" t="str">
            <v/>
          </cell>
          <cell r="BR254" t="str">
            <v/>
          </cell>
          <cell r="BS254" t="str">
            <v/>
          </cell>
        </row>
        <row r="255">
          <cell r="B255" t="str">
            <v>INV--9900-237</v>
          </cell>
          <cell r="C255" t="str">
            <v/>
          </cell>
          <cell r="D255" t="e">
            <v>#VALUE!</v>
          </cell>
          <cell r="E255" t="str">
            <v>Jan1900</v>
          </cell>
          <cell r="F255">
            <v>31</v>
          </cell>
          <cell r="G255" t="e">
            <v>#VALUE!</v>
          </cell>
          <cell r="H255">
            <v>1</v>
          </cell>
          <cell r="I255">
            <v>1</v>
          </cell>
          <cell r="J255">
            <v>0</v>
          </cell>
          <cell r="K255" t="str">
            <v>0Jan1900</v>
          </cell>
          <cell r="L255" t="str">
            <v>Buildings</v>
          </cell>
          <cell r="M255" t="str">
            <v>BuildingsJan1900</v>
          </cell>
          <cell r="N255">
            <v>0</v>
          </cell>
          <cell r="O255">
            <v>0</v>
          </cell>
          <cell r="Q255" t="e">
            <v>#VALUE!</v>
          </cell>
          <cell r="R255">
            <v>0</v>
          </cell>
          <cell r="S255" t="str">
            <v>Jan1900</v>
          </cell>
          <cell r="T255" t="str">
            <v>Jan1900</v>
          </cell>
          <cell r="U255" t="e">
            <v>#VALUE!</v>
          </cell>
          <cell r="V255" t="e">
            <v>#VALUE!</v>
          </cell>
          <cell r="W255" t="str">
            <v/>
          </cell>
          <cell r="X255" t="str">
            <v>INV-9900</v>
          </cell>
          <cell r="Y255" t="str">
            <v>Jan</v>
          </cell>
          <cell r="Z255">
            <v>1900</v>
          </cell>
          <cell r="AA255" t="str">
            <v>9900</v>
          </cell>
          <cell r="AB255" t="str">
            <v>9900-237</v>
          </cell>
          <cell r="AC255">
            <v>237</v>
          </cell>
          <cell r="AD255">
            <v>0</v>
          </cell>
          <cell r="AE255">
            <v>0</v>
          </cell>
          <cell r="AF255" t="str">
            <v/>
          </cell>
          <cell r="AG255" t="str">
            <v/>
          </cell>
          <cell r="AH255">
            <v>1</v>
          </cell>
          <cell r="AI255">
            <v>1</v>
          </cell>
          <cell r="AK255" t="str">
            <v>INV--9900-237</v>
          </cell>
          <cell r="AL255">
            <v>0</v>
          </cell>
          <cell r="AN255" t="str">
            <v>INVOICE</v>
          </cell>
          <cell r="AR255" t="str">
            <v/>
          </cell>
          <cell r="AS255" t="str">
            <v/>
          </cell>
          <cell r="AT255" t="str">
            <v/>
          </cell>
          <cell r="AU255" t="str">
            <v/>
          </cell>
          <cell r="AV255" t="str">
            <v/>
          </cell>
          <cell r="AW255" t="str">
            <v/>
          </cell>
          <cell r="AX255" t="str">
            <v/>
          </cell>
          <cell r="AY255" t="str">
            <v/>
          </cell>
          <cell r="AZ255" t="str">
            <v/>
          </cell>
          <cell r="BB255" t="str">
            <v/>
          </cell>
          <cell r="BC255" t="str">
            <v/>
          </cell>
          <cell r="BF255" t="str">
            <v/>
          </cell>
          <cell r="BI255">
            <v>0</v>
          </cell>
          <cell r="BJ255">
            <v>0</v>
          </cell>
          <cell r="BK255">
            <v>30</v>
          </cell>
          <cell r="BP255" t="str">
            <v/>
          </cell>
          <cell r="BQ255" t="str">
            <v/>
          </cell>
          <cell r="BR255" t="str">
            <v/>
          </cell>
          <cell r="BS255" t="str">
            <v/>
          </cell>
        </row>
        <row r="256">
          <cell r="B256" t="str">
            <v>INV--9900-238</v>
          </cell>
          <cell r="C256" t="str">
            <v/>
          </cell>
          <cell r="D256" t="e">
            <v>#VALUE!</v>
          </cell>
          <cell r="E256" t="str">
            <v>Jan1900</v>
          </cell>
          <cell r="F256">
            <v>31</v>
          </cell>
          <cell r="G256" t="e">
            <v>#VALUE!</v>
          </cell>
          <cell r="H256">
            <v>1</v>
          </cell>
          <cell r="I256">
            <v>1</v>
          </cell>
          <cell r="J256">
            <v>0</v>
          </cell>
          <cell r="K256" t="str">
            <v>0Jan1900</v>
          </cell>
          <cell r="L256" t="str">
            <v>Buildings</v>
          </cell>
          <cell r="M256" t="str">
            <v>BuildingsJan1900</v>
          </cell>
          <cell r="N256">
            <v>0</v>
          </cell>
          <cell r="O256">
            <v>0</v>
          </cell>
          <cell r="Q256" t="e">
            <v>#VALUE!</v>
          </cell>
          <cell r="R256">
            <v>0</v>
          </cell>
          <cell r="S256" t="str">
            <v>Jan1900</v>
          </cell>
          <cell r="T256" t="str">
            <v>Jan1900</v>
          </cell>
          <cell r="U256" t="e">
            <v>#VALUE!</v>
          </cell>
          <cell r="V256" t="e">
            <v>#VALUE!</v>
          </cell>
          <cell r="W256" t="str">
            <v/>
          </cell>
          <cell r="X256" t="str">
            <v>INV-9900</v>
          </cell>
          <cell r="Y256" t="str">
            <v>Jan</v>
          </cell>
          <cell r="Z256">
            <v>1900</v>
          </cell>
          <cell r="AA256" t="str">
            <v>9900</v>
          </cell>
          <cell r="AB256" t="str">
            <v>9900-238</v>
          </cell>
          <cell r="AC256">
            <v>238</v>
          </cell>
          <cell r="AD256">
            <v>0</v>
          </cell>
          <cell r="AE256">
            <v>0</v>
          </cell>
          <cell r="AF256" t="str">
            <v/>
          </cell>
          <cell r="AG256" t="str">
            <v/>
          </cell>
          <cell r="AH256">
            <v>1</v>
          </cell>
          <cell r="AI256">
            <v>1</v>
          </cell>
          <cell r="AK256" t="str">
            <v>INV--9900-238</v>
          </cell>
          <cell r="AL256">
            <v>0</v>
          </cell>
          <cell r="AN256" t="str">
            <v>INVOICE</v>
          </cell>
          <cell r="AR256" t="str">
            <v/>
          </cell>
          <cell r="AS256" t="str">
            <v/>
          </cell>
          <cell r="AT256" t="str">
            <v/>
          </cell>
          <cell r="AU256" t="str">
            <v/>
          </cell>
          <cell r="AV256" t="str">
            <v/>
          </cell>
          <cell r="AW256" t="str">
            <v/>
          </cell>
          <cell r="AX256" t="str">
            <v/>
          </cell>
          <cell r="AY256" t="str">
            <v/>
          </cell>
          <cell r="AZ256" t="str">
            <v/>
          </cell>
          <cell r="BB256" t="str">
            <v/>
          </cell>
          <cell r="BC256" t="str">
            <v/>
          </cell>
          <cell r="BF256" t="str">
            <v/>
          </cell>
          <cell r="BI256">
            <v>0</v>
          </cell>
          <cell r="BJ256">
            <v>0</v>
          </cell>
          <cell r="BK256">
            <v>30</v>
          </cell>
          <cell r="BP256" t="str">
            <v/>
          </cell>
          <cell r="BQ256" t="str">
            <v/>
          </cell>
          <cell r="BR256" t="str">
            <v/>
          </cell>
          <cell r="BS256" t="str">
            <v/>
          </cell>
        </row>
        <row r="257">
          <cell r="B257" t="str">
            <v>INV--9900-239</v>
          </cell>
          <cell r="C257" t="str">
            <v/>
          </cell>
          <cell r="D257" t="e">
            <v>#VALUE!</v>
          </cell>
          <cell r="E257" t="str">
            <v>Jan1900</v>
          </cell>
          <cell r="F257">
            <v>31</v>
          </cell>
          <cell r="G257" t="e">
            <v>#VALUE!</v>
          </cell>
          <cell r="H257">
            <v>1</v>
          </cell>
          <cell r="I257">
            <v>1</v>
          </cell>
          <cell r="J257">
            <v>0</v>
          </cell>
          <cell r="K257" t="str">
            <v>0Jan1900</v>
          </cell>
          <cell r="L257" t="str">
            <v>Buildings</v>
          </cell>
          <cell r="M257" t="str">
            <v>BuildingsJan1900</v>
          </cell>
          <cell r="N257">
            <v>0</v>
          </cell>
          <cell r="O257">
            <v>0</v>
          </cell>
          <cell r="Q257" t="e">
            <v>#VALUE!</v>
          </cell>
          <cell r="R257">
            <v>0</v>
          </cell>
          <cell r="S257" t="str">
            <v>Jan1900</v>
          </cell>
          <cell r="T257" t="str">
            <v>Jan1900</v>
          </cell>
          <cell r="U257" t="e">
            <v>#VALUE!</v>
          </cell>
          <cell r="V257" t="e">
            <v>#VALUE!</v>
          </cell>
          <cell r="W257" t="str">
            <v/>
          </cell>
          <cell r="X257" t="str">
            <v>INV-9900</v>
          </cell>
          <cell r="Y257" t="str">
            <v>Jan</v>
          </cell>
          <cell r="Z257">
            <v>1900</v>
          </cell>
          <cell r="AA257" t="str">
            <v>9900</v>
          </cell>
          <cell r="AB257" t="str">
            <v>9900-239</v>
          </cell>
          <cell r="AC257">
            <v>239</v>
          </cell>
          <cell r="AD257">
            <v>0</v>
          </cell>
          <cell r="AE257">
            <v>0</v>
          </cell>
          <cell r="AF257" t="str">
            <v/>
          </cell>
          <cell r="AG257" t="str">
            <v/>
          </cell>
          <cell r="AH257">
            <v>1</v>
          </cell>
          <cell r="AI257">
            <v>1</v>
          </cell>
          <cell r="AK257" t="str">
            <v>INV--9900-239</v>
          </cell>
          <cell r="AL257">
            <v>0</v>
          </cell>
          <cell r="AN257" t="str">
            <v>INVOICE</v>
          </cell>
          <cell r="AR257" t="str">
            <v/>
          </cell>
          <cell r="AS257" t="str">
            <v/>
          </cell>
          <cell r="AT257" t="str">
            <v/>
          </cell>
          <cell r="AU257" t="str">
            <v/>
          </cell>
          <cell r="AV257" t="str">
            <v/>
          </cell>
          <cell r="AW257" t="str">
            <v/>
          </cell>
          <cell r="AX257" t="str">
            <v/>
          </cell>
          <cell r="AY257" t="str">
            <v/>
          </cell>
          <cell r="AZ257" t="str">
            <v/>
          </cell>
          <cell r="BB257" t="str">
            <v/>
          </cell>
          <cell r="BC257" t="str">
            <v/>
          </cell>
          <cell r="BF257" t="str">
            <v/>
          </cell>
          <cell r="BI257">
            <v>0</v>
          </cell>
          <cell r="BJ257">
            <v>0</v>
          </cell>
          <cell r="BK257">
            <v>30</v>
          </cell>
          <cell r="BP257" t="str">
            <v/>
          </cell>
          <cell r="BQ257" t="str">
            <v/>
          </cell>
          <cell r="BR257" t="str">
            <v/>
          </cell>
          <cell r="BS257" t="str">
            <v/>
          </cell>
        </row>
        <row r="258">
          <cell r="B258" t="str">
            <v>INV--9900-240</v>
          </cell>
          <cell r="C258" t="str">
            <v/>
          </cell>
          <cell r="D258" t="e">
            <v>#VALUE!</v>
          </cell>
          <cell r="E258" t="str">
            <v>Jan1900</v>
          </cell>
          <cell r="F258">
            <v>31</v>
          </cell>
          <cell r="G258" t="e">
            <v>#VALUE!</v>
          </cell>
          <cell r="H258">
            <v>1</v>
          </cell>
          <cell r="I258">
            <v>1</v>
          </cell>
          <cell r="J258">
            <v>0</v>
          </cell>
          <cell r="K258" t="str">
            <v>0Jan1900</v>
          </cell>
          <cell r="L258" t="str">
            <v>Buildings</v>
          </cell>
          <cell r="M258" t="str">
            <v>BuildingsJan1900</v>
          </cell>
          <cell r="N258">
            <v>0</v>
          </cell>
          <cell r="O258">
            <v>0</v>
          </cell>
          <cell r="Q258" t="e">
            <v>#VALUE!</v>
          </cell>
          <cell r="R258">
            <v>0</v>
          </cell>
          <cell r="S258" t="str">
            <v>Jan1900</v>
          </cell>
          <cell r="T258" t="str">
            <v>Jan1900</v>
          </cell>
          <cell r="U258" t="e">
            <v>#VALUE!</v>
          </cell>
          <cell r="V258" t="e">
            <v>#VALUE!</v>
          </cell>
          <cell r="W258" t="str">
            <v/>
          </cell>
          <cell r="X258" t="str">
            <v>INV-9900</v>
          </cell>
          <cell r="Y258" t="str">
            <v>Jan</v>
          </cell>
          <cell r="Z258">
            <v>1900</v>
          </cell>
          <cell r="AA258" t="str">
            <v>9900</v>
          </cell>
          <cell r="AB258" t="str">
            <v>9900-240</v>
          </cell>
          <cell r="AC258">
            <v>240</v>
          </cell>
          <cell r="AD258">
            <v>0</v>
          </cell>
          <cell r="AE258">
            <v>0</v>
          </cell>
          <cell r="AF258" t="str">
            <v/>
          </cell>
          <cell r="AG258" t="str">
            <v/>
          </cell>
          <cell r="AH258">
            <v>1</v>
          </cell>
          <cell r="AI258">
            <v>1</v>
          </cell>
          <cell r="AK258" t="str">
            <v>INV--9900-240</v>
          </cell>
          <cell r="AL258">
            <v>0</v>
          </cell>
          <cell r="AN258" t="str">
            <v>INVOICE</v>
          </cell>
          <cell r="AR258" t="str">
            <v/>
          </cell>
          <cell r="AS258" t="str">
            <v/>
          </cell>
          <cell r="AT258" t="str">
            <v/>
          </cell>
          <cell r="AU258" t="str">
            <v/>
          </cell>
          <cell r="AV258" t="str">
            <v/>
          </cell>
          <cell r="AW258" t="str">
            <v/>
          </cell>
          <cell r="AX258" t="str">
            <v/>
          </cell>
          <cell r="AY258" t="str">
            <v/>
          </cell>
          <cell r="AZ258" t="str">
            <v/>
          </cell>
          <cell r="BB258" t="str">
            <v/>
          </cell>
          <cell r="BC258" t="str">
            <v/>
          </cell>
          <cell r="BF258" t="str">
            <v/>
          </cell>
          <cell r="BI258">
            <v>0</v>
          </cell>
          <cell r="BJ258">
            <v>0</v>
          </cell>
          <cell r="BK258">
            <v>30</v>
          </cell>
          <cell r="BP258" t="str">
            <v/>
          </cell>
          <cell r="BQ258" t="str">
            <v/>
          </cell>
          <cell r="BR258" t="str">
            <v/>
          </cell>
          <cell r="BS258" t="str">
            <v/>
          </cell>
        </row>
        <row r="259">
          <cell r="B259" t="str">
            <v>INV--9900-241</v>
          </cell>
          <cell r="C259" t="str">
            <v/>
          </cell>
          <cell r="D259" t="e">
            <v>#VALUE!</v>
          </cell>
          <cell r="E259" t="str">
            <v>Jan1900</v>
          </cell>
          <cell r="F259">
            <v>31</v>
          </cell>
          <cell r="G259" t="e">
            <v>#VALUE!</v>
          </cell>
          <cell r="H259">
            <v>1</v>
          </cell>
          <cell r="I259">
            <v>1</v>
          </cell>
          <cell r="J259">
            <v>0</v>
          </cell>
          <cell r="K259" t="str">
            <v>0Jan1900</v>
          </cell>
          <cell r="L259" t="str">
            <v>Buildings</v>
          </cell>
          <cell r="M259" t="str">
            <v>BuildingsJan1900</v>
          </cell>
          <cell r="N259">
            <v>0</v>
          </cell>
          <cell r="O259">
            <v>0</v>
          </cell>
          <cell r="Q259" t="e">
            <v>#VALUE!</v>
          </cell>
          <cell r="R259">
            <v>0</v>
          </cell>
          <cell r="S259" t="str">
            <v>Jan1900</v>
          </cell>
          <cell r="T259" t="str">
            <v>Jan1900</v>
          </cell>
          <cell r="U259" t="e">
            <v>#VALUE!</v>
          </cell>
          <cell r="V259" t="e">
            <v>#VALUE!</v>
          </cell>
          <cell r="W259" t="str">
            <v/>
          </cell>
          <cell r="X259" t="str">
            <v>INV-9900</v>
          </cell>
          <cell r="Y259" t="str">
            <v>Jan</v>
          </cell>
          <cell r="Z259">
            <v>1900</v>
          </cell>
          <cell r="AA259" t="str">
            <v>9900</v>
          </cell>
          <cell r="AB259" t="str">
            <v>9900-241</v>
          </cell>
          <cell r="AC259">
            <v>241</v>
          </cell>
          <cell r="AD259">
            <v>0</v>
          </cell>
          <cell r="AE259">
            <v>0</v>
          </cell>
          <cell r="AF259" t="str">
            <v/>
          </cell>
          <cell r="AG259" t="str">
            <v/>
          </cell>
          <cell r="AH259">
            <v>1</v>
          </cell>
          <cell r="AI259">
            <v>1</v>
          </cell>
          <cell r="AK259" t="str">
            <v>INV--9900-241</v>
          </cell>
          <cell r="AL259">
            <v>0</v>
          </cell>
          <cell r="AN259" t="str">
            <v>INVOICE</v>
          </cell>
          <cell r="AR259" t="str">
            <v/>
          </cell>
          <cell r="AS259" t="str">
            <v/>
          </cell>
          <cell r="AT259" t="str">
            <v/>
          </cell>
          <cell r="AU259" t="str">
            <v/>
          </cell>
          <cell r="AV259" t="str">
            <v/>
          </cell>
          <cell r="AW259" t="str">
            <v/>
          </cell>
          <cell r="AX259" t="str">
            <v/>
          </cell>
          <cell r="AY259" t="str">
            <v/>
          </cell>
          <cell r="AZ259" t="str">
            <v/>
          </cell>
          <cell r="BB259" t="str">
            <v/>
          </cell>
          <cell r="BC259" t="str">
            <v/>
          </cell>
          <cell r="BF259" t="str">
            <v/>
          </cell>
          <cell r="BI259">
            <v>0</v>
          </cell>
          <cell r="BJ259">
            <v>0</v>
          </cell>
          <cell r="BK259">
            <v>30</v>
          </cell>
          <cell r="BP259" t="str">
            <v/>
          </cell>
          <cell r="BQ259" t="str">
            <v/>
          </cell>
          <cell r="BR259" t="str">
            <v/>
          </cell>
          <cell r="BS259" t="str">
            <v/>
          </cell>
        </row>
        <row r="260">
          <cell r="B260" t="str">
            <v>INV--9900-242</v>
          </cell>
          <cell r="C260" t="str">
            <v/>
          </cell>
          <cell r="D260" t="e">
            <v>#VALUE!</v>
          </cell>
          <cell r="E260" t="str">
            <v>Jan1900</v>
          </cell>
          <cell r="F260">
            <v>31</v>
          </cell>
          <cell r="G260" t="e">
            <v>#VALUE!</v>
          </cell>
          <cell r="H260">
            <v>1</v>
          </cell>
          <cell r="I260">
            <v>1</v>
          </cell>
          <cell r="J260">
            <v>0</v>
          </cell>
          <cell r="K260" t="str">
            <v>0Jan1900</v>
          </cell>
          <cell r="L260" t="str">
            <v>Buildings</v>
          </cell>
          <cell r="M260" t="str">
            <v>BuildingsJan1900</v>
          </cell>
          <cell r="N260">
            <v>0</v>
          </cell>
          <cell r="O260">
            <v>0</v>
          </cell>
          <cell r="Q260" t="e">
            <v>#VALUE!</v>
          </cell>
          <cell r="R260">
            <v>0</v>
          </cell>
          <cell r="S260" t="str">
            <v>Jan1900</v>
          </cell>
          <cell r="T260" t="str">
            <v>Jan1900</v>
          </cell>
          <cell r="U260" t="e">
            <v>#VALUE!</v>
          </cell>
          <cell r="V260" t="e">
            <v>#VALUE!</v>
          </cell>
          <cell r="W260" t="str">
            <v/>
          </cell>
          <cell r="X260" t="str">
            <v>INV-9900</v>
          </cell>
          <cell r="Y260" t="str">
            <v>Jan</v>
          </cell>
          <cell r="Z260">
            <v>1900</v>
          </cell>
          <cell r="AA260" t="str">
            <v>9900</v>
          </cell>
          <cell r="AB260" t="str">
            <v>9900-242</v>
          </cell>
          <cell r="AC260">
            <v>242</v>
          </cell>
          <cell r="AD260">
            <v>0</v>
          </cell>
          <cell r="AE260">
            <v>0</v>
          </cell>
          <cell r="AF260" t="str">
            <v/>
          </cell>
          <cell r="AG260" t="str">
            <v/>
          </cell>
          <cell r="AH260">
            <v>1</v>
          </cell>
          <cell r="AI260">
            <v>1</v>
          </cell>
          <cell r="AK260" t="str">
            <v>INV--9900-242</v>
          </cell>
          <cell r="AL260">
            <v>0</v>
          </cell>
          <cell r="AN260" t="str">
            <v>INVOICE</v>
          </cell>
          <cell r="AR260" t="str">
            <v/>
          </cell>
          <cell r="AS260" t="str">
            <v/>
          </cell>
          <cell r="AT260" t="str">
            <v/>
          </cell>
          <cell r="AU260" t="str">
            <v/>
          </cell>
          <cell r="AV260" t="str">
            <v/>
          </cell>
          <cell r="AW260" t="str">
            <v/>
          </cell>
          <cell r="AX260" t="str">
            <v/>
          </cell>
          <cell r="AY260" t="str">
            <v/>
          </cell>
          <cell r="AZ260" t="str">
            <v/>
          </cell>
          <cell r="BB260" t="str">
            <v/>
          </cell>
          <cell r="BC260" t="str">
            <v/>
          </cell>
          <cell r="BF260" t="str">
            <v/>
          </cell>
          <cell r="BI260">
            <v>0</v>
          </cell>
          <cell r="BJ260">
            <v>0</v>
          </cell>
          <cell r="BK260">
            <v>30</v>
          </cell>
          <cell r="BP260" t="str">
            <v/>
          </cell>
          <cell r="BQ260" t="str">
            <v/>
          </cell>
          <cell r="BR260" t="str">
            <v/>
          </cell>
          <cell r="BS260" t="str">
            <v/>
          </cell>
        </row>
        <row r="261">
          <cell r="B261" t="str">
            <v>INV--9900-243</v>
          </cell>
          <cell r="C261" t="str">
            <v/>
          </cell>
          <cell r="D261" t="e">
            <v>#VALUE!</v>
          </cell>
          <cell r="E261" t="str">
            <v>Jan1900</v>
          </cell>
          <cell r="F261">
            <v>31</v>
          </cell>
          <cell r="G261" t="e">
            <v>#VALUE!</v>
          </cell>
          <cell r="H261">
            <v>1</v>
          </cell>
          <cell r="I261">
            <v>1</v>
          </cell>
          <cell r="J261">
            <v>0</v>
          </cell>
          <cell r="K261" t="str">
            <v>0Jan1900</v>
          </cell>
          <cell r="L261" t="str">
            <v>Buildings</v>
          </cell>
          <cell r="M261" t="str">
            <v>BuildingsJan1900</v>
          </cell>
          <cell r="N261">
            <v>0</v>
          </cell>
          <cell r="O261">
            <v>0</v>
          </cell>
          <cell r="Q261" t="e">
            <v>#VALUE!</v>
          </cell>
          <cell r="R261">
            <v>0</v>
          </cell>
          <cell r="S261" t="str">
            <v>Jan1900</v>
          </cell>
          <cell r="T261" t="str">
            <v>Jan1900</v>
          </cell>
          <cell r="U261" t="e">
            <v>#VALUE!</v>
          </cell>
          <cell r="V261" t="e">
            <v>#VALUE!</v>
          </cell>
          <cell r="W261" t="str">
            <v/>
          </cell>
          <cell r="X261" t="str">
            <v>INV-9900</v>
          </cell>
          <cell r="Y261" t="str">
            <v>Jan</v>
          </cell>
          <cell r="Z261">
            <v>1900</v>
          </cell>
          <cell r="AA261" t="str">
            <v>9900</v>
          </cell>
          <cell r="AB261" t="str">
            <v>9900-243</v>
          </cell>
          <cell r="AC261">
            <v>243</v>
          </cell>
          <cell r="AD261">
            <v>0</v>
          </cell>
          <cell r="AE261">
            <v>0</v>
          </cell>
          <cell r="AF261" t="str">
            <v/>
          </cell>
          <cell r="AG261" t="str">
            <v/>
          </cell>
          <cell r="AH261">
            <v>1</v>
          </cell>
          <cell r="AI261">
            <v>1</v>
          </cell>
          <cell r="AK261" t="str">
            <v>INV--9900-243</v>
          </cell>
          <cell r="AL261">
            <v>0</v>
          </cell>
          <cell r="AN261" t="str">
            <v>INVOICE</v>
          </cell>
          <cell r="AR261" t="str">
            <v/>
          </cell>
          <cell r="AS261" t="str">
            <v/>
          </cell>
          <cell r="AT261" t="str">
            <v/>
          </cell>
          <cell r="AU261" t="str">
            <v/>
          </cell>
          <cell r="AV261" t="str">
            <v/>
          </cell>
          <cell r="AW261" t="str">
            <v/>
          </cell>
          <cell r="AX261" t="str">
            <v/>
          </cell>
          <cell r="AY261" t="str">
            <v/>
          </cell>
          <cell r="AZ261" t="str">
            <v/>
          </cell>
          <cell r="BB261" t="str">
            <v/>
          </cell>
          <cell r="BC261" t="str">
            <v/>
          </cell>
          <cell r="BF261" t="str">
            <v/>
          </cell>
          <cell r="BI261">
            <v>0</v>
          </cell>
          <cell r="BJ261">
            <v>0</v>
          </cell>
          <cell r="BK261">
            <v>30</v>
          </cell>
          <cell r="BP261" t="str">
            <v/>
          </cell>
          <cell r="BQ261" t="str">
            <v/>
          </cell>
          <cell r="BR261" t="str">
            <v/>
          </cell>
          <cell r="BS261" t="str">
            <v/>
          </cell>
        </row>
        <row r="262">
          <cell r="B262" t="str">
            <v>INV--9900-244</v>
          </cell>
          <cell r="C262" t="str">
            <v/>
          </cell>
          <cell r="D262" t="e">
            <v>#VALUE!</v>
          </cell>
          <cell r="E262" t="str">
            <v>Jan1900</v>
          </cell>
          <cell r="F262">
            <v>31</v>
          </cell>
          <cell r="G262" t="e">
            <v>#VALUE!</v>
          </cell>
          <cell r="H262">
            <v>1</v>
          </cell>
          <cell r="I262">
            <v>1</v>
          </cell>
          <cell r="J262">
            <v>0</v>
          </cell>
          <cell r="K262" t="str">
            <v>0Jan1900</v>
          </cell>
          <cell r="L262" t="str">
            <v>Buildings</v>
          </cell>
          <cell r="M262" t="str">
            <v>BuildingsJan1900</v>
          </cell>
          <cell r="N262">
            <v>0</v>
          </cell>
          <cell r="O262">
            <v>0</v>
          </cell>
          <cell r="Q262" t="e">
            <v>#VALUE!</v>
          </cell>
          <cell r="R262">
            <v>0</v>
          </cell>
          <cell r="S262" t="str">
            <v>Jan1900</v>
          </cell>
          <cell r="T262" t="str">
            <v>Jan1900</v>
          </cell>
          <cell r="U262" t="e">
            <v>#VALUE!</v>
          </cell>
          <cell r="V262" t="e">
            <v>#VALUE!</v>
          </cell>
          <cell r="W262" t="str">
            <v/>
          </cell>
          <cell r="X262" t="str">
            <v>INV-9900</v>
          </cell>
          <cell r="Y262" t="str">
            <v>Jan</v>
          </cell>
          <cell r="Z262">
            <v>1900</v>
          </cell>
          <cell r="AA262" t="str">
            <v>9900</v>
          </cell>
          <cell r="AB262" t="str">
            <v>9900-244</v>
          </cell>
          <cell r="AC262">
            <v>244</v>
          </cell>
          <cell r="AD262">
            <v>0</v>
          </cell>
          <cell r="AE262">
            <v>0</v>
          </cell>
          <cell r="AF262" t="str">
            <v/>
          </cell>
          <cell r="AG262" t="str">
            <v/>
          </cell>
          <cell r="AH262">
            <v>1</v>
          </cell>
          <cell r="AI262">
            <v>1</v>
          </cell>
          <cell r="AK262" t="str">
            <v>INV--9900-244</v>
          </cell>
          <cell r="AL262">
            <v>0</v>
          </cell>
          <cell r="AN262" t="str">
            <v>INVOICE</v>
          </cell>
          <cell r="AR262" t="str">
            <v/>
          </cell>
          <cell r="AS262" t="str">
            <v/>
          </cell>
          <cell r="AT262" t="str">
            <v/>
          </cell>
          <cell r="AU262" t="str">
            <v/>
          </cell>
          <cell r="AV262" t="str">
            <v/>
          </cell>
          <cell r="AW262" t="str">
            <v/>
          </cell>
          <cell r="AX262" t="str">
            <v/>
          </cell>
          <cell r="AY262" t="str">
            <v/>
          </cell>
          <cell r="AZ262" t="str">
            <v/>
          </cell>
          <cell r="BB262" t="str">
            <v/>
          </cell>
          <cell r="BC262" t="str">
            <v/>
          </cell>
          <cell r="BF262" t="str">
            <v/>
          </cell>
          <cell r="BI262">
            <v>0</v>
          </cell>
          <cell r="BJ262">
            <v>0</v>
          </cell>
          <cell r="BK262">
            <v>30</v>
          </cell>
          <cell r="BP262" t="str">
            <v/>
          </cell>
          <cell r="BQ262" t="str">
            <v/>
          </cell>
          <cell r="BR262" t="str">
            <v/>
          </cell>
          <cell r="BS262" t="str">
            <v/>
          </cell>
        </row>
        <row r="263">
          <cell r="B263" t="str">
            <v>INV--9900-245</v>
          </cell>
          <cell r="C263" t="str">
            <v/>
          </cell>
          <cell r="D263" t="e">
            <v>#VALUE!</v>
          </cell>
          <cell r="E263" t="str">
            <v>Jan1900</v>
          </cell>
          <cell r="F263">
            <v>31</v>
          </cell>
          <cell r="G263" t="e">
            <v>#VALUE!</v>
          </cell>
          <cell r="H263">
            <v>1</v>
          </cell>
          <cell r="I263">
            <v>1</v>
          </cell>
          <cell r="J263">
            <v>0</v>
          </cell>
          <cell r="K263" t="str">
            <v>0Jan1900</v>
          </cell>
          <cell r="L263" t="str">
            <v>Buildings</v>
          </cell>
          <cell r="M263" t="str">
            <v>BuildingsJan1900</v>
          </cell>
          <cell r="N263">
            <v>0</v>
          </cell>
          <cell r="O263">
            <v>0</v>
          </cell>
          <cell r="Q263" t="e">
            <v>#VALUE!</v>
          </cell>
          <cell r="R263">
            <v>0</v>
          </cell>
          <cell r="S263" t="str">
            <v>Jan1900</v>
          </cell>
          <cell r="T263" t="str">
            <v>Jan1900</v>
          </cell>
          <cell r="U263" t="e">
            <v>#VALUE!</v>
          </cell>
          <cell r="V263" t="e">
            <v>#VALUE!</v>
          </cell>
          <cell r="W263" t="str">
            <v/>
          </cell>
          <cell r="X263" t="str">
            <v>INV-9900</v>
          </cell>
          <cell r="Y263" t="str">
            <v>Jan</v>
          </cell>
          <cell r="Z263">
            <v>1900</v>
          </cell>
          <cell r="AA263" t="str">
            <v>9900</v>
          </cell>
          <cell r="AB263" t="str">
            <v>9900-245</v>
          </cell>
          <cell r="AC263">
            <v>245</v>
          </cell>
          <cell r="AD263">
            <v>0</v>
          </cell>
          <cell r="AE263">
            <v>0</v>
          </cell>
          <cell r="AF263" t="str">
            <v/>
          </cell>
          <cell r="AG263" t="str">
            <v/>
          </cell>
          <cell r="AH263">
            <v>1</v>
          </cell>
          <cell r="AI263">
            <v>1</v>
          </cell>
          <cell r="AK263" t="str">
            <v>INV--9900-245</v>
          </cell>
          <cell r="AL263">
            <v>0</v>
          </cell>
          <cell r="AN263" t="str">
            <v>INVOICE</v>
          </cell>
          <cell r="AR263" t="str">
            <v/>
          </cell>
          <cell r="AS263" t="str">
            <v/>
          </cell>
          <cell r="AT263" t="str">
            <v/>
          </cell>
          <cell r="AU263" t="str">
            <v/>
          </cell>
          <cell r="AV263" t="str">
            <v/>
          </cell>
          <cell r="AW263" t="str">
            <v/>
          </cell>
          <cell r="AX263" t="str">
            <v/>
          </cell>
          <cell r="AY263" t="str">
            <v/>
          </cell>
          <cell r="AZ263" t="str">
            <v/>
          </cell>
          <cell r="BB263" t="str">
            <v/>
          </cell>
          <cell r="BC263" t="str">
            <v/>
          </cell>
          <cell r="BF263" t="str">
            <v/>
          </cell>
          <cell r="BI263">
            <v>0</v>
          </cell>
          <cell r="BJ263">
            <v>0</v>
          </cell>
          <cell r="BK263">
            <v>30</v>
          </cell>
          <cell r="BP263" t="str">
            <v/>
          </cell>
          <cell r="BQ263" t="str">
            <v/>
          </cell>
          <cell r="BR263" t="str">
            <v/>
          </cell>
          <cell r="BS263" t="str">
            <v/>
          </cell>
        </row>
        <row r="264">
          <cell r="B264" t="str">
            <v>INV--9900-246</v>
          </cell>
          <cell r="C264" t="str">
            <v/>
          </cell>
          <cell r="D264" t="e">
            <v>#VALUE!</v>
          </cell>
          <cell r="E264" t="str">
            <v>Jan1900</v>
          </cell>
          <cell r="F264">
            <v>31</v>
          </cell>
          <cell r="G264" t="e">
            <v>#VALUE!</v>
          </cell>
          <cell r="H264">
            <v>1</v>
          </cell>
          <cell r="I264">
            <v>1</v>
          </cell>
          <cell r="J264">
            <v>0</v>
          </cell>
          <cell r="K264" t="str">
            <v>0Jan1900</v>
          </cell>
          <cell r="L264" t="str">
            <v>Buildings</v>
          </cell>
          <cell r="M264" t="str">
            <v>BuildingsJan1900</v>
          </cell>
          <cell r="N264">
            <v>0</v>
          </cell>
          <cell r="O264">
            <v>0</v>
          </cell>
          <cell r="Q264" t="e">
            <v>#VALUE!</v>
          </cell>
          <cell r="R264">
            <v>0</v>
          </cell>
          <cell r="S264" t="str">
            <v>Jan1900</v>
          </cell>
          <cell r="T264" t="str">
            <v>Jan1900</v>
          </cell>
          <cell r="U264" t="e">
            <v>#VALUE!</v>
          </cell>
          <cell r="V264" t="e">
            <v>#VALUE!</v>
          </cell>
          <cell r="W264" t="str">
            <v/>
          </cell>
          <cell r="X264" t="str">
            <v>INV-9900</v>
          </cell>
          <cell r="Y264" t="str">
            <v>Jan</v>
          </cell>
          <cell r="Z264">
            <v>1900</v>
          </cell>
          <cell r="AA264" t="str">
            <v>9900</v>
          </cell>
          <cell r="AB264" t="str">
            <v>9900-246</v>
          </cell>
          <cell r="AC264">
            <v>246</v>
          </cell>
          <cell r="AD264">
            <v>0</v>
          </cell>
          <cell r="AE264">
            <v>0</v>
          </cell>
          <cell r="AF264" t="str">
            <v/>
          </cell>
          <cell r="AG264" t="str">
            <v/>
          </cell>
          <cell r="AH264">
            <v>1</v>
          </cell>
          <cell r="AI264">
            <v>1</v>
          </cell>
          <cell r="AK264" t="str">
            <v>INV--9900-246</v>
          </cell>
          <cell r="AL264">
            <v>0</v>
          </cell>
          <cell r="AN264" t="str">
            <v>INVOICE</v>
          </cell>
          <cell r="AR264" t="str">
            <v/>
          </cell>
          <cell r="AS264" t="str">
            <v/>
          </cell>
          <cell r="AT264" t="str">
            <v/>
          </cell>
          <cell r="AU264" t="str">
            <v/>
          </cell>
          <cell r="AV264" t="str">
            <v/>
          </cell>
          <cell r="AW264" t="str">
            <v/>
          </cell>
          <cell r="AX264" t="str">
            <v/>
          </cell>
          <cell r="AY264" t="str">
            <v/>
          </cell>
          <cell r="AZ264" t="str">
            <v/>
          </cell>
          <cell r="BB264" t="str">
            <v/>
          </cell>
          <cell r="BC264" t="str">
            <v/>
          </cell>
          <cell r="BF264" t="str">
            <v/>
          </cell>
          <cell r="BI264">
            <v>0</v>
          </cell>
          <cell r="BJ264">
            <v>0</v>
          </cell>
          <cell r="BK264">
            <v>30</v>
          </cell>
          <cell r="BP264" t="str">
            <v/>
          </cell>
          <cell r="BQ264" t="str">
            <v/>
          </cell>
          <cell r="BR264" t="str">
            <v/>
          </cell>
          <cell r="BS264" t="str">
            <v/>
          </cell>
        </row>
        <row r="265">
          <cell r="B265" t="str">
            <v>INV--9900-247</v>
          </cell>
          <cell r="C265" t="str">
            <v/>
          </cell>
          <cell r="D265" t="e">
            <v>#VALUE!</v>
          </cell>
          <cell r="E265" t="str">
            <v>Jan1900</v>
          </cell>
          <cell r="F265">
            <v>31</v>
          </cell>
          <cell r="G265" t="e">
            <v>#VALUE!</v>
          </cell>
          <cell r="H265">
            <v>1</v>
          </cell>
          <cell r="I265">
            <v>1</v>
          </cell>
          <cell r="J265">
            <v>0</v>
          </cell>
          <cell r="K265" t="str">
            <v>0Jan1900</v>
          </cell>
          <cell r="L265" t="str">
            <v>Buildings</v>
          </cell>
          <cell r="M265" t="str">
            <v>BuildingsJan1900</v>
          </cell>
          <cell r="N265">
            <v>0</v>
          </cell>
          <cell r="O265">
            <v>0</v>
          </cell>
          <cell r="Q265" t="e">
            <v>#VALUE!</v>
          </cell>
          <cell r="R265">
            <v>0</v>
          </cell>
          <cell r="S265" t="str">
            <v>Jan1900</v>
          </cell>
          <cell r="T265" t="str">
            <v>Jan1900</v>
          </cell>
          <cell r="U265" t="e">
            <v>#VALUE!</v>
          </cell>
          <cell r="V265" t="e">
            <v>#VALUE!</v>
          </cell>
          <cell r="W265" t="str">
            <v/>
          </cell>
          <cell r="X265" t="str">
            <v>INV-9900</v>
          </cell>
          <cell r="Y265" t="str">
            <v>Jan</v>
          </cell>
          <cell r="Z265">
            <v>1900</v>
          </cell>
          <cell r="AA265" t="str">
            <v>9900</v>
          </cell>
          <cell r="AB265" t="str">
            <v>9900-247</v>
          </cell>
          <cell r="AC265">
            <v>247</v>
          </cell>
          <cell r="AD265">
            <v>0</v>
          </cell>
          <cell r="AE265">
            <v>0</v>
          </cell>
          <cell r="AF265" t="str">
            <v/>
          </cell>
          <cell r="AG265" t="str">
            <v/>
          </cell>
          <cell r="AH265">
            <v>1</v>
          </cell>
          <cell r="AI265">
            <v>1</v>
          </cell>
          <cell r="AK265" t="str">
            <v>INV--9900-247</v>
          </cell>
          <cell r="AL265">
            <v>0</v>
          </cell>
          <cell r="AN265" t="str">
            <v>INVOICE</v>
          </cell>
          <cell r="AR265" t="str">
            <v/>
          </cell>
          <cell r="AS265" t="str">
            <v/>
          </cell>
          <cell r="AT265" t="str">
            <v/>
          </cell>
          <cell r="AU265" t="str">
            <v/>
          </cell>
          <cell r="AV265" t="str">
            <v/>
          </cell>
          <cell r="AW265" t="str">
            <v/>
          </cell>
          <cell r="AX265" t="str">
            <v/>
          </cell>
          <cell r="AY265" t="str">
            <v/>
          </cell>
          <cell r="AZ265" t="str">
            <v/>
          </cell>
          <cell r="BB265" t="str">
            <v/>
          </cell>
          <cell r="BC265" t="str">
            <v/>
          </cell>
          <cell r="BF265" t="str">
            <v/>
          </cell>
          <cell r="BI265">
            <v>0</v>
          </cell>
          <cell r="BJ265">
            <v>0</v>
          </cell>
          <cell r="BK265">
            <v>30</v>
          </cell>
          <cell r="BP265" t="str">
            <v/>
          </cell>
          <cell r="BQ265" t="str">
            <v/>
          </cell>
          <cell r="BR265" t="str">
            <v/>
          </cell>
          <cell r="BS265" t="str">
            <v/>
          </cell>
        </row>
        <row r="266">
          <cell r="B266" t="str">
            <v>INV--9900-248</v>
          </cell>
          <cell r="C266" t="str">
            <v/>
          </cell>
          <cell r="D266" t="e">
            <v>#VALUE!</v>
          </cell>
          <cell r="E266" t="str">
            <v>Jan1900</v>
          </cell>
          <cell r="F266">
            <v>31</v>
          </cell>
          <cell r="G266" t="e">
            <v>#VALUE!</v>
          </cell>
          <cell r="H266">
            <v>1</v>
          </cell>
          <cell r="I266">
            <v>1</v>
          </cell>
          <cell r="J266">
            <v>0</v>
          </cell>
          <cell r="K266" t="str">
            <v>0Jan1900</v>
          </cell>
          <cell r="L266" t="str">
            <v>Buildings</v>
          </cell>
          <cell r="M266" t="str">
            <v>BuildingsJan1900</v>
          </cell>
          <cell r="N266">
            <v>0</v>
          </cell>
          <cell r="O266">
            <v>0</v>
          </cell>
          <cell r="Q266" t="e">
            <v>#VALUE!</v>
          </cell>
          <cell r="R266">
            <v>0</v>
          </cell>
          <cell r="S266" t="str">
            <v>Jan1900</v>
          </cell>
          <cell r="T266" t="str">
            <v>Jan1900</v>
          </cell>
          <cell r="U266" t="e">
            <v>#VALUE!</v>
          </cell>
          <cell r="V266" t="e">
            <v>#VALUE!</v>
          </cell>
          <cell r="W266" t="str">
            <v/>
          </cell>
          <cell r="X266" t="str">
            <v>INV-9900</v>
          </cell>
          <cell r="Y266" t="str">
            <v>Jan</v>
          </cell>
          <cell r="Z266">
            <v>1900</v>
          </cell>
          <cell r="AA266" t="str">
            <v>9900</v>
          </cell>
          <cell r="AB266" t="str">
            <v>9900-248</v>
          </cell>
          <cell r="AC266">
            <v>248</v>
          </cell>
          <cell r="AD266">
            <v>0</v>
          </cell>
          <cell r="AE266">
            <v>0</v>
          </cell>
          <cell r="AF266" t="str">
            <v/>
          </cell>
          <cell r="AG266" t="str">
            <v/>
          </cell>
          <cell r="AH266">
            <v>1</v>
          </cell>
          <cell r="AI266">
            <v>1</v>
          </cell>
          <cell r="AK266" t="str">
            <v>INV--9900-248</v>
          </cell>
          <cell r="AL266">
            <v>0</v>
          </cell>
          <cell r="AN266" t="str">
            <v>INVOICE</v>
          </cell>
          <cell r="AR266" t="str">
            <v/>
          </cell>
          <cell r="AS266" t="str">
            <v/>
          </cell>
          <cell r="AT266" t="str">
            <v/>
          </cell>
          <cell r="AU266" t="str">
            <v/>
          </cell>
          <cell r="AV266" t="str">
            <v/>
          </cell>
          <cell r="AW266" t="str">
            <v/>
          </cell>
          <cell r="AX266" t="str">
            <v/>
          </cell>
          <cell r="AY266" t="str">
            <v/>
          </cell>
          <cell r="AZ266" t="str">
            <v/>
          </cell>
          <cell r="BB266" t="str">
            <v/>
          </cell>
          <cell r="BC266" t="str">
            <v/>
          </cell>
          <cell r="BF266" t="str">
            <v/>
          </cell>
          <cell r="BI266">
            <v>0</v>
          </cell>
          <cell r="BJ266">
            <v>0</v>
          </cell>
          <cell r="BK266">
            <v>30</v>
          </cell>
          <cell r="BP266" t="str">
            <v/>
          </cell>
          <cell r="BQ266" t="str">
            <v/>
          </cell>
          <cell r="BR266" t="str">
            <v/>
          </cell>
          <cell r="BS266" t="str">
            <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s"/>
      <sheetName val="Gross Vol."/>
      <sheetName val="TM Rate"/>
      <sheetName val="Return Vol."/>
      <sheetName val="DB Incv."/>
      <sheetName val="DM rate"/>
      <sheetName val="NR"/>
      <sheetName val="COGS Rate"/>
      <sheetName val="STC Rate "/>
      <sheetName val="COGS Value"/>
      <sheetName val="MT"/>
      <sheetName val="MRP"/>
      <sheetName val="Trade Margin"/>
      <sheetName val="STC Net"/>
      <sheetName val="DM value"/>
      <sheetName val="TS"/>
      <sheetName val="TM"/>
      <sheetName val="TmDmDbins"/>
      <sheetName val="TM+DB Incv."/>
      <sheetName val="Return Value"/>
      <sheetName val="Mkt. Bud"/>
      <sheetName val="Mkt."/>
      <sheetName val="Stat case"/>
      <sheetName val="Provi+adj"/>
      <sheetName val="NR Per Case"/>
      <sheetName val="VAT prov"/>
      <sheetName val="COGS rate Adj"/>
      <sheetName val="TM adj"/>
      <sheetName val="Plan 2007"/>
      <sheetName val="VOL1"/>
      <sheetName val="VOL2"/>
      <sheetName val="KPI-PAY"/>
      <sheetName val="STOCKS"/>
      <sheetName val="KPI-Oee"/>
      <sheetName val="KPI-ppv"/>
      <sheetName val="MNFVAR"/>
      <sheetName val="OTH-ppv"/>
      <sheetName val="XPD"/>
      <sheetName val="XPI"/>
      <sheetName val="XPT"/>
      <sheetName val="SIMULACION"/>
      <sheetName val="KPI-P&amp;L"/>
      <sheetName val="P&amp;L"/>
      <sheetName val="GMV"/>
      <sheetName val="RECONC"/>
      <sheetName val="RATE"/>
      <sheetName val="GR1"/>
      <sheetName val="GR2"/>
      <sheetName val="GRANOLLERS"/>
      <sheetName val="RATE GBP HYP"/>
      <sheetName val="Fact Statement FC"/>
      <sheetName val="Verteilung"/>
      <sheetName val="Phasing Productlevel"/>
      <sheetName val="cap01"/>
      <sheetName val="BS Sum"/>
      <sheetName val="BS "/>
      <sheetName val="FRONT"/>
      <sheetName val="INDEX"/>
      <sheetName val="1.1_HEALTH &amp; SAFETY"/>
      <sheetName val="1.2_ENVIRONMENTAL"/>
      <sheetName val="2.1_SALES STATUS"/>
      <sheetName val="2.2_PROFIT STATUS"/>
      <sheetName val="3.1_PL Statement"/>
      <sheetName val="3.1.1_PL ANALYSIS SUMMARY"/>
      <sheetName val="3.2_Ratios"/>
      <sheetName val="3.3_PSS"/>
      <sheetName val="3.4_MEP SAVINGS"/>
      <sheetName val="4.0_EXPENSES GRAPHS"/>
      <sheetName val="5.1_CUSTOMER MATRIX"/>
      <sheetName val="6.1_AGED DEBTORS"/>
      <sheetName val="6.1.1_BAD DEBTS"/>
      <sheetName val="6.1.2_TOOLING DEBTORS"/>
      <sheetName val="6.1.3_CAPITAL_DEBTORS_LIST"/>
      <sheetName val="6.2_REVENUE CREDITORS"/>
      <sheetName val="6.2.1_CREDITORS WRITE BACK"/>
      <sheetName val="6.3_CAPITAL CREDITORS"/>
      <sheetName val="6.4_GRAPHS"/>
      <sheetName val="6.5_PROVISIONS"/>
      <sheetName val="7.1_ROLLING CASH FLOW"/>
      <sheetName val="7.2_CASH FLOW BUD VS ACT"/>
      <sheetName val="8.1_SALES - O.S ENQ"/>
      <sheetName val="8.2_QUOTES"/>
      <sheetName val="8.3_ORDERS WON"/>
      <sheetName val="8.4_SAMPLE DATES"/>
      <sheetName val="9.1 Customer PPM"/>
      <sheetName val="9.2 Customer complaint"/>
      <sheetName val="9.3 Customer Rating"/>
      <sheetName val="9.4 Internal ppm"/>
      <sheetName val="9.5 Quality Gate"/>
      <sheetName val="9.6 RPN Reduction"/>
      <sheetName val="9.7 Poka Yoke"/>
      <sheetName val="9.8 Supplier audit"/>
      <sheetName val="9.9 Audit Summary"/>
      <sheetName val="10.1 5S score"/>
      <sheetName val="10.2 Kaizen"/>
      <sheetName val="10.3 QC &amp; Kaizen Saving"/>
      <sheetName val="10.4 Lean Saving"/>
      <sheetName val="10.5 OEE"/>
      <sheetName val="10.6 FPY"/>
      <sheetName val="10.7 COPQ"/>
      <sheetName val="10.8 Critical characteristics"/>
      <sheetName val="JLF Budget"/>
      <sheetName val="EXON_MRM_Mar'16"/>
      <sheetName val="ITAX"/>
      <sheetName val="EPS"/>
      <sheetName val="cost-sheet"/>
      <sheetName val="Result"/>
      <sheetName val="COST SHEET"/>
      <sheetName val="BS AFL MAR 11"/>
      <sheetName val="FIXED ASSETS"/>
      <sheetName val="EARNING PER SHARE"/>
      <sheetName val="115jb"/>
      <sheetName val="Capital Gain"/>
      <sheetName val="IT Comp"/>
      <sheetName val="INTEREST"/>
      <sheetName val="IT DEP pune"/>
      <sheetName val=" IT Dep Cons"/>
      <sheetName val="nalagarh"/>
      <sheetName val="Deferred Tax"/>
      <sheetName val="IT DEP pune (2)"/>
      <sheetName val=" IT Dep Cons (2)"/>
      <sheetName val="results vs it"/>
      <sheetName val="Summary"/>
      <sheetName val="TR-regCls"/>
      <sheetName val="0.25%PF-without S2"/>
      <sheetName val="Senario 1"/>
      <sheetName val="Senario 2"/>
      <sheetName val="Senario3"/>
      <sheetName val="Senario 4"/>
      <sheetName val="Senario 5"/>
      <sheetName val="Senario6"/>
      <sheetName val="Senario7"/>
      <sheetName val="Senario8"/>
      <sheetName val="Senario9"/>
      <sheetName val="MaterialCost"/>
      <sheetName val="FREIGHT DE COPACKERS"/>
      <sheetName val="EV"/>
      <sheetName val="AA ROUT "/>
      <sheetName val="HH ROUT"/>
      <sheetName val="WP"/>
      <sheetName val="OEE Jan"/>
      <sheetName val="IT_FBT_DDTP"/>
      <sheetName val="95년실적"/>
      <sheetName val="Sheet1"/>
      <sheetName val="Sheet2"/>
      <sheetName val="Sheet3"/>
      <sheetName val="STOCK-ORDER-BILLING"/>
      <sheetName val="P &amp; L"/>
      <sheetName val="BS"/>
      <sheetName val="CFS (2)"/>
      <sheetName val="Note 11 Fixed assets"/>
      <sheetName val=" IT Dep Cons "/>
      <sheetName val="tax computation"/>
      <sheetName val=" Def.Tax"/>
      <sheetName val="Dep IT Act (2)"/>
      <sheetName val="results"/>
      <sheetName val="branch"/>
      <sheetName val="trade Payables"/>
      <sheetName val="short term loans and adv"/>
      <sheetName val="debtors"/>
      <sheetName val="long term loans &amp; adv"/>
      <sheetName val="other CL"/>
      <sheetName val="Loans &amp; Limit"/>
      <sheetName val="Foreign Exchange Fluctuation"/>
      <sheetName val="Total South Africa"/>
      <sheetName val="Elandsfontein"/>
      <sheetName val="Durban"/>
      <sheetName val="CAPE TOWN"/>
      <sheetName val="Definitions"/>
      <sheetName val="Commentary"/>
      <sheetName val="Instructions"/>
      <sheetName val="Capex"/>
      <sheetName val="Factory Op Statement"/>
      <sheetName val="Reconciliation"/>
      <sheetName val="OtherKPI"/>
      <sheetName val="LC"/>
      <sheetName val="GBP"/>
      <sheetName val="장할생활 (2)"/>
      <sheetName val="치솔실적"/>
      <sheetName val="여신현황"/>
      <sheetName val="Jan-00"/>
      <sheetName val="Jan"/>
      <sheetName val="Feb-00"/>
      <sheetName val="Feb"/>
      <sheetName val="Mar-00"/>
      <sheetName val="Mar"/>
      <sheetName val="Apr-00"/>
      <sheetName val="Apr"/>
      <sheetName val="May-00"/>
      <sheetName val="May"/>
      <sheetName val="Jun-00"/>
      <sheetName val="Jun"/>
      <sheetName val="Jul-00"/>
      <sheetName val="Jul"/>
      <sheetName val="Cust-July"/>
      <sheetName val="Aug-00"/>
      <sheetName val="Aug"/>
      <sheetName val="Cust-Aug"/>
      <sheetName val="Sep-00"/>
      <sheetName val="Sep"/>
      <sheetName val="Cust-Sep"/>
      <sheetName val="Oct-00"/>
      <sheetName val="Oct"/>
      <sheetName val="Nov-00"/>
      <sheetName val="Nov"/>
      <sheetName val="Dec-00 "/>
      <sheetName val="Dec"/>
      <sheetName val="Balance-Austria Total"/>
      <sheetName val="P&amp;L-Austria Gesamt"/>
      <sheetName val="P&amp;L-Austria Brand&amp;Interco"/>
      <sheetName val="P&amp;L-Austria Privat label"/>
      <sheetName val="INVENTORY SKU"/>
      <sheetName val="INVENTORY STD"/>
      <sheetName val="MAIN MENU"/>
      <sheetName val="Labour By Branch"/>
      <sheetName val="HHold Labour Rate"/>
      <sheetName val="Aerosol Labour Rate"/>
      <sheetName val="WP Labour Rate"/>
      <sheetName val="Households"/>
      <sheetName val="Aerosol Cost Per Case"/>
      <sheetName val="HHOLD Cost Per Case"/>
      <sheetName val="WP Cost Per Case"/>
      <sheetName val="HH Chart - Volume"/>
      <sheetName val="HH  Chart - Labour"/>
      <sheetName val="Aerosol"/>
      <sheetName val="AA Chart - Labour"/>
      <sheetName val="AA Chart - Volume"/>
      <sheetName val="WETHERILL PARK"/>
      <sheetName val="WP Chart - Labour "/>
      <sheetName val="WP Chart - Volume"/>
      <sheetName val="Total Business"/>
      <sheetName val="Total Bus - Labour"/>
      <sheetName val="Total Bus - Volume"/>
      <sheetName val="Total Bus - Case"/>
      <sheetName val="Title"/>
      <sheetName val="SUPPLY REPORTING LABOUR- JANUAR"/>
      <sheetName val="PV"/>
      <sheetName val="Sheet4"/>
      <sheetName val="SA Fin Perf 2007_17"/>
      <sheetName val="SA Fin Perf 2007_18"/>
      <sheetName val="SOA YTD Oct07_19"/>
      <sheetName val="India YTD Oct07MLC_20"/>
      <sheetName val="India YTD Oct07TGBP_21"/>
      <sheetName val="BD YTD Oct07MLC_22"/>
      <sheetName val="BD YTD Oct07TGBP_23"/>
      <sheetName val="SL YTD Oct07MLC_24"/>
      <sheetName val="SL YTD Oct07TGBP_25"/>
      <sheetName val="Ind YTD Sept MLC 26"/>
      <sheetName val="Ind YTD Sept07 TGBP 27"/>
      <sheetName val="SOA FY2007TGBP_28"/>
      <sheetName val="India FY2007MLC_29"/>
      <sheetName val="India FY2007TGBP_30"/>
      <sheetName val="BD FY2007MLC_31"/>
      <sheetName val="BD FY2007TGBP_32"/>
      <sheetName val="SL FY2007MLC_33"/>
      <sheetName val="SL FY2007TGBP_34"/>
      <sheetName val="ID FY2007MLC_35"/>
      <sheetName val="ID FY2007TGBP_36"/>
      <sheetName val="SOA NWC2007_37"/>
      <sheetName val="INDIA NWC2007_38"/>
      <sheetName val="BD NWC2007_39"/>
      <sheetName val="SL NWC2007_40"/>
      <sheetName val="ID NWC2007_41"/>
      <sheetName val="SOA-ExchangeRates_54"/>
      <sheetName val="SOACharts_56 to 60"/>
      <sheetName val="SOA PL2008TGBP_61"/>
      <sheetName val="SOA PL2008TGBP Phasing_62"/>
      <sheetName val="India PL2008MLC_66"/>
      <sheetName val="India PL2008TGBP_67"/>
      <sheetName val="BD PL2008MLC_68"/>
      <sheetName val="BD PL2008TGBP_69"/>
      <sheetName val="SL PL2008MLC_70"/>
      <sheetName val="SL PL2008TGBP_71"/>
      <sheetName val="ID PL2008MLC_72"/>
      <sheetName val="ID PL2008TGBP_73"/>
      <sheetName val="SOA NWC_2008_71"/>
      <sheetName val="INDIA NWC_2008_72"/>
      <sheetName val="BNGLD NWC_2008_73"/>
      <sheetName val="SRLNK NWC_2008_74"/>
      <sheetName val="INDNS NWC_2008_74A"/>
      <sheetName val="SOA Risk&amp;Opp2008_76"/>
      <sheetName val="SOA BTG2007TGBP_107"/>
      <sheetName val="India BTG2007MLC_108"/>
      <sheetName val="India BTG2007TGBP_109"/>
      <sheetName val="SL BTG2007MLC_110"/>
      <sheetName val="SL BTG2007TGBP_111"/>
      <sheetName val="BD BTG2007MLC_112"/>
      <sheetName val="BD BTG2007TGBP_113"/>
      <sheetName val="ID BTG2007MLC_113A"/>
      <sheetName val="ID BTG2007TGBP_113B"/>
      <sheetName val="SOA GMVA 2008_115"/>
      <sheetName val="INDIA GMVA _116"/>
      <sheetName val="SOA COC2008_117"/>
      <sheetName val="India COC2008_118"/>
      <sheetName val="SOA COP BldgBlk_119"/>
      <sheetName val="SAF-DeltaAnalysis"/>
      <sheetName val="KeyRatios_Pl2008"/>
      <sheetName val="SOA-NR Analysis"/>
      <sheetName val="BS before PMO"/>
      <sheetName val="COGS"/>
      <sheetName val="FGcst"/>
      <sheetName val="FGcs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outh Africa"/>
      <sheetName val="Elandsfontein"/>
      <sheetName val="Durban"/>
      <sheetName val="CAPE TOWN"/>
      <sheetName val="Definitions"/>
      <sheetName val="Sheet1"/>
      <sheetName val="Commentary"/>
      <sheetName val="CINDER"/>
      <sheetName val="stdd costBPCS"/>
    </sheetNames>
    <sheetDataSet>
      <sheetData sheetId="0" refreshError="1">
        <row r="1">
          <cell r="A1" t="str">
            <v>RECKITT BENCKISER</v>
          </cell>
        </row>
        <row r="7">
          <cell r="D7">
            <v>2001</v>
          </cell>
          <cell r="E7" t="str">
            <v>Period 1</v>
          </cell>
          <cell r="F7" t="str">
            <v>Period 2</v>
          </cell>
          <cell r="G7" t="str">
            <v>Period 3</v>
          </cell>
          <cell r="H7" t="str">
            <v>Period 4</v>
          </cell>
          <cell r="I7" t="str">
            <v>Period 5</v>
          </cell>
          <cell r="J7" t="str">
            <v>Period 6</v>
          </cell>
          <cell r="K7" t="str">
            <v>Period 7</v>
          </cell>
          <cell r="L7" t="str">
            <v>Period 8</v>
          </cell>
          <cell r="M7" t="str">
            <v>Period 9</v>
          </cell>
          <cell r="N7" t="str">
            <v>Period 10</v>
          </cell>
          <cell r="O7" t="str">
            <v>Period 11</v>
          </cell>
          <cell r="P7" t="str">
            <v>Period 12</v>
          </cell>
          <cell r="Q7" t="str">
            <v>2001</v>
          </cell>
          <cell r="R7" t="str">
            <v>Plan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Comp with UP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Y DETAILS"/>
      <sheetName val="SCH"/>
      <sheetName val="bank"/>
      <sheetName val="bnc"/>
      <sheetName val="Legal"/>
      <sheetName val="security deposit"/>
      <sheetName val="other credits"/>
      <sheetName val="bnc-OTHER"/>
      <sheetName val="CURING-31-03-02 DETAILS"/>
      <sheetName val="Missing PDC"/>
      <sheetName val="DEUCH BANK -coll"/>
      <sheetName val="DB-BNC"/>
      <sheetName val="Missign PDC- details to WGE"/>
      <sheetName val="Details for WGE"/>
      <sheetName val="DAT DETAILS"/>
    </sheetNames>
    <sheetDataSet>
      <sheetData sheetId="0" refreshError="1">
        <row r="2">
          <cell r="B2" t="str">
            <v>W00001</v>
          </cell>
          <cell r="C2" t="str">
            <v>NA</v>
          </cell>
          <cell r="D2" t="str">
            <v>NA</v>
          </cell>
          <cell r="E2" t="str">
            <v>Bahuleyan Charitable Foundation Ltd.</v>
          </cell>
          <cell r="F2" t="str">
            <v>Brain &amp; Spine Centre, Indo-American Hospital, Chenmankary - 686143 (Near Vaikom), Kottyam, Kerala</v>
          </cell>
          <cell r="I2" t="str">
            <v>Bangalore</v>
          </cell>
        </row>
        <row r="3">
          <cell r="B3" t="str">
            <v>W00002</v>
          </cell>
          <cell r="C3" t="str">
            <v>R3</v>
          </cell>
          <cell r="D3" t="str">
            <v>R</v>
          </cell>
          <cell r="E3" t="str">
            <v>Devi Scans Pvt Ltd.</v>
          </cell>
          <cell r="F3" t="str">
            <v>Opposite Medical Colledge, High School, Kumarapuram, Trivandrum - 695 011</v>
          </cell>
          <cell r="H3" t="str">
            <v>DEVI</v>
          </cell>
          <cell r="I3" t="str">
            <v>Bangalore</v>
          </cell>
        </row>
        <row r="4">
          <cell r="B4" t="str">
            <v>W00003</v>
          </cell>
          <cell r="C4" t="str">
            <v>NA</v>
          </cell>
          <cell r="D4" t="str">
            <v>NA</v>
          </cell>
          <cell r="E4" t="str">
            <v>Apollo Diagnostic Centre</v>
          </cell>
          <cell r="F4" t="str">
            <v>Park Road, Kaithal - 132 027</v>
          </cell>
          <cell r="I4" t="str">
            <v>Gurgaon</v>
          </cell>
        </row>
        <row r="5">
          <cell r="B5" t="str">
            <v>W00004</v>
          </cell>
          <cell r="C5" t="str">
            <v>R1</v>
          </cell>
          <cell r="D5" t="str">
            <v>R</v>
          </cell>
          <cell r="E5" t="str">
            <v>CDR Medical Industries Ltd.-2</v>
          </cell>
          <cell r="F5" t="str">
            <v>3-6-287 Hyderguda, Hyderabad - 300 029 A.P.</v>
          </cell>
          <cell r="H5" t="str">
            <v>CDR</v>
          </cell>
          <cell r="I5" t="str">
            <v>Bangalore</v>
          </cell>
        </row>
        <row r="6">
          <cell r="B6" t="str">
            <v>W00005</v>
          </cell>
          <cell r="C6" t="str">
            <v>R1</v>
          </cell>
          <cell r="D6" t="str">
            <v>R</v>
          </cell>
          <cell r="E6" t="str">
            <v>Amrit Heart Scan &amp; Research Centre Pvt Ltd.-1</v>
          </cell>
          <cell r="F6" t="str">
            <v>SCO 54, Sector 20, Chandigarh</v>
          </cell>
          <cell r="H6" t="str">
            <v>AMRIT</v>
          </cell>
          <cell r="I6" t="str">
            <v>Gurgaon</v>
          </cell>
        </row>
        <row r="7">
          <cell r="B7" t="str">
            <v>W00006</v>
          </cell>
          <cell r="C7" t="str">
            <v>NA</v>
          </cell>
          <cell r="D7" t="str">
            <v>NA</v>
          </cell>
          <cell r="E7" t="str">
            <v>Cacoon Marketing Pvt Ltd.</v>
          </cell>
          <cell r="F7" t="str">
            <v>"Shree" Tipekar Road, Dhantoli, Nagpur - 440 010</v>
          </cell>
          <cell r="I7" t="str">
            <v>Ahamedabad</v>
          </cell>
        </row>
        <row r="8">
          <cell r="B8" t="str">
            <v>W00007</v>
          </cell>
          <cell r="C8" t="str">
            <v>NA</v>
          </cell>
          <cell r="D8" t="str">
            <v>NA</v>
          </cell>
          <cell r="E8" t="str">
            <v>Cacoon Marketing Pvt Ltd.</v>
          </cell>
          <cell r="F8" t="str">
            <v>"Shree" Tipekar Road, Dhantoli, Nagpur - 440 010</v>
          </cell>
          <cell r="I8" t="str">
            <v>Ahamedabad</v>
          </cell>
        </row>
        <row r="9">
          <cell r="B9" t="str">
            <v>W00008</v>
          </cell>
          <cell r="C9" t="str">
            <v>NA</v>
          </cell>
          <cell r="D9" t="str">
            <v>NA</v>
          </cell>
          <cell r="E9" t="str">
            <v>Cacoon Marketing Pvt Ltd.</v>
          </cell>
          <cell r="F9" t="str">
            <v>"Shree" Tipekar Road, Dhantoli, Nagpur - 440 010</v>
          </cell>
          <cell r="I9" t="str">
            <v>Ahamedabad</v>
          </cell>
        </row>
        <row r="10">
          <cell r="B10" t="str">
            <v>W00009</v>
          </cell>
          <cell r="C10" t="str">
            <v>NA</v>
          </cell>
          <cell r="D10" t="str">
            <v>NA</v>
          </cell>
          <cell r="E10" t="str">
            <v>Cacoon Marketing Pvt Ltd.</v>
          </cell>
          <cell r="F10" t="str">
            <v>"Shree" Tipekar Road, Dhantoli, Nagpur - 440 010</v>
          </cell>
          <cell r="I10" t="str">
            <v>Ahamedabad</v>
          </cell>
        </row>
        <row r="11">
          <cell r="B11" t="str">
            <v>W00010</v>
          </cell>
          <cell r="C11" t="str">
            <v>R3</v>
          </cell>
          <cell r="D11" t="str">
            <v>R</v>
          </cell>
          <cell r="E11" t="str">
            <v>Bhilai Scans &amp; Research Pvt Ltd.-1</v>
          </cell>
          <cell r="F11" t="str">
            <v>2, Commercial Complex, Nehru Nagar, Durg, Madhya Pradesh</v>
          </cell>
          <cell r="H11" t="str">
            <v>BHILAI</v>
          </cell>
          <cell r="I11" t="str">
            <v>Ahamedabad</v>
          </cell>
        </row>
        <row r="12">
          <cell r="B12" t="str">
            <v>W00011</v>
          </cell>
          <cell r="C12" t="str">
            <v>R1</v>
          </cell>
          <cell r="D12" t="str">
            <v>R</v>
          </cell>
          <cell r="E12" t="str">
            <v>Ratanda X-Ray Clinic &amp; Laboratory</v>
          </cell>
          <cell r="F12" t="str">
            <v>Opp Petrol Pump, Ratanda Bazar, Jodhpur, Rajasthan - 342 001</v>
          </cell>
          <cell r="I12" t="str">
            <v>Gurgaon</v>
          </cell>
        </row>
        <row r="13">
          <cell r="B13" t="str">
            <v>W00012</v>
          </cell>
          <cell r="C13" t="str">
            <v>NA</v>
          </cell>
          <cell r="D13" t="str">
            <v>NA</v>
          </cell>
          <cell r="E13" t="str">
            <v>Computed Radiodiagnostics-2</v>
          </cell>
          <cell r="F13" t="str">
            <v>I/2, Vishal Co-op Housing Society, Andheri Kurla Road, Andheri (E), Bombay - 400 069</v>
          </cell>
          <cell r="H13" t="str">
            <v>COMPUTED</v>
          </cell>
          <cell r="I13" t="str">
            <v>Ahamedabad</v>
          </cell>
        </row>
        <row r="14">
          <cell r="B14" t="str">
            <v>W00012-R</v>
          </cell>
          <cell r="C14" t="str">
            <v>R1</v>
          </cell>
          <cell r="D14" t="str">
            <v>R</v>
          </cell>
          <cell r="E14" t="str">
            <v>Computed Radiodiagnostics-2 ( Reschdued )</v>
          </cell>
          <cell r="F14" t="str">
            <v>I/2, Vishal Co-op Housing Society, Andheri Kurla Road, Andheri (E), Bombay - 400 069</v>
          </cell>
          <cell r="I14" t="str">
            <v>Ahamedabad</v>
          </cell>
        </row>
        <row r="15">
          <cell r="B15" t="str">
            <v>W00013</v>
          </cell>
          <cell r="C15" t="str">
            <v>R3</v>
          </cell>
          <cell r="D15" t="str">
            <v>R</v>
          </cell>
          <cell r="E15" t="str">
            <v>Mangal Anand Hospital</v>
          </cell>
          <cell r="F15" t="str">
            <v>Swastik Park, Sion Trombay Road, Umarshi Bappa Chowk, Chembur, Bombay - 400 071</v>
          </cell>
          <cell r="I15" t="str">
            <v>Ahamedabad</v>
          </cell>
        </row>
        <row r="16">
          <cell r="B16" t="str">
            <v>W00014</v>
          </cell>
          <cell r="C16" t="str">
            <v>R3</v>
          </cell>
          <cell r="D16" t="str">
            <v>R</v>
          </cell>
          <cell r="E16" t="str">
            <v>K Pandian</v>
          </cell>
          <cell r="F16" t="str">
            <v>9B, Medavakkam Road, Adambakkam, Madras - 600 088</v>
          </cell>
          <cell r="I16" t="str">
            <v>Bangalore</v>
          </cell>
        </row>
        <row r="17">
          <cell r="B17" t="str">
            <v>W00015</v>
          </cell>
          <cell r="C17" t="str">
            <v>R3</v>
          </cell>
          <cell r="D17" t="str">
            <v>R</v>
          </cell>
          <cell r="E17" t="str">
            <v>City Cardiac Research Centre Ltd.</v>
          </cell>
          <cell r="F17" t="str">
            <v>Ring Road, Near ITI College, Vijaywada - 520 008</v>
          </cell>
          <cell r="H17" t="str">
            <v>CITYCARD</v>
          </cell>
          <cell r="I17" t="str">
            <v>Bangalore</v>
          </cell>
        </row>
        <row r="18">
          <cell r="B18" t="str">
            <v>W00016</v>
          </cell>
          <cell r="C18" t="str">
            <v>R3</v>
          </cell>
          <cell r="D18" t="str">
            <v>R</v>
          </cell>
          <cell r="E18" t="str">
            <v>CDR Medical Industries Ltd.-1</v>
          </cell>
          <cell r="F18" t="str">
            <v>3-6-287, Hyderguda, Hyderabad 300 029</v>
          </cell>
          <cell r="H18" t="str">
            <v>CDR</v>
          </cell>
          <cell r="I18" t="str">
            <v>Bangalore</v>
          </cell>
        </row>
        <row r="19">
          <cell r="B19" t="str">
            <v>W00017</v>
          </cell>
          <cell r="C19" t="str">
            <v>R3</v>
          </cell>
          <cell r="D19" t="str">
            <v>R</v>
          </cell>
          <cell r="E19" t="str">
            <v>Vidya Shikshan Prasarak Manadal's NKP Salve inst. Of Medical Science</v>
          </cell>
          <cell r="F19" t="str">
            <v>Plot 5, YMCA Complex, Sitabuldi, Nagpur - 440001</v>
          </cell>
          <cell r="I19" t="str">
            <v>Ahamedabad</v>
          </cell>
        </row>
        <row r="20">
          <cell r="B20" t="str">
            <v>W00018</v>
          </cell>
          <cell r="C20" t="str">
            <v>R3</v>
          </cell>
          <cell r="D20" t="str">
            <v>R</v>
          </cell>
          <cell r="E20" t="str">
            <v>Dhanvantri Diagnostic Research Centre Pvt Ltd.-1</v>
          </cell>
          <cell r="F20" t="str">
            <v>Sumer Bhavan, Shivaji Road, Opp Bachcha Park, Meerut, Uttar Pradesh</v>
          </cell>
          <cell r="H20" t="str">
            <v>DHNVNTRI</v>
          </cell>
          <cell r="I20" t="str">
            <v>Gurgaon</v>
          </cell>
        </row>
        <row r="21">
          <cell r="B21" t="str">
            <v>W00019</v>
          </cell>
          <cell r="C21" t="str">
            <v>R3</v>
          </cell>
          <cell r="D21" t="str">
            <v>R</v>
          </cell>
          <cell r="E21" t="str">
            <v>Hospito India Medical Foundation Ltd.-1</v>
          </cell>
          <cell r="F21" t="str">
            <v>Boring Road, Patna - 800 001 Bihar</v>
          </cell>
          <cell r="H21" t="str">
            <v>HOSPITO</v>
          </cell>
          <cell r="I21" t="str">
            <v>Gurgaon</v>
          </cell>
        </row>
        <row r="22">
          <cell r="B22" t="str">
            <v>W00020</v>
          </cell>
          <cell r="C22" t="str">
            <v>R1</v>
          </cell>
          <cell r="D22" t="str">
            <v>NA</v>
          </cell>
          <cell r="E22" t="str">
            <v>R K Diagnostic Services (P) Ltd.</v>
          </cell>
          <cell r="F22" t="str">
            <v>Door No. 5-91-18/2, Lakshmipuram, 3rd Lane, Guntur - 522 007</v>
          </cell>
          <cell r="H22" t="str">
            <v>RKDIAG</v>
          </cell>
          <cell r="I22" t="str">
            <v>Bangalore</v>
          </cell>
        </row>
        <row r="23">
          <cell r="B23" t="str">
            <v>W00021</v>
          </cell>
          <cell r="C23" t="str">
            <v>R3</v>
          </cell>
          <cell r="D23" t="str">
            <v>R</v>
          </cell>
          <cell r="E23" t="str">
            <v>Geetanjali X-Rays</v>
          </cell>
          <cell r="F23" t="str">
            <v>Sapthagiri Hospital, 40 Krishnagiri Road, Tirupattur 635601 North A Ambedkar Distt, Tamilnadu</v>
          </cell>
          <cell r="I23" t="str">
            <v>Bangalore</v>
          </cell>
        </row>
        <row r="24">
          <cell r="B24" t="str">
            <v>W00022</v>
          </cell>
          <cell r="C24" t="str">
            <v>R3</v>
          </cell>
          <cell r="D24" t="str">
            <v>R</v>
          </cell>
          <cell r="E24" t="str">
            <v>Sundaram Arulraj Healthcare Pvt Ltd.</v>
          </cell>
          <cell r="F24" t="str">
            <v>72, North Car Street, Chidambaram Distt, Tuticorin - 628002, Tamilnadu</v>
          </cell>
          <cell r="H24" t="str">
            <v>SAHPL</v>
          </cell>
          <cell r="I24" t="str">
            <v>Bangalore</v>
          </cell>
        </row>
        <row r="25">
          <cell r="B25" t="str">
            <v>W00023</v>
          </cell>
          <cell r="C25" t="str">
            <v>R3</v>
          </cell>
          <cell r="D25" t="str">
            <v>R</v>
          </cell>
          <cell r="E25" t="str">
            <v>Modern Medical Institute</v>
          </cell>
          <cell r="F25" t="str">
            <v>New Add : Lalpur, Raipur, Chattisgarh-492001 ( Old Add : Gandhi Chowk, Lakhi School Complex, Raipur, Madhya Pradesh)</v>
          </cell>
          <cell r="H25" t="str">
            <v>MMI</v>
          </cell>
          <cell r="I25" t="str">
            <v>Ahamedabad</v>
          </cell>
        </row>
        <row r="26">
          <cell r="B26" t="str">
            <v>W00024</v>
          </cell>
          <cell r="C26" t="str">
            <v>R3</v>
          </cell>
          <cell r="D26" t="str">
            <v>R</v>
          </cell>
          <cell r="E26" t="str">
            <v>Amar Jawalkar</v>
          </cell>
          <cell r="F26" t="str">
            <v>J-95, Tilak Nagar, Gudhiyari, Raipur - 492 001 Madhya Pradesh</v>
          </cell>
          <cell r="I26" t="str">
            <v>Ahamedabad</v>
          </cell>
        </row>
        <row r="27">
          <cell r="B27" t="str">
            <v>W00025</v>
          </cell>
          <cell r="C27" t="str">
            <v>R3</v>
          </cell>
          <cell r="D27" t="str">
            <v>R</v>
          </cell>
          <cell r="E27" t="str">
            <v>Sajida Begum</v>
          </cell>
          <cell r="F27" t="str">
            <v>Reliance Clinical Lab &amp; Research Centre, Chandmari, Guwahati - 781 003</v>
          </cell>
          <cell r="I27" t="str">
            <v>Bhubneshwar</v>
          </cell>
        </row>
        <row r="28">
          <cell r="B28" t="str">
            <v>W00026</v>
          </cell>
          <cell r="C28" t="str">
            <v>R3</v>
          </cell>
          <cell r="D28" t="str">
            <v>R</v>
          </cell>
          <cell r="E28" t="str">
            <v>Sudhir M Neral</v>
          </cell>
          <cell r="F28" t="str">
            <v>5, Central Bazar Road, Ram Das Peth, Nagpur - 440010</v>
          </cell>
          <cell r="H28" t="str">
            <v>SNERAL</v>
          </cell>
          <cell r="I28" t="str">
            <v>Ahamedabad</v>
          </cell>
        </row>
        <row r="29">
          <cell r="B29" t="str">
            <v>W00027</v>
          </cell>
          <cell r="C29" t="str">
            <v>NA</v>
          </cell>
          <cell r="D29" t="str">
            <v>NA</v>
          </cell>
          <cell r="E29" t="str">
            <v>Welcome X-Ray &amp; Diagnostic Centre</v>
          </cell>
          <cell r="F29" t="str">
            <v>Opp Rukmani Devi Beni Prasad Jaipuria Hospital, Jaipur</v>
          </cell>
          <cell r="I29" t="str">
            <v>Gurgaon</v>
          </cell>
        </row>
        <row r="30">
          <cell r="B30" t="str">
            <v>W00028</v>
          </cell>
          <cell r="C30" t="str">
            <v>R3</v>
          </cell>
          <cell r="D30" t="str">
            <v>R</v>
          </cell>
          <cell r="E30" t="str">
            <v>Sethi Sonoscan</v>
          </cell>
          <cell r="F30" t="str">
            <v>JN 1-71-B4, Sector 9, Vashi, New Bombay</v>
          </cell>
          <cell r="I30" t="str">
            <v>Ahamedabad</v>
          </cell>
        </row>
        <row r="31">
          <cell r="B31" t="str">
            <v>W00029</v>
          </cell>
          <cell r="C31" t="str">
            <v>R3</v>
          </cell>
          <cell r="D31" t="str">
            <v>R</v>
          </cell>
          <cell r="E31" t="str">
            <v>Meenakshi Das-1</v>
          </cell>
          <cell r="F31" t="str">
            <v>Rohini Diagnostic, Seth Deokaran Dass Complex, Kacheri Road, Rourkela - 769 012</v>
          </cell>
          <cell r="H31" t="str">
            <v>MEENAKSHI</v>
          </cell>
          <cell r="I31" t="str">
            <v>Bhubneshwar</v>
          </cell>
        </row>
        <row r="32">
          <cell r="B32" t="str">
            <v>W00030</v>
          </cell>
          <cell r="C32" t="str">
            <v>R3</v>
          </cell>
          <cell r="D32" t="str">
            <v>R</v>
          </cell>
          <cell r="E32" t="str">
            <v>Y Mohan Reddy</v>
          </cell>
          <cell r="F32" t="str">
            <v>Mamta Nursing Home &amp; X-Ray Clinic, Musi Road, Nakrekal, Andhra Pradesh 508 211</v>
          </cell>
          <cell r="H32" t="str">
            <v>YMREDDY</v>
          </cell>
          <cell r="I32" t="str">
            <v>Bangalore</v>
          </cell>
        </row>
        <row r="33">
          <cell r="B33" t="str">
            <v>W00031</v>
          </cell>
          <cell r="C33" t="str">
            <v>R3</v>
          </cell>
          <cell r="D33" t="str">
            <v>R</v>
          </cell>
          <cell r="E33" t="str">
            <v>M Rama Rao</v>
          </cell>
          <cell r="F33" t="str">
            <v>Jyothi Hospital, Behind Natraj Theatre, Reddy Colony, Miryalaguda, Nalgonda Distt, A P - 508 207</v>
          </cell>
          <cell r="H33" t="str">
            <v>MRRAO</v>
          </cell>
          <cell r="I33" t="str">
            <v>Bangalore</v>
          </cell>
        </row>
        <row r="34">
          <cell r="B34" t="str">
            <v>W00032</v>
          </cell>
          <cell r="C34" t="str">
            <v>R3</v>
          </cell>
          <cell r="D34" t="str">
            <v>R</v>
          </cell>
          <cell r="E34" t="str">
            <v>St James Hospital</v>
          </cell>
          <cell r="F34" t="str">
            <v>Chalakudy-680307, Thrissur Distt, Kerala</v>
          </cell>
          <cell r="H34" t="str">
            <v>STJAMES</v>
          </cell>
          <cell r="I34" t="str">
            <v>Bangalore</v>
          </cell>
        </row>
        <row r="35">
          <cell r="B35" t="str">
            <v>W00033</v>
          </cell>
          <cell r="C35" t="str">
            <v>NA</v>
          </cell>
          <cell r="D35" t="str">
            <v>NA</v>
          </cell>
          <cell r="E35" t="str">
            <v>Moidu's Medicare Pvt Ltd.</v>
          </cell>
          <cell r="F35" t="str">
            <v>National Hospital, Indira Gandhi Road, Calicut - 673 001 Kerala</v>
          </cell>
          <cell r="I35" t="str">
            <v>Bangalore</v>
          </cell>
        </row>
        <row r="36">
          <cell r="B36" t="str">
            <v>W00034</v>
          </cell>
          <cell r="C36" t="str">
            <v>R1</v>
          </cell>
          <cell r="D36" t="str">
            <v>R</v>
          </cell>
          <cell r="E36" t="str">
            <v>Amrit Heart Scan &amp; Research Centre Pvt Ltd.-2</v>
          </cell>
          <cell r="F36" t="str">
            <v>SCO 54, Sector 20, Chandigarh.</v>
          </cell>
          <cell r="H36" t="str">
            <v>AMRIT</v>
          </cell>
          <cell r="I36" t="str">
            <v>Gurgaon</v>
          </cell>
        </row>
        <row r="37">
          <cell r="B37" t="str">
            <v>W00036</v>
          </cell>
          <cell r="C37" t="str">
            <v>R3</v>
          </cell>
          <cell r="D37" t="str">
            <v>R</v>
          </cell>
          <cell r="E37" t="str">
            <v>Babua Diagnostic Centre</v>
          </cell>
          <cell r="F37" t="str">
            <v>Behind Cancer Hospital, Kanpur-208024 Uttar Pradesh</v>
          </cell>
          <cell r="I37" t="str">
            <v>Gurgaon</v>
          </cell>
        </row>
        <row r="38">
          <cell r="B38" t="str">
            <v>W00037</v>
          </cell>
          <cell r="C38" t="str">
            <v>R3</v>
          </cell>
          <cell r="D38" t="str">
            <v>R</v>
          </cell>
          <cell r="E38" t="str">
            <v>Tara Hospital-1</v>
          </cell>
          <cell r="F38" t="str">
            <v>The Ridge, Simal 171 001 Himachal Pradesh</v>
          </cell>
          <cell r="H38" t="str">
            <v>TARA</v>
          </cell>
          <cell r="I38" t="str">
            <v>Gurgaon</v>
          </cell>
        </row>
        <row r="39">
          <cell r="B39" t="str">
            <v>W00038</v>
          </cell>
          <cell r="C39" t="str">
            <v>R3</v>
          </cell>
          <cell r="D39" t="str">
            <v>R</v>
          </cell>
          <cell r="E39" t="str">
            <v>Baby Memorial Hospital-1</v>
          </cell>
          <cell r="F39" t="str">
            <v>Indira Gandhi Road, Calicut - 673004 Kerala</v>
          </cell>
          <cell r="H39" t="str">
            <v>BABY</v>
          </cell>
          <cell r="I39" t="str">
            <v>Bangalore</v>
          </cell>
        </row>
        <row r="40">
          <cell r="B40" t="str">
            <v>W00039</v>
          </cell>
          <cell r="C40" t="str">
            <v>R1</v>
          </cell>
          <cell r="D40" t="str">
            <v>R</v>
          </cell>
          <cell r="E40" t="str">
            <v>Sai Mahima Shukla Nursing Home</v>
          </cell>
          <cell r="F40" t="str">
            <v>Ram  Nagar, Dharamshala, Himachal Pradesh</v>
          </cell>
          <cell r="H40" t="str">
            <v>SAIMAH</v>
          </cell>
          <cell r="I40" t="str">
            <v>Gurgaon</v>
          </cell>
        </row>
        <row r="41">
          <cell r="B41" t="str">
            <v>W00040</v>
          </cell>
          <cell r="C41" t="str">
            <v>R6</v>
          </cell>
          <cell r="D41" t="str">
            <v>R</v>
          </cell>
          <cell r="E41" t="str">
            <v>Soni Medical Resources Pvt Ltd.-1</v>
          </cell>
          <cell r="F41" t="str">
            <v>Lisie Medical Institutions Campus, P.O.Box 3053, Kochi - 683018</v>
          </cell>
          <cell r="I41" t="str">
            <v>Bangalore</v>
          </cell>
        </row>
        <row r="42">
          <cell r="B42" t="str">
            <v>W00041</v>
          </cell>
          <cell r="C42" t="str">
            <v>R3</v>
          </cell>
          <cell r="D42" t="str">
            <v>R</v>
          </cell>
          <cell r="E42" t="str">
            <v>Medinova Diagnostic Services Ltd.-2</v>
          </cell>
          <cell r="F42" t="str">
            <v>6-3-652, Kautilya, Somajiguda, Hyderabad - 500 082</v>
          </cell>
          <cell r="H42" t="str">
            <v>MEDINOVA</v>
          </cell>
          <cell r="I42" t="str">
            <v>Bangalore</v>
          </cell>
        </row>
        <row r="43">
          <cell r="B43" t="str">
            <v>W00042</v>
          </cell>
          <cell r="C43" t="str">
            <v>R3</v>
          </cell>
          <cell r="D43" t="str">
            <v>R</v>
          </cell>
          <cell r="E43" t="str">
            <v>Nivedita Maternity &amp; Nursing Home</v>
          </cell>
          <cell r="F43" t="str">
            <v>B-38, Gautam Nagar, Bhopal, Madhya Pradesh</v>
          </cell>
          <cell r="I43" t="str">
            <v>Gurgaon</v>
          </cell>
        </row>
        <row r="44">
          <cell r="B44" t="str">
            <v>W00043</v>
          </cell>
          <cell r="C44" t="str">
            <v>R3</v>
          </cell>
          <cell r="D44" t="str">
            <v>R</v>
          </cell>
          <cell r="E44" t="str">
            <v>Eko Diagnostic Pvt Ltd.-1</v>
          </cell>
          <cell r="F44" t="str">
            <v>54, Jawahar Lal Nehru Road, Calcutta</v>
          </cell>
          <cell r="H44" t="str">
            <v>EKO</v>
          </cell>
          <cell r="I44" t="str">
            <v>Bhubneshwar</v>
          </cell>
        </row>
        <row r="45">
          <cell r="B45" t="str">
            <v>W00044</v>
          </cell>
          <cell r="C45" t="str">
            <v>R3</v>
          </cell>
          <cell r="D45" t="str">
            <v>R</v>
          </cell>
          <cell r="E45" t="str">
            <v>Paliwal Hospital Pvt Ltd-1</v>
          </cell>
          <cell r="F45" t="str">
            <v>Barsia Road, Bhopal, Madhya Pradesh</v>
          </cell>
          <cell r="H45" t="str">
            <v>PALIWAL</v>
          </cell>
          <cell r="I45" t="str">
            <v>Ahamedabad</v>
          </cell>
        </row>
        <row r="46">
          <cell r="B46" t="str">
            <v>W00045</v>
          </cell>
          <cell r="C46" t="str">
            <v>R3</v>
          </cell>
          <cell r="D46" t="str">
            <v>R</v>
          </cell>
          <cell r="E46" t="str">
            <v>Central Polyclinic Materity &amp; Nursing Home</v>
          </cell>
          <cell r="F46" t="str">
            <v>Survey Bus Stop, Beltola, Guwahati - 781 028 (Assam)</v>
          </cell>
          <cell r="I46" t="str">
            <v>Bhubneshwar</v>
          </cell>
        </row>
        <row r="47">
          <cell r="B47" t="str">
            <v>W00046</v>
          </cell>
          <cell r="C47" t="str">
            <v>R3</v>
          </cell>
          <cell r="D47" t="str">
            <v>R</v>
          </cell>
          <cell r="E47" t="str">
            <v>Barthakur Clinic Pvt Ltd.</v>
          </cell>
          <cell r="F47" t="str">
            <v>Kharguli, Dist Kamrup,Guwahati - 781 0041 Assam</v>
          </cell>
          <cell r="I47" t="str">
            <v>Bhubneshwar</v>
          </cell>
        </row>
        <row r="48">
          <cell r="B48" t="str">
            <v>W00047</v>
          </cell>
          <cell r="C48" t="str">
            <v>R1</v>
          </cell>
          <cell r="D48" t="str">
            <v>R</v>
          </cell>
          <cell r="E48" t="str">
            <v>Bellary Healthcare Service Pvt Ltd.</v>
          </cell>
          <cell r="F48" t="str">
            <v>134, Kolachalam Compound, N R Plaza, Bellary 583 101</v>
          </cell>
          <cell r="H48" t="str">
            <v>BELLARY</v>
          </cell>
          <cell r="I48" t="str">
            <v>Bangalore</v>
          </cell>
        </row>
        <row r="49">
          <cell r="B49" t="str">
            <v>W00048</v>
          </cell>
          <cell r="C49" t="str">
            <v>NA</v>
          </cell>
          <cell r="D49" t="str">
            <v>NA</v>
          </cell>
          <cell r="E49" t="str">
            <v>Madho Hospital</v>
          </cell>
          <cell r="F49" t="str">
            <v>SCF 58-59, New Grain Market, Kuktsar - 152 026</v>
          </cell>
          <cell r="I49" t="str">
            <v>Gurgaon</v>
          </cell>
        </row>
        <row r="50">
          <cell r="B50" t="str">
            <v>W00049</v>
          </cell>
          <cell r="C50" t="str">
            <v>RB</v>
          </cell>
          <cell r="D50" t="str">
            <v>RB</v>
          </cell>
          <cell r="E50" t="str">
            <v>Virdi Hospital &amp; Diagnostic Centre</v>
          </cell>
          <cell r="F50" t="str">
            <v>M G Road, Raipur, Madhya Pradesh - 492 001</v>
          </cell>
          <cell r="I50" t="str">
            <v>Gurgaon</v>
          </cell>
        </row>
        <row r="51">
          <cell r="B51" t="str">
            <v>W00050</v>
          </cell>
          <cell r="C51" t="str">
            <v>R3</v>
          </cell>
          <cell r="D51" t="str">
            <v>R</v>
          </cell>
          <cell r="E51" t="str">
            <v>Hospito India Medical Foundation Ltd.-2</v>
          </cell>
          <cell r="F51" t="str">
            <v>Boring Road, Patna - 800 001</v>
          </cell>
          <cell r="H51" t="str">
            <v>HOSPITO</v>
          </cell>
          <cell r="I51" t="str">
            <v>Gurgaon</v>
          </cell>
        </row>
        <row r="52">
          <cell r="B52" t="str">
            <v>W00051</v>
          </cell>
          <cell r="C52" t="str">
            <v>R3</v>
          </cell>
          <cell r="D52" t="str">
            <v>R</v>
          </cell>
          <cell r="E52" t="str">
            <v>Alva's Health Centre</v>
          </cell>
          <cell r="F52" t="str">
            <v>Alva's Healthcare, Moodbidari, DK Distt, Karnataka - 574 227</v>
          </cell>
          <cell r="H52" t="str">
            <v>ALVA</v>
          </cell>
          <cell r="I52" t="str">
            <v>Bangalore</v>
          </cell>
        </row>
        <row r="53">
          <cell r="B53" t="str">
            <v>W00052</v>
          </cell>
          <cell r="C53" t="str">
            <v>NA</v>
          </cell>
          <cell r="D53" t="str">
            <v>NA</v>
          </cell>
          <cell r="E53" t="str">
            <v>Ajit Baruah</v>
          </cell>
          <cell r="F53" t="str">
            <v>Baruah X-Ray Clinic &amp; Laboratory, Jagat Goswami Road, Golaghat - 785 621 Assam</v>
          </cell>
          <cell r="I53" t="str">
            <v>Bhubneshwar</v>
          </cell>
        </row>
        <row r="54">
          <cell r="B54" t="str">
            <v>W00053</v>
          </cell>
          <cell r="C54" t="str">
            <v>R3</v>
          </cell>
          <cell r="D54" t="str">
            <v>R</v>
          </cell>
          <cell r="E54" t="str">
            <v>Masih X-Ray Centre-1</v>
          </cell>
          <cell r="F54" t="str">
            <v>69/1, Varuchi Marg, Freeganj, Ujjain (M.P.)</v>
          </cell>
          <cell r="H54" t="str">
            <v>MASIH</v>
          </cell>
          <cell r="I54" t="str">
            <v>Ahamedabad</v>
          </cell>
        </row>
        <row r="55">
          <cell r="B55" t="str">
            <v>W00054</v>
          </cell>
          <cell r="C55" t="str">
            <v>R1</v>
          </cell>
          <cell r="D55" t="str">
            <v>R</v>
          </cell>
          <cell r="E55" t="str">
            <v>Sri Ganganagar CAT-Scan &amp; Heart Centre (P) Ltd.</v>
          </cell>
          <cell r="F55" t="str">
            <v>2-A/32, Sukhadia Nagar, Shri Ganganagar - 335 001</v>
          </cell>
          <cell r="I55" t="str">
            <v>Gurgaon</v>
          </cell>
        </row>
        <row r="56">
          <cell r="B56" t="str">
            <v>W00055</v>
          </cell>
          <cell r="C56" t="str">
            <v>NA</v>
          </cell>
          <cell r="D56" t="str">
            <v>NA</v>
          </cell>
          <cell r="E56" t="str">
            <v>Manipal Academy of Higher Education</v>
          </cell>
          <cell r="F56" t="str">
            <v>University Building, Madhav Nagar, Manipal - 576 119</v>
          </cell>
          <cell r="I56" t="str">
            <v>Bangalore</v>
          </cell>
        </row>
        <row r="57">
          <cell r="B57" t="str">
            <v>W00056</v>
          </cell>
          <cell r="C57" t="str">
            <v>NA</v>
          </cell>
          <cell r="D57" t="str">
            <v>NA</v>
          </cell>
          <cell r="E57" t="str">
            <v>CT Scan Centre</v>
          </cell>
          <cell r="F57" t="str">
            <v>3/3, Armugam Circle, Basvangudi, Bangalore - 560 004.</v>
          </cell>
          <cell r="I57" t="str">
            <v>Bangalore</v>
          </cell>
        </row>
        <row r="58">
          <cell r="B58" t="str">
            <v>W00057</v>
          </cell>
          <cell r="C58" t="str">
            <v>R3</v>
          </cell>
          <cell r="D58" t="str">
            <v>R</v>
          </cell>
          <cell r="E58" t="str">
            <v>Baby Memorial Hospital-3</v>
          </cell>
          <cell r="F58" t="str">
            <v>Indira Gandhi Road, Calicut - 673004 Kerala</v>
          </cell>
          <cell r="H58" t="str">
            <v>BABY</v>
          </cell>
          <cell r="I58" t="str">
            <v>Bangalore</v>
          </cell>
        </row>
        <row r="59">
          <cell r="B59" t="str">
            <v>W00058</v>
          </cell>
          <cell r="C59" t="str">
            <v>RB</v>
          </cell>
          <cell r="D59" t="str">
            <v>RB</v>
          </cell>
          <cell r="E59" t="str">
            <v>Trichy Premier CT Scans Limited</v>
          </cell>
          <cell r="F59" t="str">
            <v>11/B-3, Sastry Road, Temur, Trichy, Tamil Nadu - 620017</v>
          </cell>
          <cell r="H59" t="str">
            <v>TRICHY</v>
          </cell>
          <cell r="I59" t="str">
            <v>Bangalore</v>
          </cell>
        </row>
        <row r="60">
          <cell r="B60" t="str">
            <v>W00059</v>
          </cell>
          <cell r="C60" t="str">
            <v>R3</v>
          </cell>
          <cell r="D60" t="str">
            <v>R</v>
          </cell>
          <cell r="E60" t="str">
            <v>R Kanagasabapathy</v>
          </cell>
          <cell r="F60" t="str">
            <v>No 4, LIG Colony, Cross Road, Washermanpet, Madras 600 081.</v>
          </cell>
          <cell r="I60" t="str">
            <v>Bangalore</v>
          </cell>
        </row>
        <row r="61">
          <cell r="B61" t="str">
            <v>W00060</v>
          </cell>
          <cell r="C61" t="str">
            <v>R3</v>
          </cell>
          <cell r="D61" t="str">
            <v>R</v>
          </cell>
          <cell r="E61" t="str">
            <v>AVMM Associates Pvt Ltd.</v>
          </cell>
          <cell r="F61" t="str">
            <v>181, North Cotton Road, Tuticorin 628 001</v>
          </cell>
          <cell r="H61" t="str">
            <v>AVMM</v>
          </cell>
          <cell r="I61" t="str">
            <v>Bangalore</v>
          </cell>
        </row>
        <row r="62">
          <cell r="B62" t="str">
            <v>W00061</v>
          </cell>
          <cell r="C62" t="str">
            <v>R3</v>
          </cell>
          <cell r="D62" t="str">
            <v>R</v>
          </cell>
          <cell r="E62" t="str">
            <v>Polylab</v>
          </cell>
          <cell r="F62" t="str">
            <v>1st Floor, Shahida Building, AVK Nair Road, Thalassery - 670 101</v>
          </cell>
          <cell r="I62" t="str">
            <v>Bangalore</v>
          </cell>
        </row>
        <row r="63">
          <cell r="B63" t="str">
            <v>W00062</v>
          </cell>
          <cell r="C63" t="str">
            <v>R3</v>
          </cell>
          <cell r="D63" t="str">
            <v>R</v>
          </cell>
          <cell r="E63" t="str">
            <v>Sangeetha Sumanth</v>
          </cell>
          <cell r="F63" t="str">
            <v>No B4, Aswathi Apartments, 16, 2nd Crescent Park Road, Gandhinagar Adyar, Madras - 600 020</v>
          </cell>
          <cell r="I63" t="str">
            <v>Bangalore</v>
          </cell>
        </row>
        <row r="64">
          <cell r="B64" t="str">
            <v>W00063</v>
          </cell>
          <cell r="C64" t="str">
            <v>R3</v>
          </cell>
          <cell r="D64" t="str">
            <v>R</v>
          </cell>
          <cell r="E64" t="str">
            <v>Rukmini Scanning &amp; Diagnostic Centre</v>
          </cell>
          <cell r="F64" t="str">
            <v>Opposite New Tehsil, Purana Adda, Chandigarh Road, Hoshiarpur (Punjab)</v>
          </cell>
          <cell r="I64" t="str">
            <v>Gurgaon</v>
          </cell>
        </row>
        <row r="65">
          <cell r="B65" t="str">
            <v>W00064</v>
          </cell>
          <cell r="C65" t="str">
            <v>R3</v>
          </cell>
          <cell r="D65" t="str">
            <v>R</v>
          </cell>
          <cell r="E65" t="str">
            <v>Sai Blood Bank &amp; Clinical Lab &amp; X Rays</v>
          </cell>
          <cell r="F65" t="str">
            <v>8, Krishnaroyar Tank Road, Madurai - 1</v>
          </cell>
          <cell r="H65" t="str">
            <v>SAIBLD</v>
          </cell>
          <cell r="I65" t="str">
            <v>Bangalore</v>
          </cell>
        </row>
        <row r="66">
          <cell r="B66" t="str">
            <v>W00065</v>
          </cell>
          <cell r="C66" t="str">
            <v>NA</v>
          </cell>
          <cell r="D66" t="str">
            <v>NA</v>
          </cell>
          <cell r="E66" t="str">
            <v>Body Vision</v>
          </cell>
          <cell r="F66" t="str">
            <v>3/3, Arumugam Circle, Basvanguoli, Bangalore - 660 004</v>
          </cell>
          <cell r="I66" t="str">
            <v>Bangalore</v>
          </cell>
        </row>
        <row r="67">
          <cell r="B67" t="str">
            <v>W00066</v>
          </cell>
          <cell r="C67" t="str">
            <v>R1</v>
          </cell>
          <cell r="D67" t="str">
            <v>R</v>
          </cell>
          <cell r="E67" t="str">
            <v>Srinivasa Nursing Home</v>
          </cell>
          <cell r="F67" t="str">
            <v>K T Road, Kasiugga - 532 222 Srikakulam Distt, Andhra Pradesh</v>
          </cell>
          <cell r="H67" t="str">
            <v>SRININH</v>
          </cell>
          <cell r="I67" t="str">
            <v>Bangalore</v>
          </cell>
        </row>
        <row r="68">
          <cell r="B68" t="str">
            <v>W00067</v>
          </cell>
          <cell r="C68" t="str">
            <v>R3</v>
          </cell>
          <cell r="D68" t="str">
            <v>R</v>
          </cell>
          <cell r="E68" t="str">
            <v>Sewa Nursing Home</v>
          </cell>
          <cell r="F68" t="str">
            <v>Civil Line, Tikamgarh, Madhya Pradesh 472 001</v>
          </cell>
          <cell r="H68" t="str">
            <v>SEWA</v>
          </cell>
          <cell r="I68" t="str">
            <v>Ahamedabad</v>
          </cell>
        </row>
        <row r="69">
          <cell r="B69" t="str">
            <v>W00068</v>
          </cell>
          <cell r="C69" t="str">
            <v>NA</v>
          </cell>
          <cell r="D69" t="str">
            <v>NA</v>
          </cell>
          <cell r="E69" t="str">
            <v>Dhandhe Diagnostic Research Inst Pvt Ltd.</v>
          </cell>
          <cell r="F69" t="str">
            <v>10, Meher Prasad Central Bazar Road, Ramdaspeth, Nagpur 440 010</v>
          </cell>
          <cell r="H69" t="str">
            <v>NAGPUR</v>
          </cell>
          <cell r="I69" t="str">
            <v>Ahamedabad</v>
          </cell>
        </row>
        <row r="70">
          <cell r="B70" t="str">
            <v>W00069</v>
          </cell>
          <cell r="C70" t="str">
            <v>NA</v>
          </cell>
          <cell r="D70" t="str">
            <v>NA</v>
          </cell>
          <cell r="E70" t="str">
            <v>Erode CT Scan centre &amp; Research Institute</v>
          </cell>
          <cell r="F70" t="str">
            <v>5 &amp; 6, Palaniappa Road, Gandhi Nagar, Erode 638 009</v>
          </cell>
          <cell r="H70" t="str">
            <v>ERODE</v>
          </cell>
          <cell r="I70" t="str">
            <v>Bangalore</v>
          </cell>
        </row>
        <row r="71">
          <cell r="B71" t="str">
            <v>W00070</v>
          </cell>
          <cell r="C71" t="str">
            <v>R3</v>
          </cell>
          <cell r="D71" t="str">
            <v>R</v>
          </cell>
          <cell r="E71" t="str">
            <v>The Kamala Medico</v>
          </cell>
          <cell r="F71" t="str">
            <v>P O Susrutanagar, North Bengal Medical Campus, Distt Dharjeeling - 734 432 West Bengal</v>
          </cell>
          <cell r="H71" t="str">
            <v>KAMALA</v>
          </cell>
          <cell r="I71" t="str">
            <v>Bhubneshwar</v>
          </cell>
        </row>
        <row r="72">
          <cell r="B72" t="str">
            <v>W00071</v>
          </cell>
          <cell r="C72" t="str">
            <v>R3</v>
          </cell>
          <cell r="D72" t="str">
            <v>R</v>
          </cell>
          <cell r="E72" t="str">
            <v>Sree Sathya Sai Baba Hospital</v>
          </cell>
          <cell r="F72" t="str">
            <v># 9, Jermiah Road, Crystal Court Appt, Frazer Town, Bangalore</v>
          </cell>
          <cell r="H72" t="str">
            <v>SREES</v>
          </cell>
          <cell r="I72" t="str">
            <v>Bangalore</v>
          </cell>
        </row>
        <row r="73">
          <cell r="B73" t="str">
            <v>W00072</v>
          </cell>
          <cell r="C73" t="str">
            <v>R3</v>
          </cell>
          <cell r="D73" t="str">
            <v>R</v>
          </cell>
          <cell r="E73" t="str">
            <v>Baby Memorial Hospital-2</v>
          </cell>
          <cell r="F73" t="str">
            <v>Indira Gandhi Road, Calicut - 673 004</v>
          </cell>
          <cell r="H73" t="str">
            <v>BABY</v>
          </cell>
          <cell r="I73" t="str">
            <v>Bangalore</v>
          </cell>
        </row>
        <row r="74">
          <cell r="B74" t="str">
            <v>W00073</v>
          </cell>
          <cell r="C74" t="str">
            <v>R3</v>
          </cell>
          <cell r="D74" t="str">
            <v>R</v>
          </cell>
          <cell r="E74" t="str">
            <v>Jeya Sekharan Medical Trust</v>
          </cell>
          <cell r="F74" t="str">
            <v>Door No. 253G, Parvathi Pur, Nagercoil</v>
          </cell>
          <cell r="H74" t="str">
            <v>JEYAS</v>
          </cell>
          <cell r="I74" t="str">
            <v>Bangalore</v>
          </cell>
        </row>
        <row r="75">
          <cell r="B75" t="str">
            <v>W00074</v>
          </cell>
          <cell r="C75" t="str">
            <v>R3</v>
          </cell>
          <cell r="D75" t="str">
            <v>R</v>
          </cell>
          <cell r="E75" t="str">
            <v>Vijaya Medical Centre-2</v>
          </cell>
          <cell r="F75" t="str">
            <v>Zilla Parishad Junction, Maharanipeta, Visakapatnam - 530 002</v>
          </cell>
          <cell r="H75" t="str">
            <v>VIJAYA</v>
          </cell>
          <cell r="I75" t="str">
            <v>Bangalore</v>
          </cell>
        </row>
        <row r="76">
          <cell r="B76" t="str">
            <v>W00075</v>
          </cell>
          <cell r="C76" t="str">
            <v>R3</v>
          </cell>
          <cell r="D76" t="str">
            <v>R</v>
          </cell>
          <cell r="E76" t="str">
            <v>R K Chakrabarti</v>
          </cell>
          <cell r="F76" t="str">
            <v>North Point Nursing Home, 39, Post Office Road, Dumdum Contonment, Calcutta - 700 028</v>
          </cell>
          <cell r="I76" t="str">
            <v>Bhubneshwar</v>
          </cell>
        </row>
        <row r="77">
          <cell r="B77" t="str">
            <v>W00076</v>
          </cell>
          <cell r="C77" t="str">
            <v>NA</v>
          </cell>
          <cell r="D77" t="str">
            <v>NA</v>
          </cell>
          <cell r="E77" t="str">
            <v>Apollo Medical Investigations</v>
          </cell>
          <cell r="F77" t="str">
            <v>56 Shops, Palasia Road, Indore (M.P.)</v>
          </cell>
          <cell r="I77" t="str">
            <v>Gurgaon</v>
          </cell>
        </row>
        <row r="78">
          <cell r="B78" t="str">
            <v>W00077</v>
          </cell>
          <cell r="C78" t="str">
            <v>R3</v>
          </cell>
          <cell r="D78" t="str">
            <v>R</v>
          </cell>
          <cell r="E78" t="str">
            <v>Madhu Scan Centre</v>
          </cell>
          <cell r="F78" t="str">
            <v>Susrutha Uro-Renal Hospital, Pogathota, Nellore - 524 001 Andhra Pradesh</v>
          </cell>
          <cell r="H78" t="str">
            <v>MADHU</v>
          </cell>
          <cell r="I78" t="str">
            <v>Bangalore</v>
          </cell>
        </row>
        <row r="79">
          <cell r="B79" t="str">
            <v>W00078</v>
          </cell>
          <cell r="C79" t="str">
            <v>R3</v>
          </cell>
          <cell r="D79" t="str">
            <v>R</v>
          </cell>
          <cell r="E79" t="str">
            <v>G G Medical Health Care Ltd.</v>
          </cell>
          <cell r="F79" t="str">
            <v>Block 106/2, Sanjay Place, Agra - 282 002 U.P.</v>
          </cell>
          <cell r="H79" t="str">
            <v>GGMED</v>
          </cell>
          <cell r="I79" t="str">
            <v>Gurgaon</v>
          </cell>
        </row>
        <row r="80">
          <cell r="B80" t="str">
            <v>W00079</v>
          </cell>
          <cell r="C80" t="str">
            <v>R3</v>
          </cell>
          <cell r="D80" t="str">
            <v>R</v>
          </cell>
          <cell r="E80" t="str">
            <v>R B Seth Jessa Ram &amp; Bros Charitable Hospital Trust-1</v>
          </cell>
          <cell r="F80" t="str">
            <v>Hospital Building, W.E.A Karol Bagh, New Delhi - 100 005.</v>
          </cell>
          <cell r="H80" t="str">
            <v>JESSA</v>
          </cell>
          <cell r="I80" t="str">
            <v>Gurgaon</v>
          </cell>
        </row>
        <row r="81">
          <cell r="B81" t="str">
            <v>W00080</v>
          </cell>
          <cell r="C81" t="str">
            <v>R1</v>
          </cell>
          <cell r="D81" t="str">
            <v>R</v>
          </cell>
          <cell r="E81" t="str">
            <v>Cardio Vascular Specialists Pvt Ltd.</v>
          </cell>
          <cell r="F81" t="str">
            <v>62, Dial Mahal, Dalamal Park, Cuffe Parade, Mumbai - 400 005.</v>
          </cell>
          <cell r="H81" t="str">
            <v>CVSPL</v>
          </cell>
          <cell r="I81" t="str">
            <v>Ahamedabad</v>
          </cell>
        </row>
        <row r="82">
          <cell r="B82" t="str">
            <v>W00081</v>
          </cell>
          <cell r="C82" t="str">
            <v>R3</v>
          </cell>
          <cell r="D82" t="str">
            <v>R</v>
          </cell>
          <cell r="E82" t="str">
            <v>Dhanvantri Diagnostic Research Centre Pvt Ltd.-2</v>
          </cell>
          <cell r="F82" t="str">
            <v>Sumer Bhawan, Shivani Road, Bachcha Park, Meerut - 250 001</v>
          </cell>
          <cell r="H82" t="str">
            <v>DHNVNTRI</v>
          </cell>
          <cell r="I82" t="str">
            <v>Gurgaon</v>
          </cell>
        </row>
        <row r="83">
          <cell r="B83" t="str">
            <v>W00082</v>
          </cell>
          <cell r="C83" t="str">
            <v>R3</v>
          </cell>
          <cell r="D83" t="str">
            <v>R</v>
          </cell>
          <cell r="E83" t="str">
            <v>Diagnostic Laboratory &amp; X-Ray Clinic</v>
          </cell>
          <cell r="F83" t="str">
            <v>2, Jan Mohammed Ghat Road, Naihati, North 24 Pargana, West Bengal</v>
          </cell>
          <cell r="H83" t="str">
            <v>DIAGLAB</v>
          </cell>
          <cell r="I83" t="str">
            <v>Bhubneshwar</v>
          </cell>
        </row>
        <row r="84">
          <cell r="B84" t="str">
            <v>W00083</v>
          </cell>
          <cell r="C84" t="str">
            <v>R3</v>
          </cell>
          <cell r="D84" t="str">
            <v>R</v>
          </cell>
          <cell r="E84" t="str">
            <v>S R V Thangamani</v>
          </cell>
          <cell r="F84" t="str">
            <v>8, Balakrishna Nagar, Mannargudi 614 001 Nagai, Q M Dist.</v>
          </cell>
          <cell r="I84" t="str">
            <v>Bangalore</v>
          </cell>
        </row>
        <row r="85">
          <cell r="B85" t="str">
            <v>W00084</v>
          </cell>
          <cell r="C85" t="str">
            <v>R1</v>
          </cell>
          <cell r="D85" t="str">
            <v>R</v>
          </cell>
          <cell r="E85" t="str">
            <v>Ambala CT Scan &amp; Research Lab Pvt Ltd.</v>
          </cell>
          <cell r="F85" t="str">
            <v>38A, Tribune Colony, Ambala Cantt 133 001</v>
          </cell>
          <cell r="H85" t="str">
            <v>AMBALA</v>
          </cell>
          <cell r="I85" t="str">
            <v>Gurgaon</v>
          </cell>
        </row>
        <row r="86">
          <cell r="B86" t="str">
            <v>W00085</v>
          </cell>
          <cell r="C86" t="str">
            <v>R3</v>
          </cell>
          <cell r="D86" t="str">
            <v>R</v>
          </cell>
          <cell r="E86" t="str">
            <v>Kishore Diagnostics Pvt Ltd-1</v>
          </cell>
          <cell r="F86" t="str">
            <v>Ranihat Medical Road, Mahanadi Vihar, Cuttack 753 004 Orissa</v>
          </cell>
          <cell r="I86" t="str">
            <v>Bhubneshwar</v>
          </cell>
        </row>
        <row r="87">
          <cell r="B87" t="str">
            <v>W00086</v>
          </cell>
          <cell r="C87" t="str">
            <v>R3</v>
          </cell>
          <cell r="D87" t="str">
            <v>R</v>
          </cell>
          <cell r="E87" t="str">
            <v>S Srinivasa Rao</v>
          </cell>
          <cell r="F87" t="str">
            <v>2-10-763, Near Omshanti, Jyothi Nagar, Karimnagar (A.P.)</v>
          </cell>
          <cell r="H87" t="str">
            <v>SSRAO</v>
          </cell>
          <cell r="I87" t="str">
            <v>Bangalore</v>
          </cell>
        </row>
        <row r="88">
          <cell r="B88" t="str">
            <v>W00087</v>
          </cell>
          <cell r="C88" t="str">
            <v>R3</v>
          </cell>
          <cell r="D88" t="str">
            <v>R</v>
          </cell>
          <cell r="E88" t="str">
            <v>G Neuromed Diagnostic Centre Pvt Ltd.-1</v>
          </cell>
          <cell r="F88" t="str">
            <v>C-15, Sarvodaya Nagar, Kanpur - 208 005 (U.P)</v>
          </cell>
          <cell r="H88" t="str">
            <v>GNEURO</v>
          </cell>
          <cell r="I88" t="str">
            <v>Gurgaon</v>
          </cell>
        </row>
        <row r="89">
          <cell r="B89" t="str">
            <v>W00088</v>
          </cell>
          <cell r="C89" t="str">
            <v>R1</v>
          </cell>
          <cell r="D89" t="str">
            <v>R</v>
          </cell>
          <cell r="E89" t="str">
            <v>Arputhamary</v>
          </cell>
          <cell r="F89" t="str">
            <v>Anitha Nursing Home, No 138, Thiruvallur Road, Sunguvarchatram 602 106 Kanchipuram Distt.</v>
          </cell>
          <cell r="I89" t="str">
            <v>Bangalore</v>
          </cell>
        </row>
        <row r="90">
          <cell r="B90" t="str">
            <v>W00089</v>
          </cell>
          <cell r="C90" t="str">
            <v>NA</v>
          </cell>
          <cell r="D90" t="str">
            <v>NA</v>
          </cell>
          <cell r="E90" t="str">
            <v>B Bharathi</v>
          </cell>
          <cell r="F90" t="str">
            <v>Aishwarya Scan Centre, Abhilasha Nursing Home, Sullurpet 524 121 Nellore Dist, Andhra Pradesh</v>
          </cell>
          <cell r="I90" t="str">
            <v>Bangalore</v>
          </cell>
        </row>
        <row r="91">
          <cell r="B91" t="str">
            <v>W00090</v>
          </cell>
          <cell r="C91" t="str">
            <v>NA</v>
          </cell>
          <cell r="D91" t="str">
            <v>NA</v>
          </cell>
          <cell r="E91" t="str">
            <v>K Venkateshwara Rao</v>
          </cell>
          <cell r="F91" t="str">
            <v>30, Mosque Street, Vadapalani, Madras - 600 026</v>
          </cell>
          <cell r="I91" t="str">
            <v>Bangalore</v>
          </cell>
        </row>
        <row r="92">
          <cell r="B92" t="str">
            <v>W00091</v>
          </cell>
          <cell r="C92" t="str">
            <v>R1</v>
          </cell>
          <cell r="D92" t="str">
            <v>R</v>
          </cell>
          <cell r="E92" t="str">
            <v>Balaji Nursing Home</v>
          </cell>
          <cell r="F92" t="str">
            <v>Sambalpur, Opp Headquarters Hospital, Orissa</v>
          </cell>
          <cell r="H92" t="str">
            <v>BALAJI</v>
          </cell>
          <cell r="I92" t="str">
            <v>Bhubneshwar</v>
          </cell>
        </row>
        <row r="93">
          <cell r="B93" t="str">
            <v>W00092</v>
          </cell>
          <cell r="C93" t="str">
            <v>R3</v>
          </cell>
          <cell r="D93" t="str">
            <v>R</v>
          </cell>
          <cell r="E93" t="str">
            <v>Jayesh B Solanki</v>
          </cell>
          <cell r="F93" t="str">
            <v>Riya X-Ray &amp; Sonography Clinic, 002, C-33, Sector 2, saroj, Shanti Nagar, Mira Road (E) 401107</v>
          </cell>
          <cell r="I93" t="str">
            <v>Ahamedabad</v>
          </cell>
        </row>
        <row r="94">
          <cell r="B94" t="str">
            <v>W00093</v>
          </cell>
          <cell r="C94" t="str">
            <v>NA</v>
          </cell>
          <cell r="D94" t="str">
            <v>NA</v>
          </cell>
          <cell r="E94" t="str">
            <v>Salem Neuro Scan &amp; MRI Centre (P) Ltd</v>
          </cell>
          <cell r="F94" t="str">
            <v>166-F, Ammachi Gounder Street, Ramakrishna Road, Salem - 636 007</v>
          </cell>
          <cell r="I94" t="str">
            <v>Bangalore</v>
          </cell>
        </row>
        <row r="95">
          <cell r="B95" t="str">
            <v>W00094</v>
          </cell>
          <cell r="C95" t="str">
            <v>NA</v>
          </cell>
          <cell r="D95" t="str">
            <v>NA</v>
          </cell>
          <cell r="E95" t="str">
            <v>Sunil K Agarwal</v>
          </cell>
          <cell r="F95" t="str">
            <v>Arya Bhawan, Govindgarh Road, Rewa, Madhya Pradesh</v>
          </cell>
          <cell r="H95" t="str">
            <v>SUNILK</v>
          </cell>
          <cell r="I95" t="str">
            <v>Ahamedabad</v>
          </cell>
        </row>
        <row r="96">
          <cell r="B96" t="str">
            <v>W00095</v>
          </cell>
          <cell r="C96" t="str">
            <v>R3</v>
          </cell>
          <cell r="D96" t="str">
            <v>R</v>
          </cell>
          <cell r="E96" t="str">
            <v>Ultralab Diagnostic Centre</v>
          </cell>
          <cell r="F96" t="str">
            <v>GMCH Road, Bhangagarh, Guwahati - 781 005 Assam</v>
          </cell>
          <cell r="I96" t="str">
            <v>Bhubneshwar</v>
          </cell>
        </row>
        <row r="97">
          <cell r="B97" t="str">
            <v>W00096</v>
          </cell>
          <cell r="C97" t="str">
            <v>R1</v>
          </cell>
          <cell r="D97" t="str">
            <v>R</v>
          </cell>
          <cell r="E97" t="str">
            <v>Apollo Medical Investigations</v>
          </cell>
          <cell r="F97" t="str">
            <v>584, M G Road, Near 56 Shops, New Palasia, Indore - 452 001</v>
          </cell>
          <cell r="I97" t="str">
            <v>Gurgaon</v>
          </cell>
        </row>
        <row r="98">
          <cell r="B98" t="str">
            <v>W00097</v>
          </cell>
          <cell r="C98" t="str">
            <v>R1</v>
          </cell>
          <cell r="D98" t="str">
            <v>R</v>
          </cell>
          <cell r="E98" t="str">
            <v>Ganga Scan &amp; Research Centre</v>
          </cell>
          <cell r="F98" t="str">
            <v>Nepali Kothi, Kadamkuan, Patna - 800 003</v>
          </cell>
          <cell r="H98" t="str">
            <v>GANGA</v>
          </cell>
          <cell r="I98" t="str">
            <v>Gurgaon</v>
          </cell>
        </row>
        <row r="99">
          <cell r="B99" t="str">
            <v>W00098</v>
          </cell>
          <cell r="C99" t="str">
            <v>R1</v>
          </cell>
          <cell r="D99" t="str">
            <v>R</v>
          </cell>
          <cell r="E99" t="str">
            <v>R Sankar</v>
          </cell>
          <cell r="F99" t="str">
            <v>43, Ramalinga Mudaliar Street, Ariyalur, Tamil Nadu</v>
          </cell>
          <cell r="I99" t="str">
            <v>Bangalore</v>
          </cell>
        </row>
        <row r="100">
          <cell r="B100" t="str">
            <v>W00099</v>
          </cell>
          <cell r="C100" t="str">
            <v>NA</v>
          </cell>
          <cell r="D100" t="str">
            <v>NA</v>
          </cell>
          <cell r="E100" t="str">
            <v>Modern X-Ray Clinic</v>
          </cell>
          <cell r="F100" t="str">
            <v>P O Rupnarayanpur Bazar, Near BDO Office, Dist Burdwan, West Bengal</v>
          </cell>
          <cell r="I100" t="str">
            <v>Bhubneshwar</v>
          </cell>
        </row>
        <row r="101">
          <cell r="B101" t="str">
            <v>W00100</v>
          </cell>
          <cell r="C101" t="str">
            <v>R1</v>
          </cell>
          <cell r="D101" t="str">
            <v>R</v>
          </cell>
          <cell r="E101" t="str">
            <v>Medicave Diagnostic Centre (P) Ltd.-2</v>
          </cell>
          <cell r="F101" t="str">
            <v>48B, B T Road, Calcutta - 700 050</v>
          </cell>
          <cell r="H101" t="str">
            <v>MEDICAVE</v>
          </cell>
          <cell r="I101" t="str">
            <v>Bhubneshwar</v>
          </cell>
        </row>
        <row r="102">
          <cell r="B102" t="str">
            <v>W00101</v>
          </cell>
          <cell r="C102" t="str">
            <v>R3</v>
          </cell>
          <cell r="D102" t="str">
            <v>R</v>
          </cell>
          <cell r="E102" t="str">
            <v>Tara Hospital-2</v>
          </cell>
          <cell r="F102" t="str">
            <v>The Ridge, Shimla, Himachal Pradesh - 171001</v>
          </cell>
          <cell r="H102" t="str">
            <v>TARA</v>
          </cell>
          <cell r="I102" t="str">
            <v>Gurgaon</v>
          </cell>
        </row>
        <row r="103">
          <cell r="B103" t="str">
            <v>W00102</v>
          </cell>
          <cell r="C103" t="str">
            <v>NA</v>
          </cell>
          <cell r="D103" t="str">
            <v>NA</v>
          </cell>
          <cell r="E103" t="str">
            <v>Tanveer Ahmed Khan</v>
          </cell>
          <cell r="F103" t="str">
            <v>Hatam Polyclinic &amp; Diagnostic Centre, Top Khana Road, Kanpur U P</v>
          </cell>
          <cell r="I103" t="str">
            <v>Gurgaon</v>
          </cell>
        </row>
        <row r="104">
          <cell r="B104" t="str">
            <v>W00103</v>
          </cell>
          <cell r="C104" t="str">
            <v>NA</v>
          </cell>
          <cell r="D104" t="str">
            <v>NA</v>
          </cell>
          <cell r="E104" t="str">
            <v>J N Shori Hospital</v>
          </cell>
          <cell r="F104" t="str">
            <v>Nalagarh Road, Pinjore, Distt Ambala</v>
          </cell>
          <cell r="I104" t="str">
            <v>Gurgaon</v>
          </cell>
        </row>
        <row r="105">
          <cell r="B105" t="str">
            <v>W00104</v>
          </cell>
          <cell r="C105" t="str">
            <v>NA</v>
          </cell>
          <cell r="D105" t="str">
            <v>NA</v>
          </cell>
          <cell r="E105" t="str">
            <v>Shrenik J Patil</v>
          </cell>
          <cell r="F105" t="str">
            <v>Chavan Complex, Civil Hospital Road, Near S.T. Stand, Sangli 416 416 Maharashtra</v>
          </cell>
          <cell r="I105" t="str">
            <v>Ahamedabad</v>
          </cell>
        </row>
        <row r="106">
          <cell r="B106" t="str">
            <v>W00105</v>
          </cell>
          <cell r="C106" t="str">
            <v>R3</v>
          </cell>
          <cell r="D106" t="str">
            <v>R</v>
          </cell>
          <cell r="E106" t="str">
            <v>L S Virdi</v>
          </cell>
          <cell r="F106" t="str">
            <v>M G Road, Raipur, Madhya Pradesh</v>
          </cell>
          <cell r="H106" t="str">
            <v>LSVIRDI</v>
          </cell>
          <cell r="I106" t="str">
            <v>Ahamedabad</v>
          </cell>
        </row>
        <row r="107">
          <cell r="B107" t="str">
            <v>W00106</v>
          </cell>
          <cell r="C107" t="str">
            <v>R3</v>
          </cell>
          <cell r="D107" t="str">
            <v>R</v>
          </cell>
          <cell r="E107" t="str">
            <v>Meenakshi Das-3</v>
          </cell>
          <cell r="F107" t="str">
            <v>B-9, Seth Deokaran Das Complex, Kacheri Road, Rourkela - 769 012</v>
          </cell>
          <cell r="H107" t="str">
            <v>MEENAKSHI</v>
          </cell>
          <cell r="I107" t="str">
            <v>Bhubneshwar</v>
          </cell>
        </row>
        <row r="108">
          <cell r="B108" t="str">
            <v>W00107</v>
          </cell>
          <cell r="C108" t="str">
            <v>R3</v>
          </cell>
          <cell r="D108" t="str">
            <v>R</v>
          </cell>
          <cell r="E108" t="str">
            <v>North Bengal Nursing Home</v>
          </cell>
          <cell r="F108" t="str">
            <v>25, K J Sanyal Road, Malda, West Bengal</v>
          </cell>
          <cell r="H108" t="str">
            <v>NBENG</v>
          </cell>
          <cell r="I108" t="str">
            <v>Bhubneshwar</v>
          </cell>
        </row>
        <row r="109">
          <cell r="B109" t="str">
            <v>W00108</v>
          </cell>
          <cell r="C109" t="str">
            <v>NA</v>
          </cell>
          <cell r="D109" t="str">
            <v>NA</v>
          </cell>
          <cell r="E109" t="str">
            <v>K Pathmanabhan</v>
          </cell>
          <cell r="F109" t="str">
            <v>No 22, Nageswara Road, Nungambakkam, Madras - 600 034</v>
          </cell>
          <cell r="I109" t="str">
            <v>Bangalore</v>
          </cell>
        </row>
        <row r="110">
          <cell r="B110" t="str">
            <v>W00109</v>
          </cell>
          <cell r="C110" t="str">
            <v>R3</v>
          </cell>
          <cell r="D110" t="str">
            <v>R</v>
          </cell>
          <cell r="E110" t="str">
            <v>Vijaya Medical Centre-1</v>
          </cell>
          <cell r="F110" t="str">
            <v>Zilla Parishad Juncion, Maharanipeta Visakhapatnam - 530 002</v>
          </cell>
          <cell r="H110" t="str">
            <v>VIJAYA</v>
          </cell>
          <cell r="I110" t="str">
            <v>Bangalore</v>
          </cell>
        </row>
        <row r="111">
          <cell r="B111" t="str">
            <v>W00110</v>
          </cell>
          <cell r="C111" t="str">
            <v>R3</v>
          </cell>
          <cell r="D111" t="str">
            <v>R</v>
          </cell>
          <cell r="E111" t="str">
            <v>Chawla Scanning Centre</v>
          </cell>
          <cell r="F111" t="str">
            <v>9, Lajpat Nagar, Jalandhar City, Distt Jalandhar, Punjab</v>
          </cell>
          <cell r="I111" t="str">
            <v>Gurgaon</v>
          </cell>
        </row>
        <row r="112">
          <cell r="B112" t="str">
            <v>W00111</v>
          </cell>
          <cell r="C112" t="str">
            <v>R3</v>
          </cell>
          <cell r="D112" t="str">
            <v>R</v>
          </cell>
          <cell r="E112" t="str">
            <v>Medinova Diagnostic Services Ltd.-1</v>
          </cell>
          <cell r="F112" t="str">
            <v>6-3-652, Kautilya, Somajiguda, Hyderabad - 500 082</v>
          </cell>
          <cell r="I112" t="str">
            <v>Bangalore</v>
          </cell>
        </row>
        <row r="113">
          <cell r="B113" t="str">
            <v>W00112</v>
          </cell>
          <cell r="C113" t="str">
            <v>NA</v>
          </cell>
          <cell r="D113" t="str">
            <v>NA</v>
          </cell>
          <cell r="E113" t="str">
            <v>Prime MRI Centre</v>
          </cell>
          <cell r="F113" t="str">
            <v>Ashwani Prasad Hospital, Station Road, Miraj, Maharashtra</v>
          </cell>
          <cell r="I113" t="str">
            <v>Ahamedabad</v>
          </cell>
        </row>
        <row r="114">
          <cell r="B114" t="str">
            <v>W00113</v>
          </cell>
          <cell r="C114" t="str">
            <v>NA</v>
          </cell>
          <cell r="D114" t="str">
            <v>NA</v>
          </cell>
          <cell r="E114" t="str">
            <v>Kishore P Kedar</v>
          </cell>
          <cell r="F114" t="str">
            <v>Shubshri Appt, Near State Bank Treasury Branch, Aman Khan Plots, Akola</v>
          </cell>
          <cell r="I114" t="str">
            <v>Ahamedabad</v>
          </cell>
        </row>
        <row r="115">
          <cell r="B115" t="str">
            <v>W00114</v>
          </cell>
          <cell r="C115" t="str">
            <v>NA</v>
          </cell>
          <cell r="D115" t="str">
            <v>NA</v>
          </cell>
          <cell r="E115" t="str">
            <v>S V K Reddy</v>
          </cell>
          <cell r="F115" t="str">
            <v>16/1727, Ramamurthy Nagar, Nellore - 524 001</v>
          </cell>
          <cell r="I115" t="str">
            <v>Bangalore</v>
          </cell>
        </row>
        <row r="116">
          <cell r="B116" t="str">
            <v>W00115</v>
          </cell>
          <cell r="C116" t="str">
            <v>R3</v>
          </cell>
          <cell r="D116" t="str">
            <v>R</v>
          </cell>
          <cell r="E116" t="str">
            <v>Mookambigai Clinical Lab</v>
          </cell>
          <cell r="F116" t="str">
            <v>HIG 37, 80 Feet, Anna Nagar, Madurai - 20</v>
          </cell>
          <cell r="H116" t="str">
            <v>MOOK</v>
          </cell>
          <cell r="I116" t="str">
            <v>Bangalore</v>
          </cell>
        </row>
        <row r="117">
          <cell r="B117" t="str">
            <v>W00116</v>
          </cell>
          <cell r="C117" t="str">
            <v>R3</v>
          </cell>
          <cell r="D117" t="str">
            <v>R</v>
          </cell>
          <cell r="E117" t="str">
            <v>Paulraj</v>
          </cell>
          <cell r="F117" t="str">
            <v>Niranjan Nursing Home, Altur Road, Perambalur - 621 212</v>
          </cell>
          <cell r="I117" t="str">
            <v>Bangalore</v>
          </cell>
        </row>
        <row r="118">
          <cell r="B118" t="str">
            <v>W00117</v>
          </cell>
          <cell r="C118" t="str">
            <v>NA</v>
          </cell>
          <cell r="D118" t="str">
            <v>NA</v>
          </cell>
          <cell r="E118" t="str">
            <v>Solapur Imaging Pvt Ltd.</v>
          </cell>
          <cell r="F118" t="str">
            <v>Nath Plaza, 974/2, Modikhana, Near Saat Raasta, Solapur - 413 001</v>
          </cell>
          <cell r="H118" t="str">
            <v>SOLAPUR</v>
          </cell>
          <cell r="I118" t="str">
            <v>Ahamedabad</v>
          </cell>
        </row>
        <row r="119">
          <cell r="B119" t="str">
            <v>W00118</v>
          </cell>
          <cell r="C119" t="str">
            <v>R1</v>
          </cell>
          <cell r="D119" t="str">
            <v>R</v>
          </cell>
          <cell r="E119" t="str">
            <v>Radical X-Rays</v>
          </cell>
          <cell r="F119" t="str">
            <v>Bata Gali, Khair Building, Jama Masjid, Gandhi Nagar, Basti, U P</v>
          </cell>
          <cell r="H119" t="str">
            <v>RADICAL</v>
          </cell>
          <cell r="I119" t="str">
            <v>Gurgaon</v>
          </cell>
        </row>
        <row r="120">
          <cell r="B120" t="str">
            <v>W00119</v>
          </cell>
          <cell r="C120" t="str">
            <v>R3</v>
          </cell>
          <cell r="D120" t="str">
            <v>R</v>
          </cell>
          <cell r="E120" t="str">
            <v>Quest Diagnostic Services Pvt Ltd.</v>
          </cell>
          <cell r="F120" t="str">
            <v>Bo 6-2/3, Anupuram, Kapra, Hydrabad - 500 062</v>
          </cell>
          <cell r="I120" t="str">
            <v>Bangalore</v>
          </cell>
        </row>
        <row r="121">
          <cell r="B121" t="str">
            <v>W00120</v>
          </cell>
          <cell r="C121" t="str">
            <v>R3</v>
          </cell>
          <cell r="D121" t="str">
            <v>R</v>
          </cell>
          <cell r="E121" t="str">
            <v>N Vijayan Nair</v>
          </cell>
          <cell r="F121" t="str">
            <v>Raman Memorial Hospital, Kannaparram, P O Cherukunnu, Kannur Distt, Kerala - 670 301</v>
          </cell>
          <cell r="H121" t="str">
            <v>NVNAIR</v>
          </cell>
          <cell r="I121" t="str">
            <v>Bangalore</v>
          </cell>
        </row>
        <row r="122">
          <cell r="B122" t="str">
            <v>W00121</v>
          </cell>
          <cell r="C122" t="str">
            <v>R3</v>
          </cell>
          <cell r="D122" t="str">
            <v>R</v>
          </cell>
          <cell r="E122" t="str">
            <v>A Saritha</v>
          </cell>
          <cell r="F122" t="str">
            <v>134/3 RT, Vijaynagar Colony, Hydrabad 520 028</v>
          </cell>
          <cell r="H122" t="str">
            <v>ASARI</v>
          </cell>
          <cell r="I122" t="str">
            <v>Bangalore</v>
          </cell>
        </row>
        <row r="123">
          <cell r="B123" t="str">
            <v>W00122</v>
          </cell>
          <cell r="C123" t="str">
            <v>R1</v>
          </cell>
          <cell r="D123" t="str">
            <v>R</v>
          </cell>
          <cell r="E123" t="str">
            <v>Mulla Shafi Basha</v>
          </cell>
          <cell r="F123" t="str">
            <v>Shafi Nursing Home, Main Road, Vinjamur - 524 228 Nellore Distt, Andhra Pradesh</v>
          </cell>
          <cell r="I123" t="str">
            <v>Bangalore</v>
          </cell>
        </row>
        <row r="124">
          <cell r="B124" t="str">
            <v>W00123</v>
          </cell>
          <cell r="C124" t="str">
            <v>R3</v>
          </cell>
          <cell r="D124" t="str">
            <v>R</v>
          </cell>
          <cell r="E124" t="str">
            <v>Doctor's X-Ray &amp; Medical Diagnostic Centre</v>
          </cell>
          <cell r="F124" t="str">
            <v>Opp New Telephone Exchange, G H Road, Payyanur - 670 307</v>
          </cell>
          <cell r="I124" t="str">
            <v>Bangalore</v>
          </cell>
        </row>
        <row r="125">
          <cell r="B125" t="str">
            <v>W00124</v>
          </cell>
          <cell r="C125" t="str">
            <v>R3</v>
          </cell>
          <cell r="D125" t="str">
            <v>R</v>
          </cell>
          <cell r="E125" t="str">
            <v>K M Thomas</v>
          </cell>
          <cell r="F125" t="str">
            <v>Kudiliparambil, Kudamaloor P O, Kottayam - 686 017</v>
          </cell>
          <cell r="I125" t="str">
            <v>Bangalore</v>
          </cell>
        </row>
        <row r="126">
          <cell r="B126" t="str">
            <v>W00125</v>
          </cell>
          <cell r="C126" t="str">
            <v>R1</v>
          </cell>
          <cell r="D126" t="str">
            <v>R</v>
          </cell>
          <cell r="E126" t="str">
            <v>L H Kasture</v>
          </cell>
          <cell r="F126" t="str">
            <v>C/O Sachin Medical Stores, Sanjeevani Hospital, Manthale Nagar, Latur</v>
          </cell>
          <cell r="I126" t="str">
            <v>Ahamedabad</v>
          </cell>
        </row>
        <row r="127">
          <cell r="B127" t="str">
            <v>W00126</v>
          </cell>
          <cell r="C127" t="str">
            <v>NA</v>
          </cell>
          <cell r="D127" t="str">
            <v>NA</v>
          </cell>
          <cell r="E127" t="str">
            <v>Ultrasound Centre</v>
          </cell>
          <cell r="F127" t="str">
            <v>Citi Hospital, Virasi Centre, Waltair Main Road, Visakhapatnam - 530 002 Andhra Pradesh</v>
          </cell>
          <cell r="H127" t="str">
            <v>ULSOUNC</v>
          </cell>
          <cell r="I127" t="str">
            <v>Bangalore</v>
          </cell>
        </row>
        <row r="128">
          <cell r="B128" t="str">
            <v>W00127</v>
          </cell>
          <cell r="C128" t="str">
            <v>R3</v>
          </cell>
          <cell r="D128" t="str">
            <v>R</v>
          </cell>
          <cell r="E128" t="str">
            <v>Pushp Diagnostic Centre-1</v>
          </cell>
          <cell r="F128" t="str">
            <v>Kachha College Road, Barnala, Distt Barnala, Punjab</v>
          </cell>
          <cell r="I128" t="str">
            <v>Gurgaon</v>
          </cell>
        </row>
        <row r="129">
          <cell r="B129" t="str">
            <v>W00128</v>
          </cell>
          <cell r="C129" t="str">
            <v>R3</v>
          </cell>
          <cell r="D129" t="str">
            <v>R</v>
          </cell>
          <cell r="E129" t="str">
            <v>Pushp Diagnostic Centre-2</v>
          </cell>
          <cell r="F129" t="str">
            <v>Kachha College Road, Barnala, Distt Barnala, Punjab</v>
          </cell>
          <cell r="I129" t="str">
            <v>Gurgaon</v>
          </cell>
        </row>
        <row r="130">
          <cell r="B130" t="str">
            <v>W00129</v>
          </cell>
          <cell r="C130" t="str">
            <v>R1</v>
          </cell>
          <cell r="D130" t="str">
            <v>R</v>
          </cell>
          <cell r="E130" t="str">
            <v>D D Ghodke</v>
          </cell>
          <cell r="F130" t="str">
            <v>'4- Vijay', State Bank Colony, Somalwada, Wardha Road, Nagpur - 440 025</v>
          </cell>
          <cell r="H130" t="str">
            <v>DDGHOD</v>
          </cell>
          <cell r="I130" t="str">
            <v>Ahamedabad</v>
          </cell>
        </row>
        <row r="131">
          <cell r="B131" t="str">
            <v>W00130</v>
          </cell>
          <cell r="C131" t="str">
            <v>R3</v>
          </cell>
          <cell r="D131" t="str">
            <v>R</v>
          </cell>
          <cell r="E131" t="str">
            <v>Advanced Medicare &amp; Research Institute Ltd.-1</v>
          </cell>
          <cell r="F131" t="str">
            <v>P-4, CIT Scheme LXXII, Block A, Gariahat Road, Calcutta - 700 029</v>
          </cell>
          <cell r="H131" t="str">
            <v>AMRI</v>
          </cell>
          <cell r="I131" t="str">
            <v>Bhubneshwar</v>
          </cell>
        </row>
        <row r="132">
          <cell r="B132" t="str">
            <v>W00131</v>
          </cell>
          <cell r="C132" t="str">
            <v>R3</v>
          </cell>
          <cell r="D132" t="str">
            <v>R</v>
          </cell>
          <cell r="E132" t="str">
            <v>Eko Diagnostic Pvt Ltd.-2</v>
          </cell>
          <cell r="F132" t="str">
            <v>54, Jawaharlal Nehru Road, Calcutta</v>
          </cell>
          <cell r="H132" t="str">
            <v>EKO</v>
          </cell>
          <cell r="I132" t="str">
            <v>Bhubneshwar</v>
          </cell>
        </row>
        <row r="133">
          <cell r="B133" t="str">
            <v>W00132</v>
          </cell>
          <cell r="C133" t="str">
            <v>NA</v>
          </cell>
          <cell r="D133" t="str">
            <v>NA</v>
          </cell>
          <cell r="E133" t="str">
            <v>Sandhya Sarmah</v>
          </cell>
          <cell r="F133" t="str">
            <v>Sukhada Nursing Home, Nekamul, Mazgaon, Tezpur, Assam - 784 001</v>
          </cell>
          <cell r="H133" t="str">
            <v>SSARMAH</v>
          </cell>
          <cell r="I133" t="str">
            <v>Bhubneshwar</v>
          </cell>
        </row>
        <row r="134">
          <cell r="B134" t="str">
            <v>W00133</v>
          </cell>
          <cell r="C134" t="str">
            <v>R6</v>
          </cell>
          <cell r="D134" t="str">
            <v>R</v>
          </cell>
          <cell r="E134" t="str">
            <v>Soni Medical Resources Pvt Ltd.-2</v>
          </cell>
          <cell r="F134" t="str">
            <v>Lisie Medical Institutions Campus, P O Box 3053, Kochi 683 018 Kerala</v>
          </cell>
          <cell r="I134" t="str">
            <v>Bangalore</v>
          </cell>
        </row>
        <row r="135">
          <cell r="B135" t="str">
            <v>W00134</v>
          </cell>
          <cell r="C135" t="str">
            <v>R3</v>
          </cell>
          <cell r="D135" t="str">
            <v>R</v>
          </cell>
          <cell r="E135" t="str">
            <v>M V Diabetes Specialities Centre Pvt Ltd</v>
          </cell>
          <cell r="F135" t="str">
            <v>35, Melpadi Muthu Naicher Street, Nungambakkam, Madras - 35</v>
          </cell>
          <cell r="H135" t="str">
            <v>MVDSC</v>
          </cell>
          <cell r="I135" t="str">
            <v>Bangalore</v>
          </cell>
        </row>
        <row r="136">
          <cell r="B136" t="str">
            <v>W00135</v>
          </cell>
          <cell r="C136" t="str">
            <v>NA</v>
          </cell>
          <cell r="D136" t="str">
            <v>NA</v>
          </cell>
          <cell r="E136" t="str">
            <v>Mangal Diagnostic Centre</v>
          </cell>
          <cell r="F136" t="str">
            <v>No 140, Kanpatri Estate, Varanasi</v>
          </cell>
          <cell r="H136" t="str">
            <v>MANGAL</v>
          </cell>
          <cell r="I136" t="str">
            <v>Gurgaon</v>
          </cell>
        </row>
        <row r="137">
          <cell r="B137" t="str">
            <v>W00136</v>
          </cell>
          <cell r="C137" t="str">
            <v>NA</v>
          </cell>
          <cell r="D137" t="str">
            <v>NA</v>
          </cell>
          <cell r="E137" t="str">
            <v>Doctors X-Ray &amp; Pathology Instt Pvt Ltd.</v>
          </cell>
          <cell r="F137" t="str">
            <v>37/17, West Cott Building, M G Road, Kanpur 208 001</v>
          </cell>
          <cell r="I137" t="str">
            <v>Gurgaon</v>
          </cell>
        </row>
        <row r="138">
          <cell r="B138" t="str">
            <v>W00137</v>
          </cell>
          <cell r="C138" t="str">
            <v>R3</v>
          </cell>
          <cell r="D138" t="str">
            <v>R</v>
          </cell>
          <cell r="E138" t="str">
            <v>P V N Murthy</v>
          </cell>
          <cell r="F138" t="str">
            <v>T V Sai Nursing Home &amp; Diagnostic Centre, Indira Road, Nallgond 508 001, A P</v>
          </cell>
          <cell r="H138" t="str">
            <v>PVNM</v>
          </cell>
          <cell r="I138" t="str">
            <v>Bangalore</v>
          </cell>
        </row>
        <row r="139">
          <cell r="B139" t="str">
            <v>W00138</v>
          </cell>
          <cell r="C139" t="str">
            <v>R3</v>
          </cell>
          <cell r="D139" t="str">
            <v>R</v>
          </cell>
          <cell r="E139" t="str">
            <v>Nirog MR Diagnostic Centre Pvt Ltd.</v>
          </cell>
          <cell r="F139" t="str">
            <v>6, Ho Chi Minh Sarani, Calcutta - 700 071</v>
          </cell>
          <cell r="I139" t="str">
            <v>Bhubneshwar</v>
          </cell>
        </row>
        <row r="140">
          <cell r="B140" t="str">
            <v>W00139</v>
          </cell>
          <cell r="C140" t="str">
            <v>NA</v>
          </cell>
          <cell r="D140" t="str">
            <v>NA</v>
          </cell>
          <cell r="E140" t="str">
            <v>Search Diagnostic Centre</v>
          </cell>
          <cell r="F140" t="str">
            <v>Dewlaha Land, Imphal 795 001, Manipur</v>
          </cell>
          <cell r="I140" t="str">
            <v>Bhubneshwar</v>
          </cell>
        </row>
        <row r="141">
          <cell r="B141" t="str">
            <v>W00140</v>
          </cell>
          <cell r="C141" t="str">
            <v>R3</v>
          </cell>
          <cell r="D141" t="str">
            <v>R</v>
          </cell>
          <cell r="E141" t="str">
            <v>Avudaiappan</v>
          </cell>
          <cell r="F141" t="str">
            <v>87, Papanasam Maria Road, Ambasamudram 627 401</v>
          </cell>
          <cell r="I141" t="str">
            <v>Bangalore</v>
          </cell>
        </row>
        <row r="142">
          <cell r="B142" t="str">
            <v>W00141</v>
          </cell>
          <cell r="C142" t="str">
            <v>R1</v>
          </cell>
          <cell r="D142" t="str">
            <v>R</v>
          </cell>
          <cell r="E142" t="str">
            <v>Medinova Diagnostic Services Ltd.-2</v>
          </cell>
          <cell r="F142" t="str">
            <v>6-3-652, Kautilya, Somajiguda, Hyderabad - 500 082</v>
          </cell>
          <cell r="H142" t="str">
            <v>MEDINOVA</v>
          </cell>
          <cell r="I142" t="str">
            <v>Bangalore</v>
          </cell>
        </row>
        <row r="143">
          <cell r="B143" t="str">
            <v>W00142</v>
          </cell>
          <cell r="C143" t="str">
            <v>R1</v>
          </cell>
          <cell r="D143" t="str">
            <v>R</v>
          </cell>
          <cell r="E143" t="str">
            <v>Medinova Diagnostic Services Ltd.-1</v>
          </cell>
          <cell r="F143" t="str">
            <v>6-3-652, Kautilya, Somajiguda, Hyderabad - 500 082</v>
          </cell>
          <cell r="H143" t="str">
            <v>MEDINOVA</v>
          </cell>
          <cell r="I143" t="str">
            <v>Bangalore</v>
          </cell>
        </row>
        <row r="144">
          <cell r="B144" t="str">
            <v>W00143</v>
          </cell>
          <cell r="C144" t="str">
            <v>R3</v>
          </cell>
          <cell r="D144" t="str">
            <v>R</v>
          </cell>
          <cell r="E144" t="str">
            <v>N Sethuraman-1</v>
          </cell>
          <cell r="F144" t="str">
            <v>Meenakshi Mission Hospital &amp; Research Centre, Lake Area, Melur Road, Madurai - 6925107</v>
          </cell>
          <cell r="H144" t="str">
            <v>NSETHU</v>
          </cell>
          <cell r="I144" t="str">
            <v>Bangalore</v>
          </cell>
        </row>
        <row r="145">
          <cell r="B145" t="str">
            <v>W00144</v>
          </cell>
          <cell r="C145" t="str">
            <v>R6</v>
          </cell>
          <cell r="D145" t="str">
            <v>R</v>
          </cell>
          <cell r="E145" t="str">
            <v>Soni Medical Resources Pvt Ltd.-4</v>
          </cell>
          <cell r="F145" t="str">
            <v>Lisie Medical Institutions Campus, P O Box 3053, Kochi 683 018 Kerala</v>
          </cell>
          <cell r="I145" t="str">
            <v>Bangalore</v>
          </cell>
        </row>
        <row r="146">
          <cell r="B146" t="str">
            <v>W00145</v>
          </cell>
          <cell r="C146" t="str">
            <v>R6</v>
          </cell>
          <cell r="D146" t="str">
            <v>R</v>
          </cell>
          <cell r="E146" t="str">
            <v>Soni Medical Resources Pvt Ltd.-3</v>
          </cell>
          <cell r="F146" t="str">
            <v>Lisie Medical Institutions Campus, P O Box 3053, Kochi 683 018 Kerala</v>
          </cell>
          <cell r="I146" t="str">
            <v>Bangalore</v>
          </cell>
        </row>
        <row r="147">
          <cell r="B147" t="str">
            <v>W00146</v>
          </cell>
          <cell r="C147" t="str">
            <v>R3</v>
          </cell>
          <cell r="D147" t="str">
            <v>R</v>
          </cell>
          <cell r="E147" t="str">
            <v>Guwahati Diagnostic centre</v>
          </cell>
          <cell r="F147" t="str">
            <v>Rajgarh Road, Guwahati - 781 005, Distt Kamrup, Assam</v>
          </cell>
          <cell r="I147" t="str">
            <v>Bhubneshwar</v>
          </cell>
        </row>
        <row r="148">
          <cell r="B148" t="str">
            <v>W00147</v>
          </cell>
          <cell r="C148" t="str">
            <v>R3</v>
          </cell>
          <cell r="D148" t="str">
            <v>R</v>
          </cell>
          <cell r="E148" t="str">
            <v>P K Gupta</v>
          </cell>
          <cell r="F148" t="str">
            <v>Hakim Kishori Lal Hospital, Guru Har Sahai, Dist Feuzpur, Punjab</v>
          </cell>
          <cell r="I148" t="str">
            <v>Gurgaon</v>
          </cell>
        </row>
        <row r="149">
          <cell r="B149" t="str">
            <v>W00148</v>
          </cell>
          <cell r="C149" t="str">
            <v>R3</v>
          </cell>
          <cell r="D149" t="str">
            <v>R</v>
          </cell>
          <cell r="E149" t="str">
            <v>Medico Research Imaging (I) Pvt Ltd.</v>
          </cell>
          <cell r="F149" t="str">
            <v>80, Shankar Nagar, Nagpur - 440 010</v>
          </cell>
          <cell r="I149" t="str">
            <v>Ahamedabad</v>
          </cell>
        </row>
        <row r="150">
          <cell r="B150" t="str">
            <v>W00149</v>
          </cell>
          <cell r="C150" t="str">
            <v>R3</v>
          </cell>
          <cell r="D150" t="str">
            <v>R</v>
          </cell>
          <cell r="E150" t="str">
            <v>Bhilai Scans &amp; Research Pvt Ltd.-2</v>
          </cell>
          <cell r="F150" t="str">
            <v>15, Commercial Complex, Nehru Nagar (East), Bhilai,  Madhya Pradesh</v>
          </cell>
          <cell r="H150" t="str">
            <v>BHILAI</v>
          </cell>
          <cell r="I150" t="str">
            <v>Ahamedabad</v>
          </cell>
        </row>
        <row r="151">
          <cell r="B151" t="str">
            <v>W00150</v>
          </cell>
          <cell r="C151" t="str">
            <v>R3</v>
          </cell>
          <cell r="D151" t="str">
            <v>R</v>
          </cell>
          <cell r="E151" t="str">
            <v>S I Chelladurai</v>
          </cell>
          <cell r="F151" t="str">
            <v>Guru X-Ray, 204, PWD Colony, Nagercoil - 629 002</v>
          </cell>
          <cell r="H151" t="str">
            <v>SICHELL</v>
          </cell>
          <cell r="I151" t="str">
            <v>Bangalore</v>
          </cell>
        </row>
        <row r="152">
          <cell r="B152" t="str">
            <v>W00151</v>
          </cell>
          <cell r="C152" t="str">
            <v>NA</v>
          </cell>
          <cell r="D152" t="str">
            <v>NA</v>
          </cell>
          <cell r="E152" t="str">
            <v>Apollo Diagnostic Centre</v>
          </cell>
          <cell r="F152" t="str">
            <v>Park Road, Kaithal - 132 027</v>
          </cell>
          <cell r="I152" t="str">
            <v>Gurgaon</v>
          </cell>
        </row>
        <row r="153">
          <cell r="B153" t="str">
            <v>W00152</v>
          </cell>
          <cell r="C153" t="str">
            <v>R3</v>
          </cell>
          <cell r="D153" t="str">
            <v>R</v>
          </cell>
          <cell r="E153" t="str">
            <v>Parul Dewan</v>
          </cell>
          <cell r="F153" t="str">
            <v>Nackkata Pukhari, Pan Bazar, Guwahati - 781 001</v>
          </cell>
          <cell r="H153" t="str">
            <v>PARULD</v>
          </cell>
          <cell r="I153" t="str">
            <v>Bhubneshwar</v>
          </cell>
        </row>
        <row r="154">
          <cell r="B154" t="str">
            <v>W00153</v>
          </cell>
          <cell r="C154" t="str">
            <v>R3</v>
          </cell>
          <cell r="D154" t="str">
            <v>R</v>
          </cell>
          <cell r="E154" t="str">
            <v>Subarban Sono Clinic</v>
          </cell>
          <cell r="F154" t="str">
            <v>30, Sakher Bazar Lane, Patter Math Bhadrakali Distt Hooguli, West Bengal</v>
          </cell>
          <cell r="H154" t="str">
            <v>SUBURB</v>
          </cell>
          <cell r="I154" t="str">
            <v>Bhubneshwar</v>
          </cell>
        </row>
        <row r="155">
          <cell r="B155" t="str">
            <v>W00154</v>
          </cell>
          <cell r="C155" t="str">
            <v>R1</v>
          </cell>
          <cell r="D155" t="str">
            <v>R</v>
          </cell>
          <cell r="E155" t="str">
            <v>Moidu's Medicare Pvt Ltd.-3</v>
          </cell>
          <cell r="F155" t="str">
            <v>National Hospital, Indira Gandhi Road, Calicut - 673 001 Kerala</v>
          </cell>
          <cell r="H155" t="str">
            <v>MOIDU</v>
          </cell>
          <cell r="I155" t="str">
            <v>Bangalore</v>
          </cell>
        </row>
        <row r="156">
          <cell r="B156" t="str">
            <v>W00155</v>
          </cell>
          <cell r="C156" t="str">
            <v>R3</v>
          </cell>
          <cell r="D156" t="str">
            <v>R</v>
          </cell>
          <cell r="E156" t="str">
            <v>Neet Hospital Pvt Ltd.</v>
          </cell>
          <cell r="F156" t="str">
            <v>19, Pande Layout, WHC Road, Veer Savarkar Square, Nagpur - 440015</v>
          </cell>
          <cell r="H156" t="str">
            <v>NEET</v>
          </cell>
          <cell r="I156" t="str">
            <v>Ahamedabad</v>
          </cell>
        </row>
        <row r="157">
          <cell r="B157" t="str">
            <v>W00156</v>
          </cell>
          <cell r="C157" t="str">
            <v>NA</v>
          </cell>
          <cell r="D157" t="str">
            <v>NA</v>
          </cell>
          <cell r="E157" t="str">
            <v>Fernandez Maternity Hospital Pvt Ltd.</v>
          </cell>
          <cell r="F157" t="str">
            <v>4-1-1230, Bogulkunta, Hydrabad - 500 001</v>
          </cell>
          <cell r="I157" t="str">
            <v>Bangalore</v>
          </cell>
        </row>
        <row r="158">
          <cell r="B158" t="str">
            <v>W00157</v>
          </cell>
          <cell r="C158" t="str">
            <v>R3</v>
          </cell>
          <cell r="D158" t="str">
            <v>R</v>
          </cell>
          <cell r="E158" t="str">
            <v>R B Seth Jessa Ram &amp; Bros Charitable Hospital-2</v>
          </cell>
          <cell r="F158" t="str">
            <v>Hospital Building, W.E.A Karol Bagh, New Delhi - 100 005.</v>
          </cell>
          <cell r="H158" t="str">
            <v>JESSA</v>
          </cell>
          <cell r="I158" t="str">
            <v>Gurgaon</v>
          </cell>
        </row>
        <row r="159">
          <cell r="B159" t="str">
            <v>W00158</v>
          </cell>
          <cell r="C159" t="str">
            <v>RB</v>
          </cell>
          <cell r="D159" t="str">
            <v>RB</v>
          </cell>
          <cell r="E159" t="str">
            <v>Vijaya Medical &amp; Educational Trust</v>
          </cell>
          <cell r="F159" t="str">
            <v>Vijaya Health Centre Campus, Vijaya Gardens, N S K Salai, Madras - 600 026</v>
          </cell>
          <cell r="I159" t="str">
            <v>Bangalore</v>
          </cell>
        </row>
        <row r="160">
          <cell r="B160" t="str">
            <v>W00159</v>
          </cell>
          <cell r="C160" t="str">
            <v>R1</v>
          </cell>
          <cell r="D160" t="str">
            <v>R</v>
          </cell>
          <cell r="E160" t="str">
            <v>S Kalavathy</v>
          </cell>
          <cell r="F160" t="str">
            <v>No 35, Nivedha Hospital, Perumal Koil Street, Ariyalur, TN</v>
          </cell>
          <cell r="H160" t="str">
            <v>SKALA</v>
          </cell>
          <cell r="I160" t="str">
            <v>Bangalore</v>
          </cell>
        </row>
        <row r="161">
          <cell r="B161" t="str">
            <v>W00160</v>
          </cell>
          <cell r="C161" t="str">
            <v>R3</v>
          </cell>
          <cell r="D161" t="str">
            <v>R</v>
          </cell>
          <cell r="E161" t="str">
            <v>Bombay Magnetic Resonance Imaging Pvt Ltd</v>
          </cell>
          <cell r="F161" t="str">
            <v>MRI Centre, The Bhatia General Hospital, Tardeo Raod, Bombay 400 007</v>
          </cell>
          <cell r="I161" t="str">
            <v>Ahamedabad</v>
          </cell>
        </row>
        <row r="162">
          <cell r="B162" t="str">
            <v>W00161</v>
          </cell>
          <cell r="C162" t="str">
            <v>R3</v>
          </cell>
          <cell r="D162" t="str">
            <v>R</v>
          </cell>
          <cell r="E162" t="str">
            <v>H R Nandini Devi</v>
          </cell>
          <cell r="F162" t="str">
            <v>102, R V Appartments, 15th A Cross, 6th Main Road, Malleshwaram, Bangalore 560 055</v>
          </cell>
          <cell r="I162" t="str">
            <v>Bangalore</v>
          </cell>
        </row>
        <row r="163">
          <cell r="B163" t="str">
            <v>W00162</v>
          </cell>
          <cell r="C163" t="str">
            <v>NA</v>
          </cell>
          <cell r="D163" t="str">
            <v>NA</v>
          </cell>
          <cell r="E163" t="str">
            <v>Shirish Valsangkar</v>
          </cell>
          <cell r="F163" t="str">
            <v>Nath Plaza, 974 Modikhana, Near Saat Raasta, Solapur 413 001</v>
          </cell>
          <cell r="I163" t="str">
            <v>Ahamedabad</v>
          </cell>
        </row>
        <row r="164">
          <cell r="B164" t="str">
            <v>W00163</v>
          </cell>
          <cell r="C164" t="str">
            <v>R1</v>
          </cell>
          <cell r="D164" t="str">
            <v>R</v>
          </cell>
          <cell r="E164" t="str">
            <v>Anand's Ultrasound &amp; CT Scan Neurological Research Centre</v>
          </cell>
          <cell r="F164" t="str">
            <v>24, Preet Vihar, Vikas Marg, Delhi - 110 092</v>
          </cell>
          <cell r="H164" t="str">
            <v>KLANAND</v>
          </cell>
          <cell r="I164" t="str">
            <v>Gurgaon</v>
          </cell>
        </row>
        <row r="165">
          <cell r="B165" t="str">
            <v>W00164</v>
          </cell>
          <cell r="C165" t="str">
            <v>R3</v>
          </cell>
          <cell r="D165" t="str">
            <v>R</v>
          </cell>
          <cell r="E165" t="str">
            <v>Maya Shenoy</v>
          </cell>
          <cell r="F165" t="str">
            <v>Pooja Pathological Lab &amp; Diagnostic Services, 10-3-538, Vijaya Nagar Colony, Hyderabad - 500 457</v>
          </cell>
          <cell r="I165" t="str">
            <v>Bangalore</v>
          </cell>
        </row>
        <row r="166">
          <cell r="B166" t="str">
            <v>W00165</v>
          </cell>
          <cell r="C166" t="str">
            <v>R1</v>
          </cell>
          <cell r="D166" t="str">
            <v>R</v>
          </cell>
          <cell r="E166" t="str">
            <v>Shankar Medical Store</v>
          </cell>
          <cell r="F166" t="str">
            <v>Hospital Road, Ghumarwin Distt Bilaspur, HP</v>
          </cell>
          <cell r="H166" t="str">
            <v>SHANKAR</v>
          </cell>
          <cell r="I166" t="str">
            <v>Gurgaon</v>
          </cell>
        </row>
        <row r="167">
          <cell r="B167" t="str">
            <v>W00166</v>
          </cell>
          <cell r="C167" t="str">
            <v>R3</v>
          </cell>
          <cell r="D167" t="str">
            <v>R</v>
          </cell>
          <cell r="E167" t="str">
            <v>Apex Hospital</v>
          </cell>
          <cell r="F167" t="str">
            <v>Near Krishi Upaj Mandi &amp; Railway Overbridge, Alwar, Rajasthan</v>
          </cell>
          <cell r="H167" t="str">
            <v>APEX</v>
          </cell>
          <cell r="I167" t="str">
            <v>Gurgaon</v>
          </cell>
        </row>
        <row r="168">
          <cell r="B168" t="str">
            <v>W00167</v>
          </cell>
          <cell r="C168" t="str">
            <v>NA</v>
          </cell>
          <cell r="D168" t="str">
            <v>NA</v>
          </cell>
          <cell r="E168" t="str">
            <v>The Mary Calvert Holdsworth Memorial Hospital</v>
          </cell>
          <cell r="F168" t="str">
            <v>Post Box No 38, Mysore - 570 021</v>
          </cell>
          <cell r="H168" t="str">
            <v>MARYC</v>
          </cell>
          <cell r="I168" t="str">
            <v>Bangalore</v>
          </cell>
        </row>
        <row r="169">
          <cell r="B169" t="str">
            <v>W00168</v>
          </cell>
          <cell r="C169" t="str">
            <v>R3</v>
          </cell>
          <cell r="D169" t="str">
            <v>R</v>
          </cell>
          <cell r="E169" t="str">
            <v>Tuticorin Medical Imaging System (P) Ltd-1</v>
          </cell>
          <cell r="F169" t="str">
            <v>218, North Car Street, Tuticorin - 628 002 Tamil Nadu</v>
          </cell>
          <cell r="I169" t="str">
            <v>Bangalore</v>
          </cell>
        </row>
        <row r="170">
          <cell r="B170" t="str">
            <v>W00169</v>
          </cell>
          <cell r="C170" t="str">
            <v>R3</v>
          </cell>
          <cell r="D170" t="str">
            <v>R</v>
          </cell>
          <cell r="E170" t="str">
            <v>S Suja</v>
          </cell>
          <cell r="F170" t="str">
            <v>Opposite Medical College High School, Kumarapuram, Trivandrum</v>
          </cell>
          <cell r="I170" t="str">
            <v>Bangalore</v>
          </cell>
        </row>
        <row r="171">
          <cell r="B171" t="str">
            <v>W00170</v>
          </cell>
          <cell r="C171" t="str">
            <v>R3</v>
          </cell>
          <cell r="D171" t="str">
            <v>R</v>
          </cell>
          <cell r="E171" t="str">
            <v>A Chella Sagayaraj</v>
          </cell>
          <cell r="F171" t="str">
            <v>83A, Thukkampalaya Street, Kumbakonam - 612 001</v>
          </cell>
          <cell r="I171" t="str">
            <v>Bangalore</v>
          </cell>
        </row>
        <row r="172">
          <cell r="B172" t="str">
            <v>W00172</v>
          </cell>
          <cell r="C172" t="str">
            <v>R3</v>
          </cell>
          <cell r="D172" t="str">
            <v>R</v>
          </cell>
          <cell r="E172" t="str">
            <v>Sharad Jain</v>
          </cell>
          <cell r="F172" t="str">
            <v>780, Ushanagar Extension, Indore 452 001 Madhya Pradesh</v>
          </cell>
          <cell r="I172" t="str">
            <v>Ahamedabad</v>
          </cell>
        </row>
        <row r="173">
          <cell r="B173" t="str">
            <v>W00173</v>
          </cell>
          <cell r="C173" t="str">
            <v>R3</v>
          </cell>
          <cell r="D173" t="str">
            <v>R</v>
          </cell>
          <cell r="E173" t="str">
            <v>J R C Godfrey</v>
          </cell>
          <cell r="F173" t="str">
            <v>140-A, Gandhi Road, Sturatpet, Arakkonam, Tamilnadu - 631 001</v>
          </cell>
          <cell r="H173" t="str">
            <v>JRCGOD</v>
          </cell>
          <cell r="I173" t="str">
            <v>Bangalore</v>
          </cell>
        </row>
        <row r="174">
          <cell r="B174" t="str">
            <v>W00174</v>
          </cell>
          <cell r="C174" t="str">
            <v>H</v>
          </cell>
          <cell r="D174" t="str">
            <v>H</v>
          </cell>
          <cell r="E174" t="str">
            <v>Sankshema Sushruta Cancer Hospital</v>
          </cell>
          <cell r="F174" t="str">
            <v>3-1-147, Vijay Raghunandan Nagar, Karim Nagar, Andhra Pradesh</v>
          </cell>
          <cell r="I174" t="str">
            <v>Bangalore</v>
          </cell>
        </row>
        <row r="175">
          <cell r="B175" t="str">
            <v>W00177</v>
          </cell>
          <cell r="C175" t="str">
            <v>NA</v>
          </cell>
          <cell r="D175" t="str">
            <v>NA</v>
          </cell>
          <cell r="E175" t="str">
            <v>A G Neuro Hospital (P) Ltd.</v>
          </cell>
          <cell r="F175" t="str">
            <v>166 F, Ammachi Ground Street, Ramakrishna Road, Salem - 636 007</v>
          </cell>
          <cell r="H175" t="str">
            <v>AGNEURO</v>
          </cell>
          <cell r="I175" t="str">
            <v>Bangalore</v>
          </cell>
        </row>
        <row r="176">
          <cell r="B176" t="str">
            <v>W00178</v>
          </cell>
          <cell r="C176" t="str">
            <v>NA</v>
          </cell>
          <cell r="D176" t="str">
            <v>NA</v>
          </cell>
          <cell r="E176" t="str">
            <v>Woodlands CT Scan Centre</v>
          </cell>
          <cell r="F176" t="str">
            <v>Woodlands Nursing Home, Dhankethi, Shilong - 793 003</v>
          </cell>
          <cell r="I176" t="str">
            <v>Bhubneshwar</v>
          </cell>
        </row>
        <row r="177">
          <cell r="B177" t="str">
            <v>W00179</v>
          </cell>
          <cell r="C177" t="str">
            <v>R3</v>
          </cell>
          <cell r="D177" t="str">
            <v>R</v>
          </cell>
          <cell r="E177" t="str">
            <v>Joshi Nursing Home</v>
          </cell>
          <cell r="F177" t="str">
            <v>No 57 &amp; 58, Sirsi Road, Near Sirsi Circle, Chamarajpet, Bangalore - 560 018</v>
          </cell>
          <cell r="I177" t="str">
            <v>Bangalore</v>
          </cell>
        </row>
        <row r="178">
          <cell r="B178" t="str">
            <v>W00180</v>
          </cell>
          <cell r="C178" t="str">
            <v>R3</v>
          </cell>
          <cell r="D178" t="str">
            <v>R</v>
          </cell>
          <cell r="E178" t="str">
            <v>Basant Kumar Pattanaik</v>
          </cell>
          <cell r="F178" t="str">
            <v>Rohini Diagnostics, B/9 Seth Deokaran Das Complex, Kacheri Road, Rourkela - 769 012</v>
          </cell>
          <cell r="H178" t="str">
            <v>BKPAT</v>
          </cell>
          <cell r="I178" t="str">
            <v>Bhubneshwar</v>
          </cell>
        </row>
        <row r="179">
          <cell r="B179" t="str">
            <v>W00181</v>
          </cell>
          <cell r="C179" t="str">
            <v>R1</v>
          </cell>
          <cell r="D179" t="str">
            <v>R</v>
          </cell>
          <cell r="E179" t="str">
            <v>Medinova Diagnostic Services Ltd.-4</v>
          </cell>
          <cell r="F179" t="str">
            <v>6-3-652, Kautilya, Somajiguda, Hyderabad - 500 082</v>
          </cell>
          <cell r="H179" t="str">
            <v>MEDINOVA</v>
          </cell>
          <cell r="I179" t="str">
            <v>Bangalore</v>
          </cell>
        </row>
        <row r="180">
          <cell r="B180" t="str">
            <v>W00182</v>
          </cell>
          <cell r="C180" t="str">
            <v>R3</v>
          </cell>
          <cell r="D180" t="str">
            <v>R</v>
          </cell>
          <cell r="E180" t="str">
            <v>Haryana Ultrasound Centre</v>
          </cell>
          <cell r="F180" t="str">
            <v>Shop No 7, Court Road, Rewari (Haryana)</v>
          </cell>
          <cell r="I180" t="str">
            <v>Gurgaon</v>
          </cell>
        </row>
        <row r="181">
          <cell r="B181" t="str">
            <v>W00183</v>
          </cell>
          <cell r="C181" t="str">
            <v>R3</v>
          </cell>
          <cell r="D181" t="str">
            <v>R</v>
          </cell>
          <cell r="E181" t="str">
            <v>Okay Diagnostics Research Centre Pvt Ltd.</v>
          </cell>
          <cell r="F181" t="str">
            <v>4, Vivekanand Marg, C Scheme, Jaipur - 302 001</v>
          </cell>
          <cell r="H181" t="str">
            <v>OKAY</v>
          </cell>
          <cell r="I181" t="str">
            <v>Gurgaon</v>
          </cell>
        </row>
        <row r="182">
          <cell r="B182" t="str">
            <v>W00184</v>
          </cell>
          <cell r="C182" t="str">
            <v>R3</v>
          </cell>
          <cell r="D182" t="str">
            <v>R</v>
          </cell>
          <cell r="E182" t="str">
            <v>Sangeetha Hospital</v>
          </cell>
          <cell r="F182" t="str">
            <v>43 Pillayar Koil Street, Pattukottai 614 601</v>
          </cell>
          <cell r="I182" t="str">
            <v>Bangalore</v>
          </cell>
        </row>
        <row r="183">
          <cell r="B183" t="str">
            <v>W00185</v>
          </cell>
          <cell r="C183" t="str">
            <v>R3</v>
          </cell>
          <cell r="D183" t="str">
            <v>R</v>
          </cell>
          <cell r="E183" t="str">
            <v>X Labs Hospital &amp; Diagnosis Centre Pvt Ltd.</v>
          </cell>
          <cell r="F183" t="str">
            <v>Jajati Hotel Complex, Station Square, Bhubaneshwar - 751 009 Orissa.</v>
          </cell>
          <cell r="H183" t="str">
            <v>XLABS</v>
          </cell>
          <cell r="I183" t="str">
            <v>Bhubneshwar</v>
          </cell>
        </row>
        <row r="184">
          <cell r="B184" t="str">
            <v>W00186</v>
          </cell>
          <cell r="C184" t="str">
            <v>R3</v>
          </cell>
          <cell r="D184" t="str">
            <v>R</v>
          </cell>
          <cell r="E184" t="str">
            <v>Gulab Nursing Home</v>
          </cell>
          <cell r="F184" t="str">
            <v>Doctor's Lane, Jhansi Road, Near Civil Hospital, Bhind (M.P.)</v>
          </cell>
          <cell r="H184" t="str">
            <v>GULAB</v>
          </cell>
          <cell r="I184" t="str">
            <v>Ahamedabad</v>
          </cell>
        </row>
        <row r="185">
          <cell r="B185" t="str">
            <v>W00187</v>
          </cell>
          <cell r="C185" t="str">
            <v>NA</v>
          </cell>
          <cell r="D185" t="str">
            <v>NA</v>
          </cell>
          <cell r="E185" t="str">
            <v>R N Panda</v>
          </cell>
          <cell r="F185" t="str">
            <v>918, BJB Nagar, Tarkarpani Raod, Bhubaneshwar - 751 014 Orissa</v>
          </cell>
          <cell r="H185" t="str">
            <v>RNPANDA</v>
          </cell>
          <cell r="I185" t="str">
            <v>Bhubneshwar</v>
          </cell>
        </row>
        <row r="186">
          <cell r="B186" t="str">
            <v>W00189</v>
          </cell>
          <cell r="C186" t="str">
            <v>R1</v>
          </cell>
          <cell r="D186" t="str">
            <v>R</v>
          </cell>
          <cell r="E186" t="str">
            <v>Kovai Scan Centre</v>
          </cell>
          <cell r="F186" t="str">
            <v>90, D B Road, R S Puram, Coimbatore</v>
          </cell>
          <cell r="I186" t="str">
            <v>Bangalore</v>
          </cell>
        </row>
        <row r="187">
          <cell r="B187" t="str">
            <v>W00190</v>
          </cell>
          <cell r="C187" t="str">
            <v>R1</v>
          </cell>
          <cell r="D187" t="str">
            <v>R</v>
          </cell>
          <cell r="E187" t="str">
            <v>Medicave Diagnostic Centre (P) Ltd.-1</v>
          </cell>
          <cell r="F187" t="str">
            <v>48 B, B T Road, Sinthi More, Calcutta - 700 050</v>
          </cell>
          <cell r="H187" t="str">
            <v>MEDICAVE</v>
          </cell>
          <cell r="I187" t="str">
            <v>Bhubneshwar</v>
          </cell>
        </row>
        <row r="188">
          <cell r="B188" t="str">
            <v>W00191</v>
          </cell>
          <cell r="C188" t="str">
            <v>R1</v>
          </cell>
          <cell r="D188" t="str">
            <v>R</v>
          </cell>
          <cell r="E188" t="str">
            <v>Canray</v>
          </cell>
          <cell r="F188" t="str">
            <v>A-3, Pushpak, Number 10, Jagadambay Colony, Madras - 600 014.</v>
          </cell>
          <cell r="I188" t="str">
            <v>Bangalore</v>
          </cell>
        </row>
        <row r="189">
          <cell r="B189" t="str">
            <v>W00192</v>
          </cell>
          <cell r="C189" t="str">
            <v>R3</v>
          </cell>
          <cell r="D189" t="str">
            <v>R</v>
          </cell>
          <cell r="E189" t="str">
            <v>Medinova Diagnostic Services Ltd.-3</v>
          </cell>
          <cell r="F189" t="str">
            <v>6-3-652, Kautilya, Somajiguda, Hyderabad - 500 082</v>
          </cell>
          <cell r="H189" t="str">
            <v>MEDINOVA</v>
          </cell>
          <cell r="I189" t="str">
            <v>Bangalore</v>
          </cell>
        </row>
        <row r="190">
          <cell r="B190" t="str">
            <v>W00193</v>
          </cell>
          <cell r="C190" t="str">
            <v>R1</v>
          </cell>
          <cell r="D190" t="str">
            <v>R</v>
          </cell>
          <cell r="E190" t="str">
            <v>Travancore Scans Pvt Ltd.-1</v>
          </cell>
          <cell r="F190" t="str">
            <v>Gemini  Complex, Pazhaya Road, Medical College PO, Trivandrum - 695 011</v>
          </cell>
          <cell r="H190" t="str">
            <v>TRAVSCAN</v>
          </cell>
          <cell r="I190" t="str">
            <v>Bangalore</v>
          </cell>
        </row>
        <row r="191">
          <cell r="B191" t="str">
            <v>W00194</v>
          </cell>
          <cell r="C191" t="str">
            <v>NA</v>
          </cell>
          <cell r="D191" t="str">
            <v>NA</v>
          </cell>
          <cell r="E191" t="str">
            <v>Medwin Diagnostic</v>
          </cell>
          <cell r="F191" t="str">
            <v>15-B, Ratlam Kothi, Indore - 452 001. (M.P.)</v>
          </cell>
          <cell r="H191" t="str">
            <v>MEDWIN</v>
          </cell>
          <cell r="I191" t="str">
            <v>Ahamedabad</v>
          </cell>
        </row>
        <row r="192">
          <cell r="B192" t="str">
            <v>W00195</v>
          </cell>
          <cell r="C192" t="str">
            <v>R3</v>
          </cell>
          <cell r="D192" t="str">
            <v>R</v>
          </cell>
          <cell r="E192" t="str">
            <v>Eko Diagnostic Pvt Ltd.-3</v>
          </cell>
          <cell r="F192" t="str">
            <v>54, Jawaharlal Nehru Road, Calcutta - 700 071</v>
          </cell>
          <cell r="H192" t="str">
            <v>EKO</v>
          </cell>
          <cell r="I192" t="str">
            <v>Bhubneshwar</v>
          </cell>
        </row>
        <row r="193">
          <cell r="B193" t="str">
            <v>W00196</v>
          </cell>
          <cell r="C193" t="str">
            <v>R3</v>
          </cell>
          <cell r="D193" t="str">
            <v>R</v>
          </cell>
          <cell r="E193" t="str">
            <v>Masih X-Ray &amp; Sonography, Ujjain-2</v>
          </cell>
          <cell r="F193" t="str">
            <v>69/1, Varruchi Marg, Shaheed Park, Freegunj, Ujjain (M.P.)</v>
          </cell>
          <cell r="H193" t="str">
            <v>MASIH</v>
          </cell>
          <cell r="I193" t="str">
            <v>Ahamedabad</v>
          </cell>
        </row>
        <row r="194">
          <cell r="B194" t="str">
            <v>W00197</v>
          </cell>
          <cell r="C194" t="str">
            <v>R3</v>
          </cell>
          <cell r="D194" t="str">
            <v>R</v>
          </cell>
          <cell r="E194" t="str">
            <v>Amba Diagnostic Centre</v>
          </cell>
          <cell r="F194" t="str">
            <v>Binda Niwas, Road No 12, Rajendra Nagar, Patna</v>
          </cell>
          <cell r="H194" t="str">
            <v>AMBAD</v>
          </cell>
          <cell r="I194" t="str">
            <v>Gurgaon</v>
          </cell>
        </row>
        <row r="195">
          <cell r="B195" t="str">
            <v>W00198</v>
          </cell>
          <cell r="C195" t="str">
            <v>NA</v>
          </cell>
          <cell r="D195" t="str">
            <v>NA</v>
          </cell>
          <cell r="E195" t="str">
            <v>Life Medical Centre</v>
          </cell>
          <cell r="F195" t="str">
            <v>14-37-46, Collector's Office Juncion, Maharanipeta, Visakhapatnam - 530 002</v>
          </cell>
          <cell r="I195" t="str">
            <v>Bangalore</v>
          </cell>
        </row>
        <row r="196">
          <cell r="B196" t="str">
            <v>W00199</v>
          </cell>
          <cell r="C196" t="str">
            <v>H</v>
          </cell>
          <cell r="D196" t="str">
            <v>H</v>
          </cell>
          <cell r="E196" t="str">
            <v>Pravara Medical Trust</v>
          </cell>
          <cell r="F196" t="str">
            <v>Loni 413 736, Taluka Shrirampur, Dist Ahmednagar, Maharashtra</v>
          </cell>
          <cell r="I196" t="str">
            <v>Ahamedabad</v>
          </cell>
        </row>
        <row r="197">
          <cell r="B197" t="str">
            <v>W00200</v>
          </cell>
          <cell r="C197" t="str">
            <v>R3</v>
          </cell>
          <cell r="D197" t="str">
            <v>R</v>
          </cell>
          <cell r="E197" t="str">
            <v>New Nightingale Nursing Home</v>
          </cell>
          <cell r="F197" t="str">
            <v>152, Vivekanand Road (Gopal Bagh), Lalbagh, Murshidabad, West Bengal</v>
          </cell>
          <cell r="I197" t="str">
            <v>Bhubneshwar</v>
          </cell>
        </row>
        <row r="198">
          <cell r="B198" t="str">
            <v>W00201</v>
          </cell>
          <cell r="C198" t="str">
            <v>R3</v>
          </cell>
          <cell r="D198" t="str">
            <v>R</v>
          </cell>
          <cell r="E198" t="str">
            <v>K G Healthcare Ltd.</v>
          </cell>
          <cell r="F198" t="str">
            <v>86, Arts Colledge Road, Coimbatore - 641 018</v>
          </cell>
          <cell r="I198" t="str">
            <v>Bangalore</v>
          </cell>
        </row>
        <row r="199">
          <cell r="B199" t="str">
            <v>W00202</v>
          </cell>
          <cell r="C199" t="str">
            <v>C</v>
          </cell>
          <cell r="D199" t="str">
            <v>R</v>
          </cell>
          <cell r="E199" t="str">
            <v>Infertility Clinic &amp; Research Centre</v>
          </cell>
          <cell r="F199" t="str">
            <v>37, Santoshima Colony, West Marredpally, Secundrabad - 500 026</v>
          </cell>
          <cell r="I199" t="str">
            <v>Bangalore</v>
          </cell>
        </row>
        <row r="200">
          <cell r="B200" t="str">
            <v>W00203</v>
          </cell>
          <cell r="C200" t="str">
            <v>NA</v>
          </cell>
          <cell r="D200" t="str">
            <v>NA</v>
          </cell>
          <cell r="E200" t="str">
            <v>Moidu's Medicare Pvt Ltd.</v>
          </cell>
          <cell r="F200" t="str">
            <v>National Hospital, Indira Gandhi Road, Calicut</v>
          </cell>
          <cell r="I200" t="str">
            <v>Bangalore</v>
          </cell>
        </row>
        <row r="201">
          <cell r="B201" t="str">
            <v>W00204</v>
          </cell>
          <cell r="C201" t="str">
            <v>H</v>
          </cell>
          <cell r="D201" t="str">
            <v>H</v>
          </cell>
          <cell r="E201" t="str">
            <v>Vidarbha 3D Scan Centre</v>
          </cell>
          <cell r="F201" t="str">
            <v>Plot No. 5, Central Bazar Road, Ramdaspeth, Nagpur</v>
          </cell>
          <cell r="I201" t="str">
            <v>Ahamedabad</v>
          </cell>
        </row>
        <row r="202">
          <cell r="B202" t="str">
            <v>W00205</v>
          </cell>
          <cell r="C202" t="str">
            <v>C</v>
          </cell>
          <cell r="D202" t="str">
            <v>R</v>
          </cell>
          <cell r="E202" t="str">
            <v>Kalpana Nursing Home</v>
          </cell>
          <cell r="F202" t="str">
            <v>259, Alipura, Udaipur 313 001</v>
          </cell>
          <cell r="I202" t="str">
            <v>Gurgaon</v>
          </cell>
        </row>
        <row r="203">
          <cell r="B203" t="str">
            <v>W00206</v>
          </cell>
          <cell r="C203" t="str">
            <v>NA</v>
          </cell>
          <cell r="D203" t="str">
            <v>NA</v>
          </cell>
          <cell r="E203" t="str">
            <v>Berean Medical Centre</v>
          </cell>
          <cell r="F203" t="str">
            <v>Dewlahland, Imphal - 795 001</v>
          </cell>
          <cell r="H203" t="str">
            <v>BEREAN</v>
          </cell>
          <cell r="I203" t="str">
            <v>Bhubneshwar</v>
          </cell>
        </row>
        <row r="204">
          <cell r="B204" t="str">
            <v>W00207</v>
          </cell>
          <cell r="C204" t="str">
            <v>R3</v>
          </cell>
          <cell r="D204" t="str">
            <v>R</v>
          </cell>
          <cell r="E204" t="str">
            <v>Meenakshi Das-2</v>
          </cell>
          <cell r="F204" t="str">
            <v>Seth Deokaran Das Market Complex, Kachery Road, Rourkela - 780 012</v>
          </cell>
          <cell r="H204" t="str">
            <v>MEENAKSHI</v>
          </cell>
          <cell r="I204" t="str">
            <v>Bhubneshwar</v>
          </cell>
        </row>
        <row r="205">
          <cell r="B205" t="str">
            <v>W00208</v>
          </cell>
          <cell r="C205" t="str">
            <v>R3</v>
          </cell>
          <cell r="D205" t="str">
            <v>R</v>
          </cell>
          <cell r="E205" t="str">
            <v>Meenakshi Das-2</v>
          </cell>
          <cell r="F205" t="str">
            <v>29, Mayur Market, Thatipur, Gwalior (M.P.)</v>
          </cell>
          <cell r="I205" t="str">
            <v>Ahamedabad</v>
          </cell>
        </row>
        <row r="206">
          <cell r="B206" t="str">
            <v>W00209</v>
          </cell>
          <cell r="C206" t="str">
            <v>NA</v>
          </cell>
          <cell r="D206" t="str">
            <v>NA</v>
          </cell>
          <cell r="E206" t="str">
            <v>Jay Pee Ultrasound &amp; X-Ray Centre</v>
          </cell>
          <cell r="F206" t="str">
            <v>Mayur Complex, Near Kanvatia Hospital, Shashtri Nagar, Jaipur - 302 016</v>
          </cell>
          <cell r="H206" t="str">
            <v>JAYPEE</v>
          </cell>
          <cell r="I206" t="str">
            <v>Gurgaon</v>
          </cell>
        </row>
        <row r="207">
          <cell r="B207" t="str">
            <v>W00210</v>
          </cell>
          <cell r="C207" t="str">
            <v>R3</v>
          </cell>
          <cell r="D207" t="str">
            <v>R</v>
          </cell>
          <cell r="E207" t="str">
            <v>Sewa Polyclinic &amp; Diagnostic Centre</v>
          </cell>
          <cell r="F207" t="str">
            <v>Topkhana Road, Rampur - 244 901, U.P.</v>
          </cell>
          <cell r="I207" t="str">
            <v>Ahamedabad</v>
          </cell>
        </row>
        <row r="208">
          <cell r="B208" t="str">
            <v>W00211</v>
          </cell>
          <cell r="C208" t="str">
            <v>R1</v>
          </cell>
          <cell r="D208" t="str">
            <v>R</v>
          </cell>
          <cell r="E208" t="str">
            <v>K Jayaram Naidu</v>
          </cell>
          <cell r="F208" t="str">
            <v>20-458, High Road, Chittoor - 517 001 Andhra Pradesh</v>
          </cell>
          <cell r="I208" t="str">
            <v>Bangalore</v>
          </cell>
        </row>
        <row r="209">
          <cell r="B209" t="str">
            <v>W00212</v>
          </cell>
          <cell r="C209" t="str">
            <v>R3</v>
          </cell>
          <cell r="D209" t="str">
            <v>R</v>
          </cell>
          <cell r="E209" t="str">
            <v>Karthik Scans &amp; Diagnostic Centre</v>
          </cell>
          <cell r="F209" t="str">
            <v>Plot No. 6 &amp; 7, K S Nagar, Pudukkottai Road, Thanjavur</v>
          </cell>
          <cell r="I209" t="str">
            <v>Bangalore</v>
          </cell>
        </row>
        <row r="210">
          <cell r="B210" t="str">
            <v>W00213</v>
          </cell>
          <cell r="C210" t="str">
            <v>R3</v>
          </cell>
          <cell r="D210" t="str">
            <v>R</v>
          </cell>
          <cell r="E210" t="str">
            <v>Popular X-Ray Centre</v>
          </cell>
          <cell r="F210" t="str">
            <v>Silchar Medical Colledge Road, Ghungoor, Dt Cachar, Silchar - 788 014 Assam</v>
          </cell>
          <cell r="H210" t="str">
            <v>POPULAR</v>
          </cell>
          <cell r="I210" t="str">
            <v>Bhubneshwar</v>
          </cell>
        </row>
        <row r="211">
          <cell r="B211" t="str">
            <v>W00214</v>
          </cell>
          <cell r="C211" t="str">
            <v>R3</v>
          </cell>
          <cell r="D211" t="str">
            <v>R</v>
          </cell>
          <cell r="E211" t="str">
            <v>Moulana Hospital &amp; Scanning Centre</v>
          </cell>
          <cell r="F211" t="str">
            <v>P B No 31, Ooty Road, Perinthalmanna - 679 322 Malappuram Dist, Kerala</v>
          </cell>
          <cell r="H211" t="str">
            <v>MOULANA</v>
          </cell>
          <cell r="I211" t="str">
            <v>Bangalore</v>
          </cell>
        </row>
        <row r="212">
          <cell r="B212" t="str">
            <v>W00215</v>
          </cell>
          <cell r="C212" t="str">
            <v>R1</v>
          </cell>
          <cell r="D212" t="str">
            <v>R</v>
          </cell>
          <cell r="E212" t="str">
            <v>Prayag Scanning Pvt Ltd.</v>
          </cell>
          <cell r="F212" t="str">
            <v>91-A/6, North Malaka, Opp Swaruprani Nehru Medical Hospital, Allahabad, U P</v>
          </cell>
          <cell r="H212" t="str">
            <v>PRAYAG</v>
          </cell>
          <cell r="I212" t="str">
            <v>Gurgaon</v>
          </cell>
        </row>
        <row r="213">
          <cell r="B213" t="str">
            <v>W00216</v>
          </cell>
          <cell r="C213" t="str">
            <v>NA</v>
          </cell>
          <cell r="D213" t="str">
            <v>NA</v>
          </cell>
          <cell r="E213" t="str">
            <v>Ashwini Childrens Hospital</v>
          </cell>
          <cell r="F213" t="str">
            <v>B L D E A Medical College Road, Bijapur, Karnataka</v>
          </cell>
          <cell r="I213" t="str">
            <v>Bangalore</v>
          </cell>
        </row>
        <row r="214">
          <cell r="B214" t="str">
            <v>W00217</v>
          </cell>
          <cell r="C214" t="str">
            <v>R3</v>
          </cell>
          <cell r="D214" t="str">
            <v>R</v>
          </cell>
          <cell r="E214" t="str">
            <v>Sandeep Healthcare Services</v>
          </cell>
          <cell r="F214" t="str">
            <v>No 61/2, First Floor, Geetha Colony, 29th Cross, 10th Main, 4th Block, Jayanagar, Bangalore - 560 01</v>
          </cell>
          <cell r="I214" t="str">
            <v>Bangalore</v>
          </cell>
        </row>
        <row r="215">
          <cell r="B215" t="str">
            <v>W00218</v>
          </cell>
          <cell r="C215" t="str">
            <v>NA</v>
          </cell>
          <cell r="D215" t="str">
            <v>NA</v>
          </cell>
          <cell r="E215" t="str">
            <v>Ultrasonix-1</v>
          </cell>
          <cell r="F215" t="str">
            <v>North Bengal Clinic, Pradhan Nagar, Siliguri - 734 403</v>
          </cell>
          <cell r="I215" t="str">
            <v>Bhubneshwar</v>
          </cell>
        </row>
        <row r="216">
          <cell r="B216" t="str">
            <v>W00220</v>
          </cell>
          <cell r="C216" t="str">
            <v>NA</v>
          </cell>
          <cell r="D216" t="str">
            <v>NA</v>
          </cell>
          <cell r="E216" t="str">
            <v>Fort Scan Limited</v>
          </cell>
          <cell r="F216" t="str">
            <v>Fort Junction, West Yakkara, N H 47, Palakkad - 678 001</v>
          </cell>
          <cell r="I216" t="str">
            <v>Bangalore</v>
          </cell>
        </row>
        <row r="217">
          <cell r="B217" t="str">
            <v>W00221</v>
          </cell>
          <cell r="C217" t="str">
            <v>R1</v>
          </cell>
          <cell r="D217" t="str">
            <v>R</v>
          </cell>
          <cell r="E217" t="str">
            <v>Medinova Diagnostic Services Ltd.-5</v>
          </cell>
          <cell r="F217" t="str">
            <v>6-3-652, Kautilya, Somajiguda, Hyderabad - 500 082</v>
          </cell>
          <cell r="H217" t="str">
            <v>MEDINOVA</v>
          </cell>
          <cell r="I217" t="str">
            <v>Bangalore</v>
          </cell>
        </row>
        <row r="218">
          <cell r="B218" t="str">
            <v>W00222</v>
          </cell>
          <cell r="C218" t="str">
            <v>R1</v>
          </cell>
          <cell r="D218" t="str">
            <v>R</v>
          </cell>
          <cell r="E218" t="str">
            <v>Marathwada Cancer Hospital &amp; Research Centre (P) Ltd.</v>
          </cell>
          <cell r="F218" t="str">
            <v>Plot No. A-1, MIDC Area, Chikalthana, Jalna Road, Aurangabad 431 210</v>
          </cell>
          <cell r="I218" t="str">
            <v>Ahamedabad</v>
          </cell>
        </row>
        <row r="219">
          <cell r="B219" t="str">
            <v>W00223</v>
          </cell>
          <cell r="C219" t="str">
            <v>R3</v>
          </cell>
          <cell r="D219" t="str">
            <v>R</v>
          </cell>
          <cell r="E219" t="str">
            <v>Priya Scans</v>
          </cell>
          <cell r="F219" t="str">
            <v>Sapthagiri Hospital, 49, Krishnagiri Road, Tirupattur - 635 601, Northarcot Ambedkar Dist.</v>
          </cell>
          <cell r="I219" t="str">
            <v>Bangalore</v>
          </cell>
        </row>
        <row r="220">
          <cell r="B220" t="str">
            <v>W00224</v>
          </cell>
          <cell r="C220" t="str">
            <v>R3</v>
          </cell>
          <cell r="D220" t="str">
            <v>R</v>
          </cell>
          <cell r="E220" t="str">
            <v>D K Subramanya Reddy</v>
          </cell>
          <cell r="F220" t="str">
            <v>4-70-4, Lawson's Bay, Vishakhapatnam - 530 017</v>
          </cell>
          <cell r="I220" t="str">
            <v>Bangalore</v>
          </cell>
        </row>
        <row r="221">
          <cell r="B221" t="str">
            <v>W00225</v>
          </cell>
          <cell r="C221" t="str">
            <v>R3</v>
          </cell>
          <cell r="D221" t="str">
            <v>R</v>
          </cell>
          <cell r="E221" t="str">
            <v>G Neuromed Diagnostic Centre Pvt Ltd.-2</v>
          </cell>
          <cell r="F221" t="str">
            <v>C-15, Sarvodaya Nagar, Kanpur - 208 005 (U.P)</v>
          </cell>
          <cell r="H221" t="str">
            <v>GNEURO</v>
          </cell>
          <cell r="I221" t="str">
            <v>Gurgaon</v>
          </cell>
        </row>
        <row r="222">
          <cell r="B222" t="str">
            <v>W00226</v>
          </cell>
          <cell r="C222" t="str">
            <v>R1</v>
          </cell>
          <cell r="D222" t="str">
            <v>R</v>
          </cell>
          <cell r="E222" t="str">
            <v>N Sethuraman-2</v>
          </cell>
          <cell r="F222" t="str">
            <v>Meenakshi Mission Hospital &amp; Research Centre, Lake Area, Melur Road, Madurai - 6925107</v>
          </cell>
          <cell r="H222" t="str">
            <v>NSETHU</v>
          </cell>
          <cell r="I222" t="str">
            <v>Bangalore</v>
          </cell>
        </row>
        <row r="223">
          <cell r="B223" t="str">
            <v>W00227</v>
          </cell>
          <cell r="C223" t="str">
            <v>R1</v>
          </cell>
          <cell r="D223" t="str">
            <v>R</v>
          </cell>
          <cell r="E223" t="str">
            <v>N Sethuraman-3</v>
          </cell>
          <cell r="F223" t="str">
            <v>Meenakshi Mission Hospital &amp; Research Centre, Lake Area, Melur Road, Madurai - 6925107</v>
          </cell>
          <cell r="H223" t="str">
            <v>NSETHU</v>
          </cell>
          <cell r="I223" t="str">
            <v>Bangalore</v>
          </cell>
        </row>
        <row r="224">
          <cell r="B224" t="str">
            <v>W00228</v>
          </cell>
          <cell r="C224" t="str">
            <v>NA</v>
          </cell>
          <cell r="D224" t="str">
            <v>NA</v>
          </cell>
          <cell r="E224" t="str">
            <v>Usmanpura CT Scan Centre</v>
          </cell>
          <cell r="F224" t="str">
            <v>30, Ambica Society, Opp Usmanpura Garden, Usmanpura, Ahmedabad - 380 013</v>
          </cell>
          <cell r="I224" t="str">
            <v>Ahamedabad</v>
          </cell>
        </row>
        <row r="225">
          <cell r="B225" t="str">
            <v>W00229</v>
          </cell>
          <cell r="C225" t="str">
            <v>R1</v>
          </cell>
          <cell r="D225" t="str">
            <v>R</v>
          </cell>
          <cell r="E225" t="str">
            <v>Care Home &amp; Diagnostic Centre</v>
          </cell>
          <cell r="F225" t="str">
            <v>Bamuni Maidan, Guwahati - 781 021 Assam</v>
          </cell>
          <cell r="H225" t="str">
            <v>CAREHOME</v>
          </cell>
          <cell r="I225" t="str">
            <v>Bhubneshwar</v>
          </cell>
        </row>
        <row r="226">
          <cell r="B226" t="str">
            <v>W00230</v>
          </cell>
          <cell r="C226" t="str">
            <v>R1</v>
          </cell>
          <cell r="D226" t="str">
            <v>R</v>
          </cell>
          <cell r="E226" t="str">
            <v>Siddayya Kundlamath</v>
          </cell>
          <cell r="F226" t="str">
            <v>M/s Siddeshwar Nursing Home, Moorsavirmath Road, Hubli - 580 028</v>
          </cell>
          <cell r="H226" t="str">
            <v>SIDKUND</v>
          </cell>
          <cell r="I226" t="str">
            <v>Bangalore</v>
          </cell>
        </row>
        <row r="227">
          <cell r="B227" t="str">
            <v>W00231</v>
          </cell>
          <cell r="C227" t="str">
            <v>R1</v>
          </cell>
          <cell r="D227" t="str">
            <v>R</v>
          </cell>
          <cell r="E227" t="str">
            <v>Murari Prasad Mishra</v>
          </cell>
          <cell r="F227" t="str">
            <v>P O Kansingha, Dt Bargarh, Orissa</v>
          </cell>
          <cell r="H227" t="str">
            <v>MPMISH</v>
          </cell>
          <cell r="I227" t="str">
            <v>Bhubneshwar</v>
          </cell>
        </row>
        <row r="228">
          <cell r="B228" t="str">
            <v>W00232</v>
          </cell>
          <cell r="C228" t="str">
            <v>R3</v>
          </cell>
          <cell r="D228" t="str">
            <v>R</v>
          </cell>
          <cell r="E228" t="str">
            <v>O S Rajendran</v>
          </cell>
          <cell r="F228" t="str">
            <v>Diamond CT Scan Centre, PVS Hospital Premises, Rly Station Road, Calicut - 673 002, Kerala</v>
          </cell>
          <cell r="H228" t="str">
            <v>OSRAJ</v>
          </cell>
          <cell r="I228" t="str">
            <v>Bangalore</v>
          </cell>
        </row>
        <row r="229">
          <cell r="B229" t="str">
            <v>W00233</v>
          </cell>
          <cell r="C229" t="str">
            <v>R1</v>
          </cell>
          <cell r="D229" t="str">
            <v>R</v>
          </cell>
          <cell r="E229" t="str">
            <v>Kalpana Jakhu (Mrs)</v>
          </cell>
          <cell r="F229" t="str">
            <v>Ward 7, Civil Hospital, Garh Shankar, Dist Hoshiarpur</v>
          </cell>
          <cell r="I229" t="str">
            <v>Gurgaon</v>
          </cell>
        </row>
        <row r="230">
          <cell r="B230" t="str">
            <v>W00234</v>
          </cell>
          <cell r="C230" t="str">
            <v>NA</v>
          </cell>
          <cell r="D230" t="str">
            <v>NA</v>
          </cell>
          <cell r="E230" t="str">
            <v>Medimark Health Services Pvt Ltd.</v>
          </cell>
          <cell r="F230" t="str">
            <v>6-3-652, Kautilya Somajiguda, Hyderabad - 500 082</v>
          </cell>
          <cell r="H230" t="str">
            <v>MEDINOVA</v>
          </cell>
          <cell r="I230" t="str">
            <v>Bangalore</v>
          </cell>
        </row>
        <row r="231">
          <cell r="B231" t="str">
            <v>W00235</v>
          </cell>
          <cell r="C231" t="str">
            <v>R1</v>
          </cell>
          <cell r="D231" t="str">
            <v>R</v>
          </cell>
          <cell r="E231" t="str">
            <v>CDR Medical Industries Ltd.</v>
          </cell>
          <cell r="F231" t="str">
            <v>3-6-287 Hyderguda, Hyderabad - 300 029 A.P.</v>
          </cell>
          <cell r="H231" t="str">
            <v>CDR</v>
          </cell>
          <cell r="I231" t="str">
            <v>Bangalore</v>
          </cell>
        </row>
        <row r="232">
          <cell r="B232" t="str">
            <v>W00236</v>
          </cell>
          <cell r="C232" t="str">
            <v>R3</v>
          </cell>
          <cell r="D232" t="str">
            <v>R</v>
          </cell>
          <cell r="E232" t="str">
            <v>B I Jaffery</v>
          </cell>
          <cell r="F232" t="str">
            <v>Madras Scan Centre, Block Z, 293, Second Main Road, Anna Nagar, Chennai - 600 040</v>
          </cell>
          <cell r="H232" t="str">
            <v>BIJAFFERY</v>
          </cell>
          <cell r="I232" t="str">
            <v>Bangalore</v>
          </cell>
        </row>
        <row r="233">
          <cell r="B233" t="str">
            <v>W00237</v>
          </cell>
          <cell r="C233" t="str">
            <v>R3</v>
          </cell>
          <cell r="D233" t="str">
            <v>R</v>
          </cell>
          <cell r="E233" t="str">
            <v>Verdict Diagnostic Ltd.-1</v>
          </cell>
          <cell r="F233" t="str">
            <v>Krishna Shanti Society, Akota, Mujmahuda Road, Vadodara - 390 020</v>
          </cell>
          <cell r="H233" t="str">
            <v>VERDICT</v>
          </cell>
          <cell r="I233" t="str">
            <v>Ahamedabad</v>
          </cell>
        </row>
        <row r="234">
          <cell r="B234" t="str">
            <v>W00239</v>
          </cell>
          <cell r="C234" t="str">
            <v>NA</v>
          </cell>
          <cell r="D234" t="str">
            <v>NA</v>
          </cell>
          <cell r="E234" t="str">
            <v>Mangal Anand Healthcare Ltd.</v>
          </cell>
          <cell r="F234" t="str">
            <v>Mangal Anand Hospital, 48 Swastik Park, Bombay - 400 071</v>
          </cell>
          <cell r="I234" t="str">
            <v>Ahamedabad</v>
          </cell>
        </row>
        <row r="235">
          <cell r="B235" t="str">
            <v>W00240</v>
          </cell>
          <cell r="C235" t="str">
            <v>R1</v>
          </cell>
          <cell r="D235" t="str">
            <v>R</v>
          </cell>
          <cell r="E235" t="str">
            <v>Kamal Narain</v>
          </cell>
          <cell r="F235" t="str">
            <v>HS-10, Sector A, Sitapur Road Yojna, Lucknow, U.P.</v>
          </cell>
          <cell r="H235" t="str">
            <v>KNARAIN</v>
          </cell>
          <cell r="I235" t="str">
            <v>Gurgaon</v>
          </cell>
        </row>
        <row r="236">
          <cell r="B236" t="str">
            <v>W00241</v>
          </cell>
          <cell r="C236" t="str">
            <v>R1</v>
          </cell>
          <cell r="D236" t="str">
            <v>R</v>
          </cell>
          <cell r="E236" t="str">
            <v>Dilip Chana Parija</v>
          </cell>
          <cell r="F236" t="str">
            <v>147, HIG Phase VII, Saileshree Vihar, Chandrasekharpur, Bhubaneshwar, Orissa</v>
          </cell>
          <cell r="H236" t="str">
            <v>DCPARIJA</v>
          </cell>
          <cell r="I236" t="str">
            <v>Bhubneshwar</v>
          </cell>
        </row>
        <row r="237">
          <cell r="B237" t="str">
            <v>W00242</v>
          </cell>
          <cell r="C237" t="str">
            <v>R1</v>
          </cell>
          <cell r="D237" t="str">
            <v>R</v>
          </cell>
          <cell r="E237" t="str">
            <v>Bharat Scans Pvt Ltd.-1</v>
          </cell>
          <cell r="F237" t="str">
            <v>210, Periyar Pathai, Choolai, Chennai - 600 094</v>
          </cell>
          <cell r="H237" t="str">
            <v>BHARAT</v>
          </cell>
          <cell r="I237" t="str">
            <v>Bangalore</v>
          </cell>
        </row>
        <row r="238">
          <cell r="B238" t="str">
            <v>W00243</v>
          </cell>
          <cell r="C238" t="str">
            <v>R1</v>
          </cell>
          <cell r="D238" t="str">
            <v>R</v>
          </cell>
          <cell r="E238" t="str">
            <v>Zia-Ul-Hasan Rizvi</v>
          </cell>
          <cell r="F238" t="str">
            <v>Vital Hospital, 55, M.C. Road, Ambur - 635 802 Vellore Distt., Kerala</v>
          </cell>
          <cell r="H238" t="str">
            <v>ZIAUL</v>
          </cell>
          <cell r="I238" t="str">
            <v>Bangalore</v>
          </cell>
        </row>
        <row r="239">
          <cell r="B239" t="str">
            <v>W00244</v>
          </cell>
          <cell r="C239" t="str">
            <v>R1</v>
          </cell>
          <cell r="D239" t="str">
            <v>R</v>
          </cell>
          <cell r="E239" t="str">
            <v>Rekha Mishra</v>
          </cell>
          <cell r="F239" t="str">
            <v>9-A, Ekta Nagar, Philibit, Uttar Pradesh.</v>
          </cell>
          <cell r="I239" t="str">
            <v>Gurgaon</v>
          </cell>
        </row>
        <row r="240">
          <cell r="B240" t="str">
            <v>W00245</v>
          </cell>
          <cell r="C240" t="str">
            <v>R1</v>
          </cell>
          <cell r="D240" t="str">
            <v>R</v>
          </cell>
          <cell r="E240" t="str">
            <v>G Bakthavathsalam</v>
          </cell>
          <cell r="F240" t="str">
            <v>K G Hospital, 85, Arts College Road, Coimbatore - 641 018 Tamil Nadu</v>
          </cell>
          <cell r="H240" t="str">
            <v>KGGB</v>
          </cell>
          <cell r="I240" t="str">
            <v>Bangalore</v>
          </cell>
        </row>
        <row r="241">
          <cell r="B241" t="str">
            <v>W00246</v>
          </cell>
          <cell r="C241" t="str">
            <v>R1</v>
          </cell>
          <cell r="D241" t="str">
            <v>R</v>
          </cell>
          <cell r="E241" t="str">
            <v>Vijaya Medical Centre-3</v>
          </cell>
          <cell r="F241" t="str">
            <v>Zilla Parishad Juncion, Maharanipeta Visakhapatnam - 530 002</v>
          </cell>
          <cell r="H241" t="str">
            <v>VIJAYA</v>
          </cell>
          <cell r="I241" t="str">
            <v>Bangalore</v>
          </cell>
        </row>
        <row r="242">
          <cell r="B242" t="str">
            <v>W00247</v>
          </cell>
          <cell r="C242" t="str">
            <v>R1</v>
          </cell>
          <cell r="D242" t="str">
            <v>R</v>
          </cell>
          <cell r="E242" t="str">
            <v>Sri Venkateswara Diagnostics Pvt Ltd.</v>
          </cell>
          <cell r="F242" t="str">
            <v>65, Alexander Road, Behind Hariharakala Bhawan, Patny, Secunderabad - 500 003.</v>
          </cell>
          <cell r="H242" t="str">
            <v>SVDIAG</v>
          </cell>
          <cell r="I242" t="str">
            <v>Bangalore</v>
          </cell>
        </row>
        <row r="243">
          <cell r="B243" t="str">
            <v>W00248</v>
          </cell>
          <cell r="C243" t="str">
            <v>NA</v>
          </cell>
          <cell r="D243" t="str">
            <v>NA</v>
          </cell>
          <cell r="E243" t="str">
            <v>Tellicherry Co-Operative Hospital</v>
          </cell>
          <cell r="F243" t="str">
            <v>Thalassery, Kerala - 1</v>
          </cell>
          <cell r="I243" t="str">
            <v>Bangalore</v>
          </cell>
        </row>
        <row r="244">
          <cell r="B244" t="str">
            <v>W00249</v>
          </cell>
          <cell r="C244" t="str">
            <v>NA</v>
          </cell>
          <cell r="D244" t="str">
            <v>NA</v>
          </cell>
          <cell r="E244" t="str">
            <v>Cochin Cooperative Hospital Society Ltd.</v>
          </cell>
          <cell r="F244" t="str">
            <v>No E288, Gandhi Nagar, Cochin, Kerala - 20</v>
          </cell>
          <cell r="H244" t="str">
            <v>COCHIN</v>
          </cell>
          <cell r="I244" t="str">
            <v>Bangalore</v>
          </cell>
        </row>
        <row r="245">
          <cell r="B245" t="str">
            <v>W00250</v>
          </cell>
          <cell r="C245" t="str">
            <v>R1</v>
          </cell>
          <cell r="D245" t="str">
            <v>R</v>
          </cell>
          <cell r="E245" t="str">
            <v>Assam Hospitals Ltd.-1</v>
          </cell>
          <cell r="F245" t="str">
            <v>Lotus Towers, G S Road, Guwahati - 781 005 Assam</v>
          </cell>
          <cell r="I245" t="str">
            <v>Bhubneshwar</v>
          </cell>
        </row>
        <row r="246">
          <cell r="B246" t="str">
            <v>W00251</v>
          </cell>
          <cell r="C246" t="str">
            <v>R1</v>
          </cell>
          <cell r="D246" t="str">
            <v>R</v>
          </cell>
          <cell r="E246" t="str">
            <v>Assam Hospitals Ltd.-2</v>
          </cell>
          <cell r="F246" t="str">
            <v>Lotus Towers, G S Road, Guwahati - 781 005 Assam</v>
          </cell>
          <cell r="H246" t="str">
            <v>ASSAM</v>
          </cell>
          <cell r="I246" t="str">
            <v>Bhubneshwar</v>
          </cell>
        </row>
        <row r="247">
          <cell r="B247" t="str">
            <v>W00252</v>
          </cell>
          <cell r="C247" t="str">
            <v>R1</v>
          </cell>
          <cell r="D247" t="str">
            <v>R</v>
          </cell>
          <cell r="E247" t="str">
            <v>Assam Hospitals Ltd.-3</v>
          </cell>
          <cell r="F247" t="str">
            <v>Lotus Towers, G S Road, Guwahati - 781 005 Assam</v>
          </cell>
          <cell r="I247" t="str">
            <v>Bhubneshwar</v>
          </cell>
        </row>
        <row r="248">
          <cell r="B248" t="str">
            <v>W00253</v>
          </cell>
          <cell r="C248" t="str">
            <v>R1</v>
          </cell>
          <cell r="D248" t="str">
            <v>R</v>
          </cell>
          <cell r="E248" t="str">
            <v>Ajit Kumar Tyagi</v>
          </cell>
          <cell r="F248" t="str">
            <v>Shubham Ultrasound, East of Betia Hata Crossing, Gorakhpur, UP</v>
          </cell>
          <cell r="H248" t="str">
            <v>TYAGI</v>
          </cell>
          <cell r="I248" t="str">
            <v>Gurgaon</v>
          </cell>
        </row>
        <row r="249">
          <cell r="B249" t="str">
            <v>W00254</v>
          </cell>
          <cell r="C249" t="str">
            <v>H</v>
          </cell>
          <cell r="D249" t="str">
            <v>H</v>
          </cell>
          <cell r="E249" t="str">
            <v>Spandan Diagnostic &amp; Research Centre (P) Ltd-1</v>
          </cell>
          <cell r="F249" t="str">
            <v>Ravindra Nagar, Midnapore, West Bengal</v>
          </cell>
          <cell r="H249" t="str">
            <v>SPANDAN</v>
          </cell>
          <cell r="I249" t="str">
            <v>Bhubneshwar</v>
          </cell>
        </row>
        <row r="250">
          <cell r="B250" t="str">
            <v>W00255</v>
          </cell>
          <cell r="C250" t="str">
            <v>R1</v>
          </cell>
          <cell r="D250" t="str">
            <v>R</v>
          </cell>
          <cell r="E250" t="str">
            <v>Kamala Shanmugam</v>
          </cell>
          <cell r="F250" t="str">
            <v>Unnamalai Nursing Home, 128, Kaliappa Pillai Street, Tuticorin - 628 001 Tamil Nadu</v>
          </cell>
          <cell r="H250" t="str">
            <v>KSHAN</v>
          </cell>
          <cell r="I250" t="str">
            <v>Bangalore</v>
          </cell>
        </row>
        <row r="251">
          <cell r="B251" t="str">
            <v>W00256</v>
          </cell>
          <cell r="C251" t="str">
            <v>R1</v>
          </cell>
          <cell r="D251" t="str">
            <v>R</v>
          </cell>
          <cell r="E251" t="str">
            <v>United Scan Centre</v>
          </cell>
          <cell r="F251" t="str">
            <v>No 104, West Bashyakaralu Road, R S Puram, Coimbatore- 641 002 Tamil Nadu</v>
          </cell>
          <cell r="H251" t="str">
            <v>USCAN</v>
          </cell>
          <cell r="I251" t="str">
            <v>Bangalore</v>
          </cell>
        </row>
        <row r="252">
          <cell r="B252" t="str">
            <v>W00257</v>
          </cell>
          <cell r="C252" t="str">
            <v>R1</v>
          </cell>
          <cell r="D252" t="str">
            <v>R</v>
          </cell>
          <cell r="E252" t="str">
            <v>Shri Mukandi Lal Memorial Foundation for Heart &amp; Medical Care</v>
          </cell>
          <cell r="F252" t="str">
            <v>21, Netaji Subhash Marg, New Delhi - 110 002</v>
          </cell>
          <cell r="H252" t="str">
            <v>SRIMUK</v>
          </cell>
          <cell r="I252" t="str">
            <v>Gurgaon</v>
          </cell>
        </row>
        <row r="253">
          <cell r="B253" t="str">
            <v>W00258</v>
          </cell>
          <cell r="C253" t="str">
            <v>R1</v>
          </cell>
          <cell r="D253" t="str">
            <v>R</v>
          </cell>
          <cell r="E253" t="str">
            <v>Agnes M P Rayal</v>
          </cell>
          <cell r="F253" t="str">
            <v>Joseph Hospital, 25 Chatram Street, Tirunelveli - 627 002</v>
          </cell>
          <cell r="H253" t="str">
            <v>AGNES</v>
          </cell>
          <cell r="I253" t="str">
            <v>Bangalore</v>
          </cell>
        </row>
        <row r="254">
          <cell r="B254" t="str">
            <v>W00259</v>
          </cell>
          <cell r="C254" t="str">
            <v>R1</v>
          </cell>
          <cell r="D254" t="str">
            <v>R</v>
          </cell>
          <cell r="E254" t="str">
            <v>Hemant Thakkar</v>
          </cell>
          <cell r="F254" t="str">
            <v>Sunflower Imaging Centre, Sunflower Hospital, North South Road No 4, Juhu Scheme, Vile Parle (W), Mumbai - 400 056</v>
          </cell>
          <cell r="H254" t="str">
            <v>HTHKR</v>
          </cell>
          <cell r="I254" t="str">
            <v>Ahamedabad</v>
          </cell>
        </row>
        <row r="255">
          <cell r="B255" t="str">
            <v>W00260</v>
          </cell>
          <cell r="C255" t="str">
            <v>NA</v>
          </cell>
          <cell r="D255" t="str">
            <v>NA</v>
          </cell>
          <cell r="E255" t="str">
            <v>S N Kuchhal</v>
          </cell>
          <cell r="F255" t="str">
            <v>Sanjeevan X-Ray &amp; Ultrasound, 23/369, Tirath Market, Sonipat, Haryana</v>
          </cell>
          <cell r="I255" t="str">
            <v>Gurgaon</v>
          </cell>
        </row>
        <row r="256">
          <cell r="B256" t="str">
            <v>W00261</v>
          </cell>
          <cell r="C256" t="str">
            <v>R1</v>
          </cell>
          <cell r="D256" t="str">
            <v>R</v>
          </cell>
          <cell r="E256" t="str">
            <v>Infertility Institute &amp; Research Centre Pvt Limited</v>
          </cell>
          <cell r="F256" t="str">
            <v>9-1-192, St Mary's Road, Opp Prashanta Theatre, Secundrabad - 500 003 Andhra Pradesh.</v>
          </cell>
          <cell r="H256" t="str">
            <v>INFERT</v>
          </cell>
          <cell r="I256" t="str">
            <v>Bangalore</v>
          </cell>
        </row>
        <row r="257">
          <cell r="B257" t="str">
            <v>W00262</v>
          </cell>
          <cell r="C257" t="str">
            <v>R1</v>
          </cell>
          <cell r="D257" t="str">
            <v>R</v>
          </cell>
          <cell r="E257" t="str">
            <v>Anil Patil</v>
          </cell>
          <cell r="F257" t="str">
            <v>8, Lokmat Nagar, P Sector, Town Centre, CIDCO, Aurangabad</v>
          </cell>
          <cell r="I257" t="str">
            <v>Ahamedabad</v>
          </cell>
        </row>
        <row r="258">
          <cell r="B258" t="str">
            <v>W00263</v>
          </cell>
          <cell r="C258" t="str">
            <v>R1</v>
          </cell>
          <cell r="D258" t="str">
            <v>R</v>
          </cell>
          <cell r="E258" t="str">
            <v>B C Choubey</v>
          </cell>
          <cell r="F258" t="str">
            <v>Radhabagan, Main Road, Pakur - 816107 Bihar</v>
          </cell>
          <cell r="I258" t="str">
            <v>Gurgaon</v>
          </cell>
        </row>
        <row r="259">
          <cell r="B259" t="str">
            <v>W00264</v>
          </cell>
          <cell r="C259" t="str">
            <v>R1</v>
          </cell>
          <cell r="D259" t="str">
            <v>R</v>
          </cell>
          <cell r="E259" t="str">
            <v>Rai Memorial Medical Centre</v>
          </cell>
          <cell r="F259" t="str">
            <v>562, Anna Salai, Teynampet, Madras - 600 018</v>
          </cell>
          <cell r="H259" t="str">
            <v>RAIMM</v>
          </cell>
          <cell r="I259" t="str">
            <v>Bangalore</v>
          </cell>
        </row>
        <row r="260">
          <cell r="B260" t="str">
            <v>W00265</v>
          </cell>
          <cell r="C260" t="str">
            <v>R3</v>
          </cell>
          <cell r="D260" t="str">
            <v>R</v>
          </cell>
          <cell r="E260" t="str">
            <v>Little Flower Religious &amp; Charitable Society</v>
          </cell>
          <cell r="F260" t="str">
            <v>Kotli Road, Muktsar - 132 026 Punjab</v>
          </cell>
          <cell r="H260" t="str">
            <v>LITFLOW</v>
          </cell>
          <cell r="I260" t="str">
            <v>Gurgaon</v>
          </cell>
        </row>
        <row r="261">
          <cell r="B261" t="str">
            <v>W00266</v>
          </cell>
          <cell r="C261" t="str">
            <v>R1</v>
          </cell>
          <cell r="D261" t="str">
            <v>R</v>
          </cell>
          <cell r="E261" t="str">
            <v>Gurmail Singh</v>
          </cell>
          <cell r="F261" t="str">
            <v>ASM City Hospital, Mahadev Market, Tanda Urmar, Hoshiarpur - 144 203</v>
          </cell>
          <cell r="I261" t="str">
            <v>Gurgaon</v>
          </cell>
        </row>
        <row r="262">
          <cell r="B262" t="str">
            <v>W00268</v>
          </cell>
          <cell r="C262" t="str">
            <v>R1</v>
          </cell>
          <cell r="D262" t="str">
            <v>R</v>
          </cell>
          <cell r="E262" t="str">
            <v>Ganesh Scan Centre</v>
          </cell>
          <cell r="F262" t="str">
            <v>209, Naicker New Street, Madurai - 625 001</v>
          </cell>
          <cell r="H262" t="str">
            <v>GANESH</v>
          </cell>
          <cell r="I262" t="str">
            <v>Bangalore</v>
          </cell>
        </row>
        <row r="263">
          <cell r="B263" t="str">
            <v>W00269</v>
          </cell>
          <cell r="C263" t="str">
            <v>R1</v>
          </cell>
          <cell r="D263" t="str">
            <v>R</v>
          </cell>
          <cell r="E263" t="str">
            <v>Sunil Bhatia</v>
          </cell>
          <cell r="F263" t="str">
            <v>238-C, Govind Nagar, Kanpur.</v>
          </cell>
          <cell r="H263" t="str">
            <v>SBHATIA</v>
          </cell>
          <cell r="I263" t="str">
            <v>Gurgaon</v>
          </cell>
        </row>
        <row r="264">
          <cell r="B264" t="str">
            <v>W00270</v>
          </cell>
          <cell r="C264" t="str">
            <v>R1</v>
          </cell>
          <cell r="D264" t="str">
            <v>R</v>
          </cell>
          <cell r="E264" t="str">
            <v>M K Saraogi</v>
          </cell>
          <cell r="F264" t="str">
            <v>113/121A, Swaroop Nagar, Kanpur - 200 002</v>
          </cell>
          <cell r="H264" t="str">
            <v>MKSARA</v>
          </cell>
          <cell r="I264" t="str">
            <v>Gurgaon</v>
          </cell>
        </row>
        <row r="265">
          <cell r="B265" t="str">
            <v>W00501</v>
          </cell>
          <cell r="C265" t="str">
            <v>R3</v>
          </cell>
          <cell r="D265" t="str">
            <v>R</v>
          </cell>
          <cell r="E265" t="str">
            <v>Positive Health Care</v>
          </cell>
          <cell r="F265" t="str">
            <v>K K DUTTA, OPPOSITE BOHRA SERVICE , ULUWARI, GUWAHATI-781007</v>
          </cell>
          <cell r="H265" t="str">
            <v>POSITIVE</v>
          </cell>
          <cell r="I265" t="str">
            <v>Bhubneshwar</v>
          </cell>
        </row>
        <row r="266">
          <cell r="B266" t="str">
            <v>W00502</v>
          </cell>
          <cell r="C266" t="str">
            <v>H</v>
          </cell>
          <cell r="D266" t="str">
            <v>H</v>
          </cell>
          <cell r="E266" t="str">
            <v>Bhuvan X-ray</v>
          </cell>
          <cell r="F266" t="str">
            <v>Alka Tower, Niyawan Road, Rekabganj, Faizabad, Uttar Pradesh</v>
          </cell>
          <cell r="I266" t="str">
            <v>Gurgaon</v>
          </cell>
        </row>
        <row r="267">
          <cell r="B267" t="str">
            <v>W00503</v>
          </cell>
          <cell r="C267" t="str">
            <v>R3</v>
          </cell>
          <cell r="D267" t="str">
            <v>R</v>
          </cell>
          <cell r="E267" t="str">
            <v>Galav Scan Centre</v>
          </cell>
          <cell r="F267" t="str">
            <v>OPPOSITE JOINT DIRECTOR( HEALTH OFFICE ) NEAR J A GROUP OF HOSPITALS, GAWALIOR-474009</v>
          </cell>
          <cell r="H267" t="str">
            <v>GALAV</v>
          </cell>
          <cell r="I267" t="str">
            <v>Ahamedabad</v>
          </cell>
        </row>
        <row r="268">
          <cell r="B268" t="str">
            <v>W00505</v>
          </cell>
          <cell r="C268" t="str">
            <v>R3</v>
          </cell>
          <cell r="D268" t="str">
            <v>R</v>
          </cell>
          <cell r="E268" t="str">
            <v>Hospito India Medical Foundation Ltd.-3</v>
          </cell>
          <cell r="F268" t="str">
            <v>Boring Road, Patna - 800 001 Bihar</v>
          </cell>
          <cell r="H268" t="str">
            <v>HOSPITO</v>
          </cell>
          <cell r="I268" t="str">
            <v>Gurgaon</v>
          </cell>
        </row>
        <row r="269">
          <cell r="B269" t="str">
            <v>W00506</v>
          </cell>
          <cell r="C269" t="str">
            <v>R1</v>
          </cell>
          <cell r="D269" t="str">
            <v>R</v>
          </cell>
          <cell r="E269" t="str">
            <v>Modiu's Medicare-2</v>
          </cell>
          <cell r="F269" t="str">
            <v>National Hospital, Indira Gandhi Road, Calicut - 673 001 Kerala</v>
          </cell>
          <cell r="I269" t="str">
            <v>Bangalore</v>
          </cell>
        </row>
        <row r="270">
          <cell r="B270" t="str">
            <v>W10001</v>
          </cell>
          <cell r="C270" t="str">
            <v>R1</v>
          </cell>
          <cell r="D270" t="str">
            <v>R</v>
          </cell>
          <cell r="E270" t="str">
            <v>R.N. Bagga</v>
          </cell>
          <cell r="F270" t="str">
            <v>C-143, SECTOR 40, NOIDA, UTTARPRADESH</v>
          </cell>
          <cell r="I270" t="str">
            <v>Gurgaon</v>
          </cell>
        </row>
        <row r="271">
          <cell r="B271" t="str">
            <v>W10002</v>
          </cell>
          <cell r="C271" t="str">
            <v>R1</v>
          </cell>
          <cell r="D271" t="str">
            <v>R</v>
          </cell>
          <cell r="E271" t="str">
            <v>Harbans K. Singh</v>
          </cell>
          <cell r="F271" t="str">
            <v>Gian Kesar Hospital,Gt Road,Bhogpur,Jalandhar.</v>
          </cell>
          <cell r="I271" t="str">
            <v>Gurgaon</v>
          </cell>
        </row>
        <row r="272">
          <cell r="B272" t="str">
            <v>W10003</v>
          </cell>
          <cell r="C272" t="str">
            <v>R1</v>
          </cell>
          <cell r="D272" t="str">
            <v>R</v>
          </cell>
          <cell r="E272" t="str">
            <v>Raj Kumar Gupta</v>
          </cell>
          <cell r="F272" t="str">
            <v>Rajastan Medical Centre,Outside Jalai gale,Jodhpur-342003</v>
          </cell>
          <cell r="H272" t="str">
            <v>RKGUPTA</v>
          </cell>
          <cell r="I272" t="str">
            <v>Gurgaon</v>
          </cell>
        </row>
        <row r="273">
          <cell r="B273" t="str">
            <v>W10004</v>
          </cell>
          <cell r="C273" t="str">
            <v>R1</v>
          </cell>
          <cell r="D273" t="str">
            <v>R</v>
          </cell>
          <cell r="E273" t="str">
            <v>Ultrasonix-2</v>
          </cell>
          <cell r="F273" t="str">
            <v>Pradhan Nagar, Siliguri</v>
          </cell>
          <cell r="H273" t="str">
            <v>ULTRA</v>
          </cell>
          <cell r="I273" t="str">
            <v>Bhubneshwar</v>
          </cell>
        </row>
        <row r="274">
          <cell r="B274" t="str">
            <v>W10005</v>
          </cell>
          <cell r="C274" t="str">
            <v>R1</v>
          </cell>
          <cell r="D274" t="str">
            <v>R</v>
          </cell>
          <cell r="E274" t="str">
            <v>Kishore Diagnostic (P) L.-2</v>
          </cell>
          <cell r="F274" t="str">
            <v>Ranihat Medical Road,Cuttack-7,Orissa</v>
          </cell>
          <cell r="I274" t="str">
            <v>Bhubneshwar</v>
          </cell>
        </row>
        <row r="275">
          <cell r="B275" t="str">
            <v>W10006</v>
          </cell>
          <cell r="C275" t="str">
            <v>R1</v>
          </cell>
          <cell r="D275" t="str">
            <v>R</v>
          </cell>
          <cell r="E275" t="str">
            <v>Saral Advanced Diagn..</v>
          </cell>
          <cell r="F275" t="str">
            <v>E-1073, SARASWATI VIHAR, NEAR E BLOCK, PITAM PURA, DELHI-110088</v>
          </cell>
          <cell r="H275" t="str">
            <v>SARAL</v>
          </cell>
          <cell r="I275" t="str">
            <v>Gurgaon</v>
          </cell>
        </row>
        <row r="276">
          <cell r="B276" t="str">
            <v>W10007</v>
          </cell>
          <cell r="C276" t="str">
            <v>RB</v>
          </cell>
          <cell r="D276" t="str">
            <v>RB</v>
          </cell>
          <cell r="E276" t="str">
            <v>Sheel Nursing Home P.L.</v>
          </cell>
          <cell r="F276" t="str">
            <v>Rajendra Nagar , Bareilly,UP</v>
          </cell>
          <cell r="I276" t="str">
            <v>Gurgaon</v>
          </cell>
        </row>
        <row r="277">
          <cell r="B277" t="str">
            <v>W10008</v>
          </cell>
          <cell r="C277" t="str">
            <v>R1</v>
          </cell>
          <cell r="D277" t="str">
            <v>R</v>
          </cell>
          <cell r="E277" t="str">
            <v>Christraj Hospital</v>
          </cell>
          <cell r="F277" t="str">
            <v>Markunnam ,Kottayam Dist.,Kerala-686564</v>
          </cell>
          <cell r="I277" t="str">
            <v>Bangalore</v>
          </cell>
        </row>
        <row r="278">
          <cell r="B278" t="str">
            <v>W10009</v>
          </cell>
          <cell r="C278" t="str">
            <v>R1</v>
          </cell>
          <cell r="D278" t="str">
            <v>R</v>
          </cell>
          <cell r="E278" t="str">
            <v>Thankam Panose</v>
          </cell>
          <cell r="F278" t="str">
            <v>Neruala Hospital,Kannul Distt.,Kerala-670703</v>
          </cell>
          <cell r="I278" t="str">
            <v>Bangalore</v>
          </cell>
        </row>
        <row r="279">
          <cell r="B279" t="str">
            <v>W10010</v>
          </cell>
          <cell r="C279" t="str">
            <v>R1</v>
          </cell>
          <cell r="D279" t="str">
            <v>R</v>
          </cell>
          <cell r="E279" t="str">
            <v>Sriniwasa Untrasound Sca..</v>
          </cell>
          <cell r="F279" t="str">
            <v>8, Millers Tank Bund Road, Bangalore</v>
          </cell>
          <cell r="I279" t="str">
            <v>Bangalore</v>
          </cell>
        </row>
        <row r="280">
          <cell r="B280" t="str">
            <v>W10011</v>
          </cell>
          <cell r="C280" t="str">
            <v>R1</v>
          </cell>
          <cell r="D280" t="str">
            <v>R</v>
          </cell>
          <cell r="E280" t="str">
            <v>Shubham Diagnostic Centre</v>
          </cell>
          <cell r="F280" t="str">
            <v>33, KESIA ROAD, BETIHATA, GORAKHPUR-273001</v>
          </cell>
          <cell r="H280" t="str">
            <v>TYAGI</v>
          </cell>
          <cell r="I280" t="str">
            <v>Gurgaon</v>
          </cell>
        </row>
        <row r="281">
          <cell r="B281" t="str">
            <v>W10012</v>
          </cell>
          <cell r="C281" t="str">
            <v>R1</v>
          </cell>
          <cell r="D281" t="str">
            <v>R</v>
          </cell>
          <cell r="E281" t="str">
            <v>Y K Diagnostic</v>
          </cell>
          <cell r="F281" t="str">
            <v>15, HARGOVIND ENCLAVE, DELHI-110092, PH: 011-2167252/2167262/2167292</v>
          </cell>
          <cell r="H281" t="str">
            <v>YKDIAG</v>
          </cell>
          <cell r="I281" t="str">
            <v>Gurgaon</v>
          </cell>
        </row>
        <row r="282">
          <cell r="B282" t="str">
            <v>W10013</v>
          </cell>
          <cell r="C282" t="str">
            <v>R3</v>
          </cell>
          <cell r="D282" t="str">
            <v>R</v>
          </cell>
          <cell r="E282" t="str">
            <v>BBS Mediscanners P.L.</v>
          </cell>
          <cell r="F282" t="str">
            <v>Childrens Park,Siliguri</v>
          </cell>
          <cell r="H282" t="str">
            <v>BBS</v>
          </cell>
          <cell r="I282" t="str">
            <v>Bhubneshwar</v>
          </cell>
        </row>
        <row r="283">
          <cell r="B283" t="str">
            <v>W10014</v>
          </cell>
          <cell r="C283" t="str">
            <v>R1</v>
          </cell>
          <cell r="D283" t="str">
            <v>R</v>
          </cell>
          <cell r="E283" t="str">
            <v>Kartiayani Nursing Home</v>
          </cell>
          <cell r="F283" t="str">
            <v>Patturaillak, Trichur,-680001</v>
          </cell>
          <cell r="H283" t="str">
            <v>KARTI</v>
          </cell>
          <cell r="I283" t="str">
            <v>Bangalore</v>
          </cell>
        </row>
        <row r="284">
          <cell r="B284" t="str">
            <v>W10015</v>
          </cell>
          <cell r="C284" t="str">
            <v>R1</v>
          </cell>
          <cell r="D284" t="str">
            <v>R</v>
          </cell>
          <cell r="E284" t="str">
            <v>Duljeet Yadav</v>
          </cell>
          <cell r="F284" t="str">
            <v>Pooja Surgical Hospital,Opp.Govt.College, Dungarpur-314001</v>
          </cell>
          <cell r="H284" t="str">
            <v>DYADAV</v>
          </cell>
          <cell r="I284" t="str">
            <v>Gurgaon</v>
          </cell>
        </row>
        <row r="285">
          <cell r="B285" t="str">
            <v>W10016</v>
          </cell>
          <cell r="C285" t="str">
            <v>R1</v>
          </cell>
          <cell r="D285" t="str">
            <v>R</v>
          </cell>
          <cell r="E285" t="str">
            <v>Neena Kwatra</v>
          </cell>
          <cell r="F285" t="str">
            <v>Versha Clinic,11186,Krobanganj,New Delhi-100005</v>
          </cell>
          <cell r="I285" t="str">
            <v>Gurgaon</v>
          </cell>
        </row>
        <row r="286">
          <cell r="B286" t="str">
            <v>W10017</v>
          </cell>
          <cell r="C286" t="str">
            <v>R1</v>
          </cell>
          <cell r="D286" t="str">
            <v>R</v>
          </cell>
          <cell r="E286" t="str">
            <v>V.B. Rajavel</v>
          </cell>
          <cell r="F286" t="str">
            <v>923,KNK Road, Erode-630003</v>
          </cell>
          <cell r="H286" t="str">
            <v>VBRAJA</v>
          </cell>
          <cell r="I286" t="str">
            <v>Bangalore</v>
          </cell>
        </row>
        <row r="287">
          <cell r="B287" t="str">
            <v>W10018</v>
          </cell>
          <cell r="C287" t="str">
            <v>R3</v>
          </cell>
          <cell r="D287" t="str">
            <v>R</v>
          </cell>
          <cell r="E287" t="str">
            <v>Verdict Diagnostics -2</v>
          </cell>
          <cell r="F287" t="str">
            <v>Opp. CK Hall, Anand, Gujarat</v>
          </cell>
          <cell r="H287" t="str">
            <v>VERDICT</v>
          </cell>
          <cell r="I287" t="str">
            <v>Ahamedabad</v>
          </cell>
        </row>
        <row r="288">
          <cell r="B288" t="str">
            <v>W10019</v>
          </cell>
          <cell r="C288" t="str">
            <v>R1</v>
          </cell>
          <cell r="D288" t="str">
            <v>R</v>
          </cell>
          <cell r="E288" t="str">
            <v>Sri Gangacharan Hospital</v>
          </cell>
          <cell r="F288" t="str">
            <v>No-2, Rampur Garden,Bareilly UP</v>
          </cell>
          <cell r="H288" t="str">
            <v>SRIGANGA</v>
          </cell>
          <cell r="I288" t="str">
            <v>Gurgaon</v>
          </cell>
        </row>
        <row r="289">
          <cell r="B289" t="str">
            <v>W10020</v>
          </cell>
          <cell r="C289" t="str">
            <v>R1</v>
          </cell>
          <cell r="D289" t="str">
            <v>R</v>
          </cell>
          <cell r="E289" t="str">
            <v>N.S. Thakur</v>
          </cell>
          <cell r="F289" t="str">
            <v xml:space="preserve">MIG-22,Housing Board Colony, Bodhghat,Jagdalpur,MP494001 </v>
          </cell>
          <cell r="H289" t="str">
            <v>NSTHAK</v>
          </cell>
          <cell r="I289" t="str">
            <v>Ahamedabad</v>
          </cell>
        </row>
        <row r="290">
          <cell r="B290" t="str">
            <v>W10021</v>
          </cell>
          <cell r="C290" t="str">
            <v>R1</v>
          </cell>
          <cell r="D290" t="str">
            <v>R</v>
          </cell>
          <cell r="E290" t="str">
            <v>Lakshmi Scan &amp; Color..</v>
          </cell>
          <cell r="F290" t="str">
            <v>No-2106/1, Rehamania Building,Dhanvanti Road, Mysore-570001</v>
          </cell>
          <cell r="H290" t="str">
            <v>LAKSH</v>
          </cell>
          <cell r="I290" t="str">
            <v>Bangalore</v>
          </cell>
        </row>
        <row r="291">
          <cell r="B291" t="str">
            <v>W10022</v>
          </cell>
          <cell r="C291" t="str">
            <v>R1</v>
          </cell>
          <cell r="D291" t="str">
            <v>R</v>
          </cell>
          <cell r="E291" t="str">
            <v>Lakshmi Scan &amp; Color..</v>
          </cell>
          <cell r="F291" t="str">
            <v>Station Road,Misaj, Maharashtra-416410</v>
          </cell>
          <cell r="H291" t="str">
            <v>NIKIT</v>
          </cell>
          <cell r="I291" t="str">
            <v>Ahamedabad</v>
          </cell>
        </row>
        <row r="292">
          <cell r="B292" t="str">
            <v>W10023</v>
          </cell>
          <cell r="C292" t="str">
            <v>R1</v>
          </cell>
          <cell r="D292" t="str">
            <v>R</v>
          </cell>
          <cell r="E292" t="str">
            <v>Peter B Aloysious Navamani</v>
          </cell>
          <cell r="F292" t="str">
            <v>MDS Scan,Main Road,Manthardam Tamilnadu-629165</v>
          </cell>
          <cell r="I292" t="str">
            <v>Bangalore</v>
          </cell>
        </row>
        <row r="293">
          <cell r="B293" t="str">
            <v>W10024</v>
          </cell>
          <cell r="C293" t="str">
            <v>R1</v>
          </cell>
          <cell r="D293" t="str">
            <v>R</v>
          </cell>
          <cell r="E293" t="str">
            <v>Ajay Wahi</v>
          </cell>
          <cell r="F293" t="str">
            <v>Central Diagnostic Clinic,A-S,ChandpurJhohwar Rd.Jaipur</v>
          </cell>
          <cell r="H293" t="str">
            <v>AWAHI</v>
          </cell>
          <cell r="I293" t="str">
            <v>Gurgaon</v>
          </cell>
        </row>
        <row r="294">
          <cell r="B294" t="str">
            <v>W10025</v>
          </cell>
          <cell r="C294" t="str">
            <v>R1</v>
          </cell>
          <cell r="D294" t="str">
            <v>R</v>
          </cell>
          <cell r="E294" t="str">
            <v>G Surendran</v>
          </cell>
          <cell r="F294" t="str">
            <v>Gopal Pillai Hospital,RV Puram, Nagerwal-629001</v>
          </cell>
          <cell r="H294" t="str">
            <v>GSURE</v>
          </cell>
          <cell r="I294" t="str">
            <v>Bangalore</v>
          </cell>
        </row>
        <row r="295">
          <cell r="B295" t="str">
            <v>W10026</v>
          </cell>
          <cell r="C295" t="str">
            <v>R1</v>
          </cell>
          <cell r="D295" t="str">
            <v>R</v>
          </cell>
          <cell r="E295" t="str">
            <v>Gopal Maheshwari</v>
          </cell>
          <cell r="F295" t="str">
            <v>Welcome X-Ray &amp; Diagnostic Services,Jai Jawan Marg, JLN Colony,Jaipur,</v>
          </cell>
          <cell r="H295" t="str">
            <v>GOPALM</v>
          </cell>
          <cell r="I295" t="str">
            <v>Gurgaon</v>
          </cell>
        </row>
        <row r="296">
          <cell r="B296" t="str">
            <v>W10027</v>
          </cell>
          <cell r="C296" t="str">
            <v>R1</v>
          </cell>
          <cell r="D296" t="str">
            <v>R</v>
          </cell>
          <cell r="E296" t="str">
            <v>V Padmaja</v>
          </cell>
          <cell r="F296" t="str">
            <v>24-421,Kennedy Road,Machilipatnam, Krishna Dist.-321001</v>
          </cell>
          <cell r="H296" t="str">
            <v>VPADMA</v>
          </cell>
          <cell r="I296" t="str">
            <v>Bangalore</v>
          </cell>
        </row>
        <row r="297">
          <cell r="B297" t="str">
            <v>W10028</v>
          </cell>
          <cell r="C297" t="str">
            <v>R1</v>
          </cell>
          <cell r="D297" t="str">
            <v>R</v>
          </cell>
          <cell r="E297" t="str">
            <v>R. K. Prakash</v>
          </cell>
          <cell r="F297" t="str">
            <v>Doctors Diagnistic Clinic, Near KSRTC Bus Stand,Haripad, Kerala</v>
          </cell>
          <cell r="H297" t="str">
            <v>RKPRAK</v>
          </cell>
          <cell r="I297" t="str">
            <v>Bangalore</v>
          </cell>
        </row>
        <row r="298">
          <cell r="B298" t="str">
            <v>W10029</v>
          </cell>
          <cell r="C298" t="str">
            <v>R1</v>
          </cell>
          <cell r="D298" t="str">
            <v>R</v>
          </cell>
          <cell r="E298" t="str">
            <v>Vivek Sondhi</v>
          </cell>
          <cell r="F298" t="str">
            <v>Anmol Enterprises, 82-A,Kamla Nagar,Delhi-110007</v>
          </cell>
          <cell r="H298" t="str">
            <v>VSONDHI</v>
          </cell>
          <cell r="I298" t="str">
            <v>Gurgaon</v>
          </cell>
        </row>
        <row r="299">
          <cell r="B299" t="str">
            <v>W10030</v>
          </cell>
          <cell r="C299" t="str">
            <v>R1</v>
          </cell>
          <cell r="D299" t="str">
            <v>R</v>
          </cell>
          <cell r="E299" t="str">
            <v>Kalpana Alexander</v>
          </cell>
          <cell r="F299" t="str">
            <v>M/S Matrika Hospital,T.Nagar, Samajiguda,Hyderabad-500082</v>
          </cell>
          <cell r="H299" t="str">
            <v>KALEX</v>
          </cell>
          <cell r="I299" t="str">
            <v>Bangalore</v>
          </cell>
        </row>
        <row r="300">
          <cell r="B300" t="str">
            <v>W10031</v>
          </cell>
          <cell r="C300" t="str">
            <v>R1</v>
          </cell>
          <cell r="D300" t="str">
            <v>R</v>
          </cell>
          <cell r="E300" t="str">
            <v>Surendranath Reddy-1</v>
          </cell>
          <cell r="F300" t="str">
            <v>Vyaya Diagnostic Centre3-6-20,Tirumala Apts.,Hyderabad-29</v>
          </cell>
          <cell r="H300" t="str">
            <v>SREDDY</v>
          </cell>
          <cell r="I300" t="str">
            <v>Bangalore</v>
          </cell>
        </row>
        <row r="301">
          <cell r="B301" t="str">
            <v>W10032</v>
          </cell>
          <cell r="C301" t="str">
            <v>R1</v>
          </cell>
          <cell r="D301" t="str">
            <v>R</v>
          </cell>
          <cell r="E301" t="str">
            <v>Christian Mission Hospital</v>
          </cell>
          <cell r="F301" t="str">
            <v>Pandalam,Pattanamitta Dist.,Kerala-689501</v>
          </cell>
          <cell r="I301" t="str">
            <v>Bangalore</v>
          </cell>
        </row>
        <row r="302">
          <cell r="B302" t="str">
            <v>W10033</v>
          </cell>
          <cell r="C302" t="str">
            <v>R3</v>
          </cell>
          <cell r="D302" t="str">
            <v>R</v>
          </cell>
          <cell r="E302" t="str">
            <v>Clarity MRI Centre Pvt. Ltd.</v>
          </cell>
          <cell r="F302" t="str">
            <v>I-3,Gokale Street ,Ram Nagar,Coimbatore-641009</v>
          </cell>
          <cell r="I302" t="str">
            <v>Bangalore</v>
          </cell>
        </row>
        <row r="303">
          <cell r="B303" t="str">
            <v>W10034</v>
          </cell>
          <cell r="C303" t="str">
            <v>R1</v>
          </cell>
          <cell r="D303" t="str">
            <v>R</v>
          </cell>
          <cell r="E303" t="str">
            <v>MOIT Hospital</v>
          </cell>
          <cell r="F303" t="str">
            <v>4/112, MOUNT ROAD, POONAMALLE, ROAD, CHENNAI-600089, CHENNAI, PH: 044-2492288</v>
          </cell>
          <cell r="H303" t="str">
            <v>MOIT</v>
          </cell>
          <cell r="I303" t="str">
            <v>Bangalore</v>
          </cell>
        </row>
        <row r="304">
          <cell r="B304" t="str">
            <v>W10035</v>
          </cell>
          <cell r="C304" t="str">
            <v>R1</v>
          </cell>
          <cell r="D304" t="str">
            <v>R</v>
          </cell>
          <cell r="E304" t="str">
            <v>HH Raj Dadiji Badan Kanwar</v>
          </cell>
          <cell r="F304" t="str">
            <v>Umaid Bhawan Palace,Jodhpur</v>
          </cell>
          <cell r="H304" t="str">
            <v>HHRDBK</v>
          </cell>
          <cell r="I304" t="str">
            <v>Gurgaon</v>
          </cell>
        </row>
        <row r="305">
          <cell r="B305" t="str">
            <v>W10036</v>
          </cell>
          <cell r="C305" t="str">
            <v>R1</v>
          </cell>
          <cell r="D305" t="str">
            <v>R</v>
          </cell>
          <cell r="E305" t="str">
            <v>Vidya Scan &amp; Echo Centre</v>
          </cell>
          <cell r="F305" t="str">
            <v>Vidya Hospital,103-C,Shanhan Nagar,Salem,TN</v>
          </cell>
          <cell r="H305" t="str">
            <v>VIDYA</v>
          </cell>
          <cell r="I305" t="str">
            <v>Bangalore</v>
          </cell>
        </row>
        <row r="306">
          <cell r="B306" t="str">
            <v>W10037</v>
          </cell>
          <cell r="C306" t="str">
            <v>R1</v>
          </cell>
          <cell r="D306" t="str">
            <v>R</v>
          </cell>
          <cell r="E306" t="str">
            <v>S. Ramakrishnan</v>
          </cell>
          <cell r="F306" t="str">
            <v>35, 1 mankhan Street,Pollachi, TN-642001</v>
          </cell>
          <cell r="H306" t="str">
            <v>SRAMAK</v>
          </cell>
          <cell r="I306" t="str">
            <v>Bangalore</v>
          </cell>
        </row>
        <row r="307">
          <cell r="B307" t="str">
            <v>W10038</v>
          </cell>
          <cell r="C307" t="str">
            <v>R1</v>
          </cell>
          <cell r="D307" t="str">
            <v>R</v>
          </cell>
          <cell r="E307" t="str">
            <v>C G Lakshmi Devi</v>
          </cell>
          <cell r="F307" t="str">
            <v>Sri Sairam NH,Near RTC Bus Station,Badrel,</v>
          </cell>
          <cell r="I307" t="str">
            <v>Bangalore</v>
          </cell>
        </row>
        <row r="308">
          <cell r="B308" t="str">
            <v>W10039</v>
          </cell>
          <cell r="C308" t="str">
            <v>R1</v>
          </cell>
          <cell r="D308" t="str">
            <v>R</v>
          </cell>
          <cell r="E308" t="str">
            <v>Raghuvanshi</v>
          </cell>
          <cell r="F308" t="str">
            <v>Gurudatta Chambers,1st floor,104,Near Don Bosco School,MG Road , Panaji,Goa</v>
          </cell>
          <cell r="H308" t="str">
            <v>RAGHUV</v>
          </cell>
          <cell r="I308" t="str">
            <v>Ahamedabad</v>
          </cell>
        </row>
        <row r="309">
          <cell r="B309" t="str">
            <v>W10040</v>
          </cell>
          <cell r="C309" t="str">
            <v>R1</v>
          </cell>
          <cell r="D309" t="str">
            <v>R</v>
          </cell>
          <cell r="E309" t="str">
            <v>Pratima X Ray</v>
          </cell>
          <cell r="F309" t="str">
            <v>Flat-12, Vijaya Chambers,Pune, Maharashtra-411051</v>
          </cell>
          <cell r="H309" t="str">
            <v>PRATIMA</v>
          </cell>
          <cell r="I309" t="str">
            <v>Ahamedabad</v>
          </cell>
        </row>
        <row r="310">
          <cell r="B310" t="str">
            <v>W10041</v>
          </cell>
          <cell r="C310" t="str">
            <v>R3</v>
          </cell>
          <cell r="D310" t="str">
            <v>R</v>
          </cell>
          <cell r="E310" t="str">
            <v>Computed Radiodiagnostics-3</v>
          </cell>
          <cell r="F310" t="str">
            <v>Andheri CT Scan Centre,I/2,Vishal C.H.S..Andheri Kurla Road, Andheri (E), Bomboy</v>
          </cell>
          <cell r="H310" t="str">
            <v>COMPUTED</v>
          </cell>
          <cell r="I310" t="str">
            <v>Ahamedabad</v>
          </cell>
        </row>
        <row r="311">
          <cell r="B311" t="str">
            <v>W10042</v>
          </cell>
          <cell r="C311" t="str">
            <v>R1</v>
          </cell>
          <cell r="D311" t="str">
            <v>R</v>
          </cell>
          <cell r="E311" t="str">
            <v>Ashok D Vora</v>
          </cell>
          <cell r="F311" t="str">
            <v>Nandini Hospital, Aradhana, Natepur,Sist0Anolapur</v>
          </cell>
          <cell r="H311" t="str">
            <v>AVORA</v>
          </cell>
          <cell r="I311" t="str">
            <v>Ahamedabad</v>
          </cell>
        </row>
        <row r="312">
          <cell r="B312" t="str">
            <v>W10043</v>
          </cell>
          <cell r="C312" t="str">
            <v>R1</v>
          </cell>
          <cell r="D312" t="str">
            <v>R</v>
          </cell>
          <cell r="E312" t="str">
            <v>Imtiaz H Shaikh</v>
          </cell>
          <cell r="F312" t="str">
            <v>GangaDhar Housing Society,Bld. No-11/4,Solapur</v>
          </cell>
          <cell r="H312" t="str">
            <v>IMTIAZ</v>
          </cell>
          <cell r="I312" t="str">
            <v>Ahamedabad</v>
          </cell>
        </row>
        <row r="313">
          <cell r="B313" t="str">
            <v>W10044</v>
          </cell>
          <cell r="C313" t="str">
            <v>R1</v>
          </cell>
          <cell r="D313" t="str">
            <v>R</v>
          </cell>
          <cell r="E313" t="str">
            <v>Paliwal Hospital P Ltd.-2</v>
          </cell>
          <cell r="F313" t="str">
            <v>Berasia Road,Near Bhopal Talkies Chouraha,Bhopal,MP</v>
          </cell>
          <cell r="H313" t="str">
            <v>PALIWAL</v>
          </cell>
          <cell r="I313" t="str">
            <v>Ahamedabad</v>
          </cell>
        </row>
        <row r="314">
          <cell r="B314" t="str">
            <v>W10045</v>
          </cell>
          <cell r="C314" t="str">
            <v>R1</v>
          </cell>
          <cell r="D314" t="str">
            <v>R</v>
          </cell>
          <cell r="E314" t="str">
            <v>Subhash Jain-1</v>
          </cell>
          <cell r="F314" t="str">
            <v>Ratanada X-Ray,Opp. Petrol Pump,Ratanada</v>
          </cell>
          <cell r="H314" t="str">
            <v>SJAIN</v>
          </cell>
          <cell r="I314" t="str">
            <v>Gurgaon</v>
          </cell>
        </row>
        <row r="315">
          <cell r="B315" t="str">
            <v>W10046</v>
          </cell>
          <cell r="C315" t="str">
            <v>R1</v>
          </cell>
          <cell r="D315" t="str">
            <v>R</v>
          </cell>
          <cell r="E315" t="str">
            <v>Vasan Medical Hall-1</v>
          </cell>
          <cell r="F315" t="str">
            <v>1-E,EVR Road,Pulhun,Trichy-620017</v>
          </cell>
          <cell r="H315" t="str">
            <v>VASAN</v>
          </cell>
          <cell r="I315" t="str">
            <v>Bangalore</v>
          </cell>
        </row>
        <row r="316">
          <cell r="B316" t="str">
            <v>W10047</v>
          </cell>
          <cell r="C316" t="str">
            <v>R3</v>
          </cell>
          <cell r="D316" t="str">
            <v>R</v>
          </cell>
          <cell r="E316" t="str">
            <v>Nikit P Mehta-2</v>
          </cell>
          <cell r="F316" t="str">
            <v>Station Road,Misaj, Maharashtra-416410</v>
          </cell>
          <cell r="H316" t="str">
            <v>NIKIT</v>
          </cell>
          <cell r="I316" t="str">
            <v>Ahamedabad</v>
          </cell>
        </row>
        <row r="317">
          <cell r="B317" t="str">
            <v>W10048</v>
          </cell>
          <cell r="C317" t="str">
            <v>R1</v>
          </cell>
          <cell r="D317" t="str">
            <v>R</v>
          </cell>
          <cell r="E317" t="str">
            <v>Parakh Diagnostic Centre</v>
          </cell>
          <cell r="F317" t="str">
            <v>356/7,a,Siyanpura Road,Alambagh,Lucknow-226005</v>
          </cell>
          <cell r="H317" t="str">
            <v>PARAKH</v>
          </cell>
          <cell r="I317" t="str">
            <v>Gurgaon</v>
          </cell>
        </row>
        <row r="318">
          <cell r="B318" t="str">
            <v>W10049</v>
          </cell>
          <cell r="C318" t="str">
            <v>R1</v>
          </cell>
          <cell r="D318" t="str">
            <v>R</v>
          </cell>
          <cell r="E318" t="str">
            <v>Vasan Medical Hall-2</v>
          </cell>
          <cell r="F318" t="str">
            <v>1-E,EVR Road,Pulthur,Trichy-620017</v>
          </cell>
          <cell r="H318" t="str">
            <v>VASAN</v>
          </cell>
          <cell r="I318" t="str">
            <v>Bangalore</v>
          </cell>
        </row>
        <row r="319">
          <cell r="B319" t="str">
            <v>W10050</v>
          </cell>
          <cell r="C319" t="str">
            <v>R3</v>
          </cell>
          <cell r="D319" t="str">
            <v>R</v>
          </cell>
          <cell r="E319" t="str">
            <v>Mukul Mehta</v>
          </cell>
          <cell r="F319" t="str">
            <v>Prabhat Ground Floor,12A, 76, Warden Road, Mumbai-400026</v>
          </cell>
          <cell r="H319" t="str">
            <v>MUKUL</v>
          </cell>
          <cell r="I319" t="str">
            <v>Ahamedabad</v>
          </cell>
        </row>
        <row r="320">
          <cell r="B320" t="str">
            <v>W10051</v>
          </cell>
          <cell r="C320" t="str">
            <v>R1</v>
          </cell>
          <cell r="D320" t="str">
            <v>R</v>
          </cell>
          <cell r="E320" t="str">
            <v>Spandan Diagnostic &amp; Research Centre (P) Ltd-2</v>
          </cell>
          <cell r="F320" t="str">
            <v>Rabindranagar,Midnapore</v>
          </cell>
          <cell r="H320" t="str">
            <v>SPANDAN</v>
          </cell>
          <cell r="I320" t="str">
            <v>Bhubneshwar</v>
          </cell>
        </row>
        <row r="321">
          <cell r="B321" t="str">
            <v>W10052</v>
          </cell>
          <cell r="C321" t="str">
            <v>R1</v>
          </cell>
          <cell r="D321" t="str">
            <v>R</v>
          </cell>
          <cell r="E321" t="str">
            <v>S.K. Bose</v>
          </cell>
          <cell r="F321" t="str">
            <v>Bose Clinic,9 Canal Road, Rohtas,Bihar</v>
          </cell>
          <cell r="H321" t="str">
            <v>SKBOSE</v>
          </cell>
          <cell r="I321" t="str">
            <v>Gurgaon</v>
          </cell>
        </row>
        <row r="322">
          <cell r="B322" t="str">
            <v>W10053</v>
          </cell>
          <cell r="C322" t="str">
            <v>R3</v>
          </cell>
          <cell r="E322" t="str">
            <v>Mangal Anand Healthcare 1</v>
          </cell>
          <cell r="F322" t="str">
            <v>48,Swastik Park,Trombay Road,Chenmbur, Mumbai</v>
          </cell>
          <cell r="I322" t="str">
            <v>Ahamedabad</v>
          </cell>
        </row>
        <row r="323">
          <cell r="B323" t="str">
            <v>W10054</v>
          </cell>
          <cell r="C323" t="str">
            <v>R1</v>
          </cell>
          <cell r="E323" t="str">
            <v>K. C. Jain</v>
          </cell>
          <cell r="F323" t="str">
            <v>5C-1,New Housing Board, Rajastan</v>
          </cell>
          <cell r="I323" t="str">
            <v>Gurgaon</v>
          </cell>
        </row>
        <row r="324">
          <cell r="B324" t="str">
            <v>W10055</v>
          </cell>
          <cell r="C324" t="str">
            <v>R1</v>
          </cell>
          <cell r="E324" t="str">
            <v>S. Mohd. Akram</v>
          </cell>
          <cell r="F324" t="str">
            <v>89, Azad Raod, Tirunaiveli,Tamilnadu</v>
          </cell>
          <cell r="H324" t="str">
            <v>SMAKRAM</v>
          </cell>
          <cell r="I324" t="str">
            <v>Bangalore</v>
          </cell>
        </row>
        <row r="325">
          <cell r="B325" t="str">
            <v>W10056</v>
          </cell>
          <cell r="C325" t="str">
            <v>R1</v>
          </cell>
          <cell r="E325" t="str">
            <v>Jagdish Cancer &amp; Research-1</v>
          </cell>
          <cell r="F325" t="str">
            <v>CDR HOSPITALS, 3-6-287, HYDERGUDA, HYDERABAD-500029</v>
          </cell>
          <cell r="H325" t="str">
            <v>CDR</v>
          </cell>
          <cell r="I325" t="str">
            <v>Bangalore</v>
          </cell>
        </row>
        <row r="326">
          <cell r="B326" t="str">
            <v>W10057</v>
          </cell>
          <cell r="C326" t="str">
            <v>R3</v>
          </cell>
          <cell r="E326" t="str">
            <v>Mangal Anand Healthcare L.</v>
          </cell>
          <cell r="F326" t="str">
            <v>48,Swastik Park,Trombay Road,Chenmbur, Mumbai</v>
          </cell>
          <cell r="I326" t="str">
            <v>Ahamedabad</v>
          </cell>
        </row>
        <row r="327">
          <cell r="B327" t="str">
            <v>W10058</v>
          </cell>
          <cell r="C327" t="str">
            <v>R3</v>
          </cell>
          <cell r="E327" t="str">
            <v>Nagpur Nuclear Medicine</v>
          </cell>
          <cell r="F327" t="str">
            <v>Rajkamal Complex,Pnachsheel, Dhantori, Nagpur</v>
          </cell>
          <cell r="H327" t="str">
            <v>NAGPUR</v>
          </cell>
          <cell r="I327" t="str">
            <v>Ahamedabad</v>
          </cell>
        </row>
        <row r="328">
          <cell r="B328" t="str">
            <v>W10059</v>
          </cell>
          <cell r="C328" t="str">
            <v>R1</v>
          </cell>
          <cell r="E328" t="str">
            <v>Begusarai Diagnostic (P) L.</v>
          </cell>
          <cell r="F328" t="str">
            <v>NEAR TEDHI NATH MANDIR, BAGUSARAI</v>
          </cell>
          <cell r="H328" t="str">
            <v>BEGUSARAI</v>
          </cell>
          <cell r="I328" t="str">
            <v>Gurgaon</v>
          </cell>
        </row>
        <row r="329">
          <cell r="B329" t="str">
            <v>W10060</v>
          </cell>
          <cell r="C329" t="str">
            <v>R1</v>
          </cell>
          <cell r="D329" t="str">
            <v>R</v>
          </cell>
          <cell r="E329" t="str">
            <v>Vishakha Hospital &amp; Diagnostic P. Ltd.-1</v>
          </cell>
          <cell r="F329" t="str">
            <v>Pallavi Hospital Complex,145-2-9,Gokhale Road,Maharanipet,Vishakhapatnam</v>
          </cell>
          <cell r="H329" t="str">
            <v>CARE</v>
          </cell>
          <cell r="I329" t="str">
            <v>Bangalore</v>
          </cell>
        </row>
        <row r="330">
          <cell r="B330" t="str">
            <v>W10061</v>
          </cell>
          <cell r="C330" t="str">
            <v>R1</v>
          </cell>
          <cell r="D330" t="str">
            <v>R</v>
          </cell>
          <cell r="E330" t="str">
            <v>Sethu Scan Service</v>
          </cell>
          <cell r="F330" t="str">
            <v>72, South Car Street, Chodambaram</v>
          </cell>
          <cell r="H330" t="str">
            <v>SETHUSC</v>
          </cell>
          <cell r="I330" t="str">
            <v>Bangalore</v>
          </cell>
        </row>
        <row r="331">
          <cell r="B331" t="str">
            <v>W10062</v>
          </cell>
          <cell r="C331" t="str">
            <v>R1</v>
          </cell>
          <cell r="D331" t="str">
            <v>R</v>
          </cell>
          <cell r="E331" t="str">
            <v>Subhash Jain-2</v>
          </cell>
          <cell r="F331" t="str">
            <v>Ratnada X-Ray Clinic ,Opp Petrol Pump, Ratanda Bazar, Jodhpur, Rajasthan - 342 001</v>
          </cell>
          <cell r="H331" t="str">
            <v>SJAIN</v>
          </cell>
          <cell r="I331" t="str">
            <v>Gurgaon</v>
          </cell>
        </row>
        <row r="332">
          <cell r="B332" t="str">
            <v>W10063</v>
          </cell>
          <cell r="C332" t="str">
            <v>R1</v>
          </cell>
          <cell r="D332" t="str">
            <v>R</v>
          </cell>
          <cell r="E332" t="str">
            <v>Advance medical Research Institute-2</v>
          </cell>
          <cell r="F332" t="str">
            <v>P4 CIT Scheme-LXXII,Block A Gasihat Road, Calcutta</v>
          </cell>
          <cell r="H332" t="str">
            <v>AMRI</v>
          </cell>
          <cell r="I332" t="str">
            <v>Bhubneshwar</v>
          </cell>
        </row>
        <row r="333">
          <cell r="B333" t="str">
            <v>W10064</v>
          </cell>
          <cell r="C333" t="str">
            <v>R1</v>
          </cell>
          <cell r="D333" t="str">
            <v>R</v>
          </cell>
          <cell r="E333" t="str">
            <v>Debashish Pandhi</v>
          </cell>
          <cell r="F333" t="str">
            <v>State Bank Raod ,Berhampur, Ganjam, Orissa-760001</v>
          </cell>
          <cell r="H333" t="str">
            <v>DPANDHI</v>
          </cell>
          <cell r="I333" t="str">
            <v>Bhubneshwar</v>
          </cell>
        </row>
        <row r="334">
          <cell r="B334" t="str">
            <v>W10065</v>
          </cell>
          <cell r="C334" t="str">
            <v>R1</v>
          </cell>
          <cell r="D334" t="str">
            <v>R</v>
          </cell>
          <cell r="E334" t="str">
            <v>Ashok G Joshi</v>
          </cell>
          <cell r="F334" t="str">
            <v>Moti Mahal, Gr. Floor,Nashik Road,Maharashtra</v>
          </cell>
          <cell r="I334" t="str">
            <v>Ahamedabad</v>
          </cell>
        </row>
        <row r="335">
          <cell r="B335" t="str">
            <v>W10066</v>
          </cell>
          <cell r="C335" t="str">
            <v>R1</v>
          </cell>
          <cell r="D335" t="str">
            <v>R</v>
          </cell>
          <cell r="E335" t="str">
            <v>Hosmat Hospital</v>
          </cell>
          <cell r="F335" t="str">
            <v>45, Magrath Road, of Richmond Road, Bangalore-560025</v>
          </cell>
          <cell r="H335" t="str">
            <v>HOSMAT</v>
          </cell>
          <cell r="I335" t="str">
            <v>Bangalore</v>
          </cell>
        </row>
        <row r="336">
          <cell r="B336" t="str">
            <v>W10067</v>
          </cell>
          <cell r="C336" t="str">
            <v>R1</v>
          </cell>
          <cell r="D336" t="str">
            <v>R</v>
          </cell>
          <cell r="E336" t="str">
            <v>Mohan Lal Sindhi</v>
          </cell>
          <cell r="F336" t="str">
            <v>karwani ultrasound &amp; Path Centre, Jata Shankar Chowk, Gorakhpur</v>
          </cell>
          <cell r="H336" t="str">
            <v>MLSIND</v>
          </cell>
          <cell r="I336" t="str">
            <v>Bhubneshwar</v>
          </cell>
        </row>
        <row r="337">
          <cell r="B337" t="str">
            <v>W10068</v>
          </cell>
          <cell r="C337" t="str">
            <v>R1</v>
          </cell>
          <cell r="D337" t="str">
            <v>R</v>
          </cell>
          <cell r="E337" t="str">
            <v>A.K. Tyagi</v>
          </cell>
          <cell r="F337" t="str">
            <v>Shubham Ultrasound, East of Betia Hata Crossing, Gorakhpur, UP</v>
          </cell>
          <cell r="H337" t="str">
            <v>TYAGI</v>
          </cell>
          <cell r="I337" t="str">
            <v>Gurgaon</v>
          </cell>
        </row>
        <row r="338">
          <cell r="B338" t="str">
            <v>W10069</v>
          </cell>
          <cell r="C338" t="str">
            <v>R1</v>
          </cell>
          <cell r="D338" t="str">
            <v>R</v>
          </cell>
          <cell r="E338" t="str">
            <v>S.P. Singh</v>
          </cell>
          <cell r="F338" t="str">
            <v>MALL GODOWN, SHAHJAHANPUR, UP-242001</v>
          </cell>
          <cell r="H338" t="str">
            <v>SPSING</v>
          </cell>
          <cell r="I338" t="str">
            <v>Gurgaon</v>
          </cell>
        </row>
        <row r="339">
          <cell r="B339" t="str">
            <v>W10070</v>
          </cell>
          <cell r="C339" t="str">
            <v>R1</v>
          </cell>
          <cell r="D339" t="str">
            <v>R</v>
          </cell>
          <cell r="E339" t="str">
            <v>North Bengal Neuro Research</v>
          </cell>
          <cell r="F339" t="str">
            <v>Pradhan nagar, Siliguri</v>
          </cell>
          <cell r="H339" t="str">
            <v>NBENGAL</v>
          </cell>
          <cell r="I339" t="str">
            <v>Bhubneshwar</v>
          </cell>
        </row>
        <row r="340">
          <cell r="B340" t="str">
            <v>W10071</v>
          </cell>
          <cell r="C340" t="str">
            <v>R1</v>
          </cell>
          <cell r="D340" t="str">
            <v>R</v>
          </cell>
          <cell r="E340" t="str">
            <v>Jai Mahakali Ultrasound &amp; X-ray Pathology Centre</v>
          </cell>
          <cell r="F340" t="str">
            <v>Opposite Medical Xollege Gate, Jhansi-284126</v>
          </cell>
          <cell r="H340" t="str">
            <v>JAIMAHA</v>
          </cell>
          <cell r="I340" t="str">
            <v>Gurgaon</v>
          </cell>
        </row>
        <row r="341">
          <cell r="B341" t="str">
            <v>W10072</v>
          </cell>
          <cell r="C341" t="str">
            <v>R1</v>
          </cell>
          <cell r="D341" t="str">
            <v>R</v>
          </cell>
          <cell r="E341" t="str">
            <v>Jagdish Cancer &amp; Research-2</v>
          </cell>
          <cell r="F341" t="str">
            <v>CDR HOSPITALS, 3-6-287, HYDERGUDA, HYDERABAD-500029</v>
          </cell>
          <cell r="I341" t="str">
            <v>Bangalore</v>
          </cell>
        </row>
        <row r="342">
          <cell r="B342" t="str">
            <v>W10073</v>
          </cell>
          <cell r="C342" t="str">
            <v>R1</v>
          </cell>
          <cell r="D342" t="str">
            <v>R</v>
          </cell>
          <cell r="E342" t="str">
            <v>Jagdish Cancer &amp; Research-3</v>
          </cell>
          <cell r="F342" t="str">
            <v>CDR HOSPITALS, 3-6-287, HYDERGUDA, HYDERABAD-500029</v>
          </cell>
          <cell r="I342" t="str">
            <v>Bangalore</v>
          </cell>
        </row>
        <row r="343">
          <cell r="B343" t="str">
            <v>W10074</v>
          </cell>
          <cell r="C343" t="str">
            <v>R1</v>
          </cell>
          <cell r="D343" t="str">
            <v>R</v>
          </cell>
          <cell r="E343" t="str">
            <v>Sanjukta Pattnaik</v>
          </cell>
          <cell r="F343" t="str">
            <v>FARM ROAD, OLD STATE BANK ROAD, SAMBALPUR-768003</v>
          </cell>
          <cell r="H343" t="str">
            <v>SPATTN</v>
          </cell>
          <cell r="I343" t="str">
            <v>Bhubneshwar</v>
          </cell>
        </row>
        <row r="344">
          <cell r="B344" t="str">
            <v>W10075</v>
          </cell>
          <cell r="C344" t="str">
            <v>R1</v>
          </cell>
          <cell r="D344" t="str">
            <v>R</v>
          </cell>
          <cell r="E344" t="str">
            <v>Advance medical Research Institute-3</v>
          </cell>
          <cell r="F344" t="str">
            <v>P-4, CIT Scheme LXXII, Block A, Gariahat Road, Calcutta - 700 029</v>
          </cell>
          <cell r="H344" t="str">
            <v>AMRI</v>
          </cell>
          <cell r="I344" t="str">
            <v>Bhubneshwar</v>
          </cell>
        </row>
        <row r="345">
          <cell r="B345" t="str">
            <v>W10076</v>
          </cell>
          <cell r="C345" t="str">
            <v>R1</v>
          </cell>
          <cell r="D345" t="str">
            <v>R</v>
          </cell>
          <cell r="E345" t="str">
            <v>Skylab ( Assam ) Pvt. Ltd.</v>
          </cell>
          <cell r="F345" t="str">
            <v>G S ROAD, ULUBARI, GUWAHATI-781007</v>
          </cell>
          <cell r="H345" t="str">
            <v>SKYLAB</v>
          </cell>
          <cell r="I345" t="str">
            <v>Bhubneshwar</v>
          </cell>
        </row>
        <row r="346">
          <cell r="B346" t="str">
            <v>W10077</v>
          </cell>
          <cell r="C346" t="str">
            <v>R1</v>
          </cell>
          <cell r="D346" t="str">
            <v>R</v>
          </cell>
          <cell r="E346" t="str">
            <v>M Thilangabama</v>
          </cell>
          <cell r="F346" t="str">
            <v>15/1 Arumugam  Rode, AVT Padasalai St , Sivakasi-626123</v>
          </cell>
          <cell r="H346" t="str">
            <v>MTHIL</v>
          </cell>
          <cell r="I346" t="str">
            <v>Bangalore</v>
          </cell>
        </row>
        <row r="347">
          <cell r="B347" t="str">
            <v>W10078</v>
          </cell>
          <cell r="C347" t="str">
            <v>R1</v>
          </cell>
          <cell r="D347" t="str">
            <v>R</v>
          </cell>
          <cell r="E347" t="str">
            <v>Diagnosis</v>
          </cell>
          <cell r="F347" t="str">
            <v>Baruah Road, Nalbari-781353, Assam India</v>
          </cell>
          <cell r="H347" t="str">
            <v>DIAGNS</v>
          </cell>
          <cell r="I347" t="str">
            <v>Bhubneshwar</v>
          </cell>
        </row>
        <row r="348">
          <cell r="B348" t="str">
            <v>W10079</v>
          </cell>
          <cell r="C348" t="str">
            <v>R1</v>
          </cell>
          <cell r="D348" t="str">
            <v>R</v>
          </cell>
          <cell r="E348" t="str">
            <v>Subhra Jha</v>
          </cell>
          <cell r="F348" t="str">
            <v>A-13, Secretariat Colony, Patna</v>
          </cell>
          <cell r="H348" t="str">
            <v>SJHA</v>
          </cell>
          <cell r="I348" t="str">
            <v>Gurgaon</v>
          </cell>
        </row>
        <row r="349">
          <cell r="B349" t="str">
            <v>W10080</v>
          </cell>
          <cell r="C349" t="str">
            <v>R1</v>
          </cell>
          <cell r="D349" t="str">
            <v>R</v>
          </cell>
          <cell r="E349" t="str">
            <v>Sri  Chennai Scans &amp; research Centre ( P ) Ltd.</v>
          </cell>
          <cell r="F349" t="str">
            <v>51, Phontieth Road, Agmore, Madras-600008</v>
          </cell>
          <cell r="H349" t="str">
            <v>SRICHEN</v>
          </cell>
          <cell r="I349" t="str">
            <v>Bangalore</v>
          </cell>
        </row>
        <row r="350">
          <cell r="B350" t="str">
            <v>W10081</v>
          </cell>
          <cell r="C350" t="str">
            <v>R1</v>
          </cell>
          <cell r="D350" t="str">
            <v>R</v>
          </cell>
          <cell r="E350" t="str">
            <v>Susheela Johny</v>
          </cell>
          <cell r="F350" t="str">
            <v>Holy Cross Hospital, Pudutrad-680301, Kerala</v>
          </cell>
          <cell r="H350" t="str">
            <v>SJOHNY</v>
          </cell>
          <cell r="I350" t="str">
            <v>Bangalore</v>
          </cell>
        </row>
        <row r="351">
          <cell r="B351" t="str">
            <v>W10082</v>
          </cell>
          <cell r="C351" t="str">
            <v>R1</v>
          </cell>
          <cell r="D351" t="str">
            <v>R</v>
          </cell>
          <cell r="E351" t="str">
            <v>X-Ray Centre Guwahati (P) Ltd.</v>
          </cell>
          <cell r="F351" t="str">
            <v>Guwahati</v>
          </cell>
          <cell r="H351" t="str">
            <v>XRAYG</v>
          </cell>
          <cell r="I351" t="str">
            <v>Bhubneshwar</v>
          </cell>
        </row>
        <row r="352">
          <cell r="B352" t="str">
            <v>W10083</v>
          </cell>
          <cell r="C352" t="str">
            <v>R1</v>
          </cell>
          <cell r="D352" t="str">
            <v>R</v>
          </cell>
          <cell r="E352" t="str">
            <v>T. Jayaraman</v>
          </cell>
          <cell r="F352" t="str">
            <v>NO 22, DOCTORS COLONY, JAGIR REDDYPATTI, STEEL PLANT ROAD, SALEM-636302</v>
          </cell>
          <cell r="H352" t="str">
            <v>TJAYAR</v>
          </cell>
          <cell r="I352" t="str">
            <v>Bangalore</v>
          </cell>
        </row>
        <row r="353">
          <cell r="B353" t="str">
            <v>W10084</v>
          </cell>
          <cell r="C353" t="str">
            <v>R1</v>
          </cell>
          <cell r="D353" t="str">
            <v>R</v>
          </cell>
          <cell r="E353" t="str">
            <v>Anju Gupta</v>
          </cell>
          <cell r="F353" t="str">
            <v>Surya Clinic X Ray, K-1/155B, Ashiana, Near Chancellor Club, Lucknow</v>
          </cell>
          <cell r="H353" t="str">
            <v>AGUPTA</v>
          </cell>
          <cell r="I353" t="str">
            <v>Gurgaon</v>
          </cell>
        </row>
        <row r="354">
          <cell r="B354" t="str">
            <v>W10085</v>
          </cell>
          <cell r="C354" t="str">
            <v>R1</v>
          </cell>
          <cell r="D354" t="str">
            <v>R</v>
          </cell>
          <cell r="E354" t="str">
            <v>K.M. Jothiraj</v>
          </cell>
          <cell r="F354" t="str">
            <v>Sethu Scan Centre, 467, Bharathi Street, Pondicherry-605001</v>
          </cell>
          <cell r="I354" t="str">
            <v>Bangalore</v>
          </cell>
        </row>
        <row r="355">
          <cell r="B355" t="str">
            <v>W10086</v>
          </cell>
          <cell r="C355" t="str">
            <v>R1</v>
          </cell>
          <cell r="D355" t="str">
            <v>R</v>
          </cell>
          <cell r="E355" t="str">
            <v>Ramesh Verma</v>
          </cell>
          <cell r="F355" t="str">
            <v>Hospital Chowk, Baharaich, UP-271801</v>
          </cell>
          <cell r="I355" t="str">
            <v>Gurgaon</v>
          </cell>
        </row>
        <row r="356">
          <cell r="B356" t="str">
            <v>W10087</v>
          </cell>
          <cell r="C356" t="str">
            <v>R1</v>
          </cell>
          <cell r="D356" t="str">
            <v>R</v>
          </cell>
          <cell r="E356" t="str">
            <v>Jay Kishore</v>
          </cell>
          <cell r="F356" t="str">
            <v>37-1-169-55/10, Sundaram Bhawan Road, Ongole, Prakassam Distt, AP</v>
          </cell>
          <cell r="H356" t="str">
            <v>JAYK</v>
          </cell>
          <cell r="I356" t="str">
            <v>Bangalore</v>
          </cell>
        </row>
        <row r="357">
          <cell r="B357" t="str">
            <v>W10088</v>
          </cell>
          <cell r="C357" t="str">
            <v>R1</v>
          </cell>
          <cell r="D357" t="str">
            <v>R</v>
          </cell>
          <cell r="E357" t="str">
            <v>Vishakha Hospital &amp; Diagnostic P. Ltd.-2</v>
          </cell>
          <cell r="F357" t="str">
            <v>Pallavi Hospital Complex,145-2-9,Gokhale Road,Maharanipet,Vishakhapatnam</v>
          </cell>
          <cell r="H357" t="str">
            <v>CARE</v>
          </cell>
          <cell r="I357" t="str">
            <v>Bangalore</v>
          </cell>
        </row>
        <row r="358">
          <cell r="B358" t="str">
            <v>W10089</v>
          </cell>
          <cell r="C358" t="str">
            <v>R3</v>
          </cell>
          <cell r="D358" t="str">
            <v>R</v>
          </cell>
          <cell r="E358" t="str">
            <v>S. S. Todkari</v>
          </cell>
          <cell r="F358" t="str">
            <v>Todkari Infertility &amp; Sonography Clinic, Sreebagh-2, Alibagh-402201</v>
          </cell>
          <cell r="H358" t="str">
            <v>SSTOD</v>
          </cell>
          <cell r="I358" t="str">
            <v>Ahamedabad</v>
          </cell>
        </row>
        <row r="359">
          <cell r="B359" t="str">
            <v>W10090</v>
          </cell>
          <cell r="C359" t="str">
            <v>R1</v>
          </cell>
          <cell r="D359" t="str">
            <v>R</v>
          </cell>
          <cell r="E359" t="str">
            <v>P. Murati Sankar</v>
          </cell>
          <cell r="F359" t="str">
            <v>Ravindra Nagar, A K Nagar, PO Nellore, AP-524004</v>
          </cell>
          <cell r="H359" t="str">
            <v>PMURATI</v>
          </cell>
          <cell r="I359" t="str">
            <v>Bangalore</v>
          </cell>
        </row>
        <row r="360">
          <cell r="B360" t="str">
            <v>W10091</v>
          </cell>
          <cell r="C360" t="str">
            <v>R1</v>
          </cell>
          <cell r="D360" t="str">
            <v>R</v>
          </cell>
          <cell r="E360" t="str">
            <v>Tuticorin CT Scan &amp; Research-2</v>
          </cell>
          <cell r="F360" t="str">
            <v>28, North Car Street, Tuticorin</v>
          </cell>
          <cell r="H360" t="str">
            <v>TUTICORIN</v>
          </cell>
          <cell r="I360" t="str">
            <v>Bangalore</v>
          </cell>
        </row>
        <row r="361">
          <cell r="B361" t="str">
            <v>W10092</v>
          </cell>
          <cell r="C361" t="str">
            <v>R1</v>
          </cell>
          <cell r="D361" t="str">
            <v>R</v>
          </cell>
          <cell r="E361" t="str">
            <v>Prakash Kanwar</v>
          </cell>
          <cell r="F361" t="str">
            <v>Sanchore Hospital &amp; Diag Centre, Near Krishi Mandi, Sanchore, Distt Jalore-343041, Rajasthan</v>
          </cell>
          <cell r="H361" t="str">
            <v>PKANW</v>
          </cell>
          <cell r="I361" t="str">
            <v>Gurgaon</v>
          </cell>
        </row>
        <row r="362">
          <cell r="B362" t="str">
            <v>W10093</v>
          </cell>
          <cell r="C362" t="str">
            <v>R1</v>
          </cell>
          <cell r="D362" t="str">
            <v>R</v>
          </cell>
          <cell r="E362" t="str">
            <v>Shija Clinic Pvt. Ltd.</v>
          </cell>
          <cell r="F362" t="str">
            <v>RIMS ROAD, IMPHAL, MANIPUR-795001</v>
          </cell>
          <cell r="I362" t="str">
            <v>Bhubneshwar</v>
          </cell>
        </row>
        <row r="363">
          <cell r="B363" t="str">
            <v>W10094</v>
          </cell>
          <cell r="C363" t="str">
            <v>R1</v>
          </cell>
          <cell r="D363" t="str">
            <v>R</v>
          </cell>
          <cell r="E363" t="str">
            <v>Rashmi Garg</v>
          </cell>
          <cell r="F363" t="str">
            <v>1st Floor, Bactor House, Sikar-332001</v>
          </cell>
          <cell r="H363" t="str">
            <v>RGARG</v>
          </cell>
          <cell r="I363" t="str">
            <v>Gurgaon</v>
          </cell>
        </row>
        <row r="364">
          <cell r="B364" t="str">
            <v>W10095</v>
          </cell>
          <cell r="C364" t="str">
            <v>R1</v>
          </cell>
          <cell r="D364" t="str">
            <v>R</v>
          </cell>
          <cell r="E364" t="str">
            <v>Bankura Scan Centre</v>
          </cell>
          <cell r="F364" t="str">
            <v>Katjuridanga, Distt bankura, West Bengal</v>
          </cell>
          <cell r="H364" t="str">
            <v>BANKURA</v>
          </cell>
          <cell r="I364" t="str">
            <v>Gurgaon</v>
          </cell>
        </row>
        <row r="365">
          <cell r="B365" t="str">
            <v>W10096</v>
          </cell>
          <cell r="C365" t="str">
            <v>R3</v>
          </cell>
          <cell r="D365" t="str">
            <v>R</v>
          </cell>
          <cell r="E365" t="str">
            <v>Gopal Surendran</v>
          </cell>
          <cell r="F365" t="str">
            <v>Dr Gopal Pillai's Hospital, Nagercoil-629001</v>
          </cell>
          <cell r="H365" t="str">
            <v>GOPALS</v>
          </cell>
          <cell r="I365" t="str">
            <v>Bangalore</v>
          </cell>
        </row>
        <row r="366">
          <cell r="B366" t="str">
            <v>W10097</v>
          </cell>
          <cell r="C366" t="str">
            <v>R1</v>
          </cell>
          <cell r="D366" t="str">
            <v>R</v>
          </cell>
          <cell r="E366" t="str">
            <v>Prateeksha Tolambia</v>
          </cell>
          <cell r="F366" t="str">
            <v>C/o Mahesh Hospital, Seva Sadan, Bhilwada</v>
          </cell>
          <cell r="H366" t="str">
            <v>TOLAMBIA</v>
          </cell>
          <cell r="I366" t="str">
            <v>Gurgaon</v>
          </cell>
        </row>
        <row r="367">
          <cell r="B367" t="str">
            <v>W10098</v>
          </cell>
          <cell r="C367" t="str">
            <v>R1</v>
          </cell>
          <cell r="D367" t="str">
            <v>R</v>
          </cell>
          <cell r="E367" t="str">
            <v>K. Velluswamy</v>
          </cell>
          <cell r="F367" t="str">
            <v>K V HOSPITAL, 72, DINDIGUL ROAD, -624602</v>
          </cell>
          <cell r="H367" t="str">
            <v>KVELLU</v>
          </cell>
          <cell r="I367" t="str">
            <v>Bangalore</v>
          </cell>
        </row>
        <row r="368">
          <cell r="B368" t="str">
            <v>W10099</v>
          </cell>
          <cell r="C368" t="str">
            <v>R3</v>
          </cell>
          <cell r="D368" t="str">
            <v>R</v>
          </cell>
          <cell r="E368" t="str">
            <v>Shilpa Phadkule</v>
          </cell>
          <cell r="F368" t="str">
            <v>SAMARTH NAGAR, BIHIND CIVIL HOSPITAL, SHOLAPUR</v>
          </cell>
          <cell r="H368" t="str">
            <v>SHILPAP</v>
          </cell>
          <cell r="I368" t="str">
            <v>Ahamedabad</v>
          </cell>
        </row>
        <row r="369">
          <cell r="B369" t="str">
            <v>W10100</v>
          </cell>
          <cell r="C369" t="str">
            <v>NA</v>
          </cell>
          <cell r="D369" t="str">
            <v>NA</v>
          </cell>
          <cell r="E369" t="str">
            <v>The Chotanagpur Regional Handloom Weaver Coop Union Ltd.</v>
          </cell>
          <cell r="F369" t="str">
            <v>PO IRBA, RANCHI-835238, BIHAR-835238</v>
          </cell>
          <cell r="H369" t="str">
            <v>CHOTA</v>
          </cell>
          <cell r="I369" t="str">
            <v>Gurgaon</v>
          </cell>
        </row>
        <row r="370">
          <cell r="B370" t="str">
            <v>W10101</v>
          </cell>
          <cell r="C370" t="str">
            <v>R1</v>
          </cell>
          <cell r="D370" t="str">
            <v>R</v>
          </cell>
          <cell r="E370" t="str">
            <v>North Bangalore Diagnostic Pvt. Ltd.</v>
          </cell>
          <cell r="F370" t="str">
            <v>Cauveri Diagnostic Centr, West of Chord Road, Bangalore-86</v>
          </cell>
          <cell r="H370" t="str">
            <v>NBANG</v>
          </cell>
          <cell r="I370" t="str">
            <v>Bangalore</v>
          </cell>
        </row>
        <row r="371">
          <cell r="B371" t="str">
            <v>W10102</v>
          </cell>
          <cell r="C371" t="str">
            <v>R1</v>
          </cell>
          <cell r="D371" t="str">
            <v>R</v>
          </cell>
          <cell r="E371" t="str">
            <v>A.K. Gupta</v>
          </cell>
          <cell r="F371" t="str">
            <v>D-52, Lakshmi Kund Varanasi, Uttar Pradesh</v>
          </cell>
          <cell r="H371" t="str">
            <v>AKGUPTA</v>
          </cell>
          <cell r="I371" t="str">
            <v>Gurgaon</v>
          </cell>
        </row>
        <row r="372">
          <cell r="B372" t="str">
            <v>W10103</v>
          </cell>
          <cell r="C372" t="str">
            <v>R1</v>
          </cell>
          <cell r="D372" t="str">
            <v>R</v>
          </cell>
          <cell r="E372" t="str">
            <v>Naresh Suri</v>
          </cell>
          <cell r="F372" t="str">
            <v>House no. 1304, Sec-15, Faridabad</v>
          </cell>
          <cell r="H372" t="str">
            <v>NSURI</v>
          </cell>
          <cell r="I372" t="str">
            <v>Gurgaon</v>
          </cell>
        </row>
        <row r="373">
          <cell r="B373" t="str">
            <v>W10104</v>
          </cell>
        </row>
        <row r="374">
          <cell r="B374" t="str">
            <v>W10105</v>
          </cell>
          <cell r="C374" t="str">
            <v>R1</v>
          </cell>
          <cell r="D374" t="str">
            <v>R</v>
          </cell>
          <cell r="E374" t="str">
            <v>The Heart Centre</v>
          </cell>
          <cell r="F374" t="str">
            <v>5051, N S MARG, DARYA GANJ, NEW DELHI</v>
          </cell>
          <cell r="H374" t="str">
            <v>HEART</v>
          </cell>
          <cell r="I374" t="str">
            <v>Gurgaon</v>
          </cell>
        </row>
        <row r="375">
          <cell r="B375" t="str">
            <v>W10106</v>
          </cell>
          <cell r="C375" t="str">
            <v>R1</v>
          </cell>
          <cell r="D375" t="str">
            <v>R</v>
          </cell>
          <cell r="E375" t="str">
            <v>Atul  Seth</v>
          </cell>
          <cell r="F375" t="str">
            <v xml:space="preserve"> S V DIAGNOSTIC, VIJAY LODGE, CHIPLUN, RATNAGIRI, MAHARASHTRA</v>
          </cell>
          <cell r="H375" t="str">
            <v>ASETH</v>
          </cell>
          <cell r="I375" t="str">
            <v>Ahamedabad</v>
          </cell>
        </row>
        <row r="376">
          <cell r="B376" t="str">
            <v>W10107</v>
          </cell>
          <cell r="C376" t="str">
            <v>R1</v>
          </cell>
          <cell r="D376" t="str">
            <v>R</v>
          </cell>
          <cell r="E376" t="str">
            <v>B. Radhika</v>
          </cell>
          <cell r="F376" t="str">
            <v>RADHIKA SCAN CENTRE, OPP. RTC BUSSTAND, ONGOLE-523002</v>
          </cell>
          <cell r="H376" t="str">
            <v>BRAD</v>
          </cell>
          <cell r="I376" t="str">
            <v>Bangalore</v>
          </cell>
        </row>
        <row r="377">
          <cell r="B377" t="str">
            <v>W10108</v>
          </cell>
          <cell r="C377" t="str">
            <v>R1</v>
          </cell>
          <cell r="D377" t="str">
            <v>R</v>
          </cell>
          <cell r="E377" t="str">
            <v>Shirish Valsangkar</v>
          </cell>
          <cell r="F377" t="str">
            <v>Nath Plaza, 974 Modikhana, Near Saat Raasta, Solapur 413 001</v>
          </cell>
          <cell r="H377" t="str">
            <v>SVALSAN</v>
          </cell>
          <cell r="I377" t="str">
            <v>Ahamedabad</v>
          </cell>
        </row>
        <row r="378">
          <cell r="B378" t="str">
            <v>W10109</v>
          </cell>
          <cell r="C378" t="str">
            <v>R1</v>
          </cell>
          <cell r="D378" t="str">
            <v>R</v>
          </cell>
          <cell r="E378" t="str">
            <v>P. Raghu Ramaiah</v>
          </cell>
          <cell r="F378" t="str">
            <v>PLOT NO. 40, RAYAKHERUVU ROAD, TIRUPATI</v>
          </cell>
          <cell r="H378" t="str">
            <v>PRRAMH</v>
          </cell>
          <cell r="I378" t="str">
            <v>Bangalore</v>
          </cell>
        </row>
        <row r="379">
          <cell r="B379" t="str">
            <v>W10110</v>
          </cell>
          <cell r="C379" t="str">
            <v>R1</v>
          </cell>
          <cell r="D379" t="str">
            <v>R</v>
          </cell>
          <cell r="E379" t="str">
            <v>Swati Dileep Bhale</v>
          </cell>
          <cell r="F379" t="str">
            <v>SHIVAJI NAGAR, HINGOLI-431513</v>
          </cell>
          <cell r="H379" t="str">
            <v>SWATI</v>
          </cell>
          <cell r="I379" t="str">
            <v>Ahamedabad</v>
          </cell>
        </row>
        <row r="380">
          <cell r="B380" t="str">
            <v>W10111</v>
          </cell>
          <cell r="C380" t="str">
            <v>R3</v>
          </cell>
          <cell r="D380" t="str">
            <v>R</v>
          </cell>
          <cell r="E380" t="str">
            <v>Ajit Scanning &amp; Diagnostic Centre Pvt. Ltd.</v>
          </cell>
          <cell r="F380" t="str">
            <v>OPP. PUNJAB NATIONAL BANK, MURBAD ROAD, KALYAN WEST, MUMBAI</v>
          </cell>
          <cell r="H380" t="str">
            <v>AJITSCAN</v>
          </cell>
          <cell r="I380" t="str">
            <v>Ahamedabad</v>
          </cell>
        </row>
        <row r="381">
          <cell r="B381" t="str">
            <v>W10112</v>
          </cell>
          <cell r="C381" t="str">
            <v>R1</v>
          </cell>
          <cell r="D381" t="str">
            <v>R</v>
          </cell>
          <cell r="E381" t="str">
            <v>Life Line Diagnostic Centre</v>
          </cell>
          <cell r="F381" t="str">
            <v>SUNCITY ROAD, COOCHBEHAR, P S KOTWALI, PO COOCH BEHAR</v>
          </cell>
          <cell r="H381" t="str">
            <v>LIFELINE</v>
          </cell>
          <cell r="I381" t="str">
            <v>Bhubneshwar</v>
          </cell>
        </row>
        <row r="382">
          <cell r="B382" t="str">
            <v>W10113</v>
          </cell>
          <cell r="C382" t="str">
            <v>R1</v>
          </cell>
          <cell r="D382" t="str">
            <v>R</v>
          </cell>
          <cell r="E382" t="str">
            <v>V. Shanmugam</v>
          </cell>
          <cell r="F382" t="str">
            <v>S V NURSING HOME, CAPE ROAD, KOTTAI, NAGERCOIL--627002</v>
          </cell>
          <cell r="H382" t="str">
            <v>VSHAN</v>
          </cell>
          <cell r="I382" t="str">
            <v>Bangalore</v>
          </cell>
        </row>
        <row r="383">
          <cell r="B383" t="str">
            <v>W10114</v>
          </cell>
          <cell r="C383" t="str">
            <v>R1</v>
          </cell>
          <cell r="D383" t="str">
            <v>R</v>
          </cell>
          <cell r="E383" t="str">
            <v>Ramalakshmi</v>
          </cell>
          <cell r="F383" t="str">
            <v>LAKSHMI HOSPITAL, MADURAI ROAD, TIRUNELVELI</v>
          </cell>
          <cell r="H383" t="str">
            <v>RAMAL</v>
          </cell>
          <cell r="I383" t="str">
            <v>Bangalore</v>
          </cell>
        </row>
        <row r="384">
          <cell r="B384" t="str">
            <v>W10115</v>
          </cell>
          <cell r="C384" t="str">
            <v>R3</v>
          </cell>
          <cell r="D384" t="str">
            <v>R</v>
          </cell>
          <cell r="E384" t="str">
            <v>Ram Kumar Gupta</v>
          </cell>
          <cell r="F384" t="str">
            <v>OPPOSITE KAJAL TALKEEJ, GAWALIOR-474001</v>
          </cell>
          <cell r="H384" t="str">
            <v>RKGUPT</v>
          </cell>
          <cell r="I384" t="str">
            <v>Gurgaon</v>
          </cell>
        </row>
        <row r="385">
          <cell r="B385" t="str">
            <v>W10116</v>
          </cell>
          <cell r="C385" t="str">
            <v>R1</v>
          </cell>
          <cell r="D385" t="str">
            <v>R</v>
          </cell>
          <cell r="E385" t="str">
            <v>Ongole CT Scan Centre Pvt. Ltd.</v>
          </cell>
          <cell r="F385" t="str">
            <v>RAJU COMPLEX, OPP RTC BUSTSAND, ONGOLE-523002</v>
          </cell>
          <cell r="H385" t="str">
            <v>ONGOLE</v>
          </cell>
          <cell r="I385" t="str">
            <v>Bangalore</v>
          </cell>
        </row>
        <row r="386">
          <cell r="B386" t="str">
            <v>W10117</v>
          </cell>
          <cell r="C386" t="str">
            <v>R1</v>
          </cell>
          <cell r="D386" t="str">
            <v>R</v>
          </cell>
          <cell r="E386" t="str">
            <v>R. K. Gupta ( Sukhda )</v>
          </cell>
          <cell r="F386" t="str">
            <v>SUKHDA HOSPITAL, PAMPOSH ENCLAVE SHOPPING CENTRE, NEW DELHI</v>
          </cell>
          <cell r="I386" t="str">
            <v>Gurgaon</v>
          </cell>
        </row>
        <row r="387">
          <cell r="B387" t="str">
            <v>W10118</v>
          </cell>
          <cell r="C387" t="str">
            <v>R1</v>
          </cell>
          <cell r="D387" t="str">
            <v>R</v>
          </cell>
          <cell r="E387" t="str">
            <v>Madanapalle Hospital Pvt. Ltd.</v>
          </cell>
          <cell r="F387" t="str">
            <v>15/3/5, REDAPPA NAIDU COLONY, G T M ROAD, MADANPALLE-517325</v>
          </cell>
          <cell r="H387" t="str">
            <v>MADAN</v>
          </cell>
          <cell r="I387" t="str">
            <v>Bangalore</v>
          </cell>
        </row>
        <row r="388">
          <cell r="B388" t="str">
            <v>W10119</v>
          </cell>
          <cell r="C388" t="str">
            <v>R1</v>
          </cell>
          <cell r="D388" t="str">
            <v>R</v>
          </cell>
          <cell r="E388" t="str">
            <v>Bharat Scans Pvt. Ltd.-2</v>
          </cell>
          <cell r="F388" t="str">
            <v>201, PERIYAR ROAD, PATHAI, CHENNAI</v>
          </cell>
          <cell r="H388" t="str">
            <v>BHARAT</v>
          </cell>
          <cell r="I388" t="str">
            <v>Bangalore</v>
          </cell>
        </row>
        <row r="389">
          <cell r="B389" t="str">
            <v>W10120</v>
          </cell>
          <cell r="C389" t="str">
            <v>R1</v>
          </cell>
          <cell r="D389" t="str">
            <v>R</v>
          </cell>
          <cell r="E389" t="str">
            <v>R. R. Rai</v>
          </cell>
          <cell r="F389" t="str">
            <v>562, Annasalai, Teynampet, Chennai-600018</v>
          </cell>
          <cell r="H389" t="str">
            <v>RRRAI</v>
          </cell>
          <cell r="I389" t="str">
            <v>Bangalore</v>
          </cell>
        </row>
        <row r="390">
          <cell r="B390" t="str">
            <v>W10121</v>
          </cell>
          <cell r="C390" t="str">
            <v>R1</v>
          </cell>
          <cell r="D390" t="str">
            <v>R</v>
          </cell>
          <cell r="E390" t="str">
            <v>Advanced Medicare &amp; research Institute Ltd.-4</v>
          </cell>
          <cell r="F390" t="str">
            <v>P-4, CIT Scheme LXXII, Block A, Gariahat Road, Calcutta - 700 029</v>
          </cell>
          <cell r="H390" t="str">
            <v>AMRI</v>
          </cell>
          <cell r="I390" t="str">
            <v>Bhubneshwar</v>
          </cell>
        </row>
        <row r="391">
          <cell r="B391" t="str">
            <v>W10122</v>
          </cell>
          <cell r="C391" t="str">
            <v>R1</v>
          </cell>
          <cell r="D391" t="str">
            <v>R</v>
          </cell>
          <cell r="E391" t="str">
            <v>Raj Arora</v>
          </cell>
          <cell r="F391" t="str">
            <v>Arora Nursing Home, Behla Chowk, Darbangha, Bihar</v>
          </cell>
          <cell r="H391" t="str">
            <v>RARORA</v>
          </cell>
          <cell r="I391" t="str">
            <v>Gurgaon</v>
          </cell>
        </row>
        <row r="392">
          <cell r="B392" t="str">
            <v>W10123</v>
          </cell>
          <cell r="C392" t="str">
            <v>R1</v>
          </cell>
          <cell r="D392" t="str">
            <v>R</v>
          </cell>
          <cell r="E392" t="str">
            <v>Travancore Diagnostic Pvt. Ltd.-2</v>
          </cell>
          <cell r="F392" t="str">
            <v>Travancore Diag Pvt. Ltd., Groun Dloor, Nazeem Complex, Distt Hospital Road, Chamakkada, Kollam, Kerala-691001</v>
          </cell>
          <cell r="H392" t="str">
            <v>TRAVSCN</v>
          </cell>
          <cell r="I392" t="str">
            <v>Bangalore</v>
          </cell>
        </row>
        <row r="393">
          <cell r="B393" t="str">
            <v>W10124</v>
          </cell>
          <cell r="C393" t="str">
            <v>R1</v>
          </cell>
          <cell r="D393" t="str">
            <v>R</v>
          </cell>
          <cell r="E393" t="str">
            <v>Ram Ratan Rai</v>
          </cell>
          <cell r="F393" t="str">
            <v>562, Annasalai, Teynampet, Chennai-600018</v>
          </cell>
          <cell r="H393" t="str">
            <v>RRRAI</v>
          </cell>
          <cell r="I393" t="str">
            <v>Bangalore</v>
          </cell>
        </row>
        <row r="394">
          <cell r="B394" t="str">
            <v>W10125</v>
          </cell>
          <cell r="C394" t="str">
            <v>R1</v>
          </cell>
          <cell r="D394" t="str">
            <v>R</v>
          </cell>
          <cell r="E394" t="str">
            <v>Noida Medicare Centre Ltd.-1</v>
          </cell>
          <cell r="F394" t="str">
            <v>Noida Medicare Centre, 16-C, Block 'E', Sector-30, Noida-201303</v>
          </cell>
          <cell r="H394" t="str">
            <v>NMC</v>
          </cell>
          <cell r="I394" t="str">
            <v>Gurgaon</v>
          </cell>
        </row>
        <row r="395">
          <cell r="B395" t="str">
            <v>W10126</v>
          </cell>
          <cell r="C395" t="str">
            <v>R1</v>
          </cell>
          <cell r="D395" t="str">
            <v>R</v>
          </cell>
          <cell r="E395" t="str">
            <v>Jeewan Jyoti Medical Care</v>
          </cell>
          <cell r="F395" t="str">
            <v>6, Shubam palace, SGPGI Gate, Raibarelly Road, Lucknow, Ph.441344</v>
          </cell>
          <cell r="I395" t="str">
            <v>Gurgaon</v>
          </cell>
        </row>
        <row r="396">
          <cell r="B396" t="str">
            <v>W10127</v>
          </cell>
          <cell r="C396" t="str">
            <v>R1</v>
          </cell>
          <cell r="D396" t="str">
            <v>R</v>
          </cell>
          <cell r="E396" t="str">
            <v>BBR Hospital</v>
          </cell>
          <cell r="F396" t="str">
            <v>7-4-194, Ferozgonda, Balanagar, Secundrabad</v>
          </cell>
          <cell r="H396" t="str">
            <v>BBR</v>
          </cell>
          <cell r="I396" t="str">
            <v>Bangalore</v>
          </cell>
        </row>
        <row r="397">
          <cell r="B397" t="str">
            <v>W10128</v>
          </cell>
          <cell r="C397" t="str">
            <v>R1</v>
          </cell>
          <cell r="D397" t="str">
            <v>R</v>
          </cell>
          <cell r="E397" t="str">
            <v>Rajvir Singh</v>
          </cell>
          <cell r="F397" t="str">
            <v>Suraj Diagnosticm Opposite Civil Hospital, Gurgaon</v>
          </cell>
          <cell r="H397" t="str">
            <v>RAJVIR</v>
          </cell>
          <cell r="I397" t="str">
            <v>Gurgaon</v>
          </cell>
        </row>
        <row r="398">
          <cell r="B398" t="str">
            <v>W10129</v>
          </cell>
          <cell r="C398" t="str">
            <v>NA</v>
          </cell>
          <cell r="D398" t="str">
            <v>NA</v>
          </cell>
          <cell r="E398" t="str">
            <v>Manipal Academy of Higher -1</v>
          </cell>
          <cell r="F398" t="str">
            <v>Madhav Nagar, Manipal</v>
          </cell>
          <cell r="H398" t="str">
            <v>MAHE</v>
          </cell>
          <cell r="I398" t="str">
            <v>Bangalore</v>
          </cell>
        </row>
        <row r="399">
          <cell r="B399" t="str">
            <v>W10130</v>
          </cell>
          <cell r="C399" t="str">
            <v>R3</v>
          </cell>
          <cell r="D399" t="str">
            <v>R</v>
          </cell>
          <cell r="E399" t="str">
            <v>K G Healthcare ( CT)</v>
          </cell>
          <cell r="F399" t="str">
            <v>Coimbatore</v>
          </cell>
          <cell r="H399" t="str">
            <v>KGGB</v>
          </cell>
          <cell r="I399" t="str">
            <v>Bangalore</v>
          </cell>
        </row>
        <row r="400">
          <cell r="B400" t="str">
            <v>W10131</v>
          </cell>
          <cell r="C400" t="str">
            <v>R1</v>
          </cell>
          <cell r="D400" t="str">
            <v>R</v>
          </cell>
          <cell r="E400" t="str">
            <v>Dynamic Scan &amp; Research Centre Pvt. Ltd.</v>
          </cell>
          <cell r="F400" t="str">
            <v>Chennai</v>
          </cell>
          <cell r="H400" t="str">
            <v>DYNAMIC</v>
          </cell>
          <cell r="I400" t="str">
            <v>South</v>
          </cell>
        </row>
        <row r="401">
          <cell r="B401" t="str">
            <v>W10132</v>
          </cell>
          <cell r="C401" t="str">
            <v>R1</v>
          </cell>
          <cell r="D401" t="str">
            <v>R</v>
          </cell>
          <cell r="E401" t="str">
            <v>BBR Multi Speciality Hospital-1</v>
          </cell>
          <cell r="F401" t="str">
            <v>7-4-194, Ferozguda, Balanagar, Secundrabad</v>
          </cell>
          <cell r="H401" t="str">
            <v>BBR</v>
          </cell>
          <cell r="I401" t="str">
            <v>Bangalore</v>
          </cell>
        </row>
        <row r="402">
          <cell r="B402" t="str">
            <v>W10133</v>
          </cell>
          <cell r="C402" t="str">
            <v>R1</v>
          </cell>
          <cell r="D402" t="str">
            <v>R</v>
          </cell>
          <cell r="E402" t="str">
            <v>Medisewa Scanning Centre</v>
          </cell>
          <cell r="F402" t="str">
            <v>Geeta Bhawan, Mohalla  Golarghat, Sultanpur-UP</v>
          </cell>
          <cell r="H402" t="str">
            <v>MEDISEWA</v>
          </cell>
          <cell r="I402" t="str">
            <v>Gurgaon</v>
          </cell>
        </row>
        <row r="403">
          <cell r="B403" t="str">
            <v>W10134</v>
          </cell>
          <cell r="C403" t="str">
            <v>R1</v>
          </cell>
          <cell r="D403" t="str">
            <v>R</v>
          </cell>
          <cell r="E403" t="str">
            <v>Mahajan Imaging Pvt. Ltd.</v>
          </cell>
          <cell r="F403" t="str">
            <v>B-2/80, Safdarjang Enclave, New Delhi</v>
          </cell>
          <cell r="H403" t="str">
            <v>MAHAJAN</v>
          </cell>
          <cell r="I403" t="str">
            <v>North</v>
          </cell>
        </row>
        <row r="404">
          <cell r="B404" t="str">
            <v>W10135</v>
          </cell>
          <cell r="C404" t="str">
            <v>R1</v>
          </cell>
          <cell r="D404" t="str">
            <v>R</v>
          </cell>
          <cell r="E404" t="str">
            <v>Anita's Diagnostic Pvt. Ltd.</v>
          </cell>
          <cell r="F404" t="str">
            <v>D57/60, K S Sigra  Road, Varanasi</v>
          </cell>
          <cell r="H404" t="str">
            <v>ANITA</v>
          </cell>
          <cell r="I404" t="str">
            <v>North</v>
          </cell>
        </row>
        <row r="405">
          <cell r="B405" t="str">
            <v>W10136</v>
          </cell>
          <cell r="C405" t="str">
            <v>R1</v>
          </cell>
          <cell r="D405" t="str">
            <v>R</v>
          </cell>
          <cell r="E405" t="str">
            <v>Meenakshi Mission</v>
          </cell>
          <cell r="F405" t="str">
            <v>Lake Area, Melur Road, Madurai</v>
          </cell>
          <cell r="H405" t="str">
            <v>MEENMISS</v>
          </cell>
          <cell r="I405" t="str">
            <v>Bangalore</v>
          </cell>
        </row>
        <row r="406">
          <cell r="B406" t="str">
            <v>W10137</v>
          </cell>
          <cell r="C406" t="str">
            <v>R3</v>
          </cell>
          <cell r="D406" t="str">
            <v>R</v>
          </cell>
          <cell r="E406" t="str">
            <v>K Govinduswamy Naidu Medical Trust</v>
          </cell>
          <cell r="F406" t="str">
            <v>K Govinduswamy Naidu Medical Trust, Koimbatore</v>
          </cell>
          <cell r="H406" t="str">
            <v>KGGB</v>
          </cell>
          <cell r="I406" t="str">
            <v>Bangalore</v>
          </cell>
        </row>
        <row r="407">
          <cell r="B407" t="str">
            <v>W10138</v>
          </cell>
          <cell r="C407" t="str">
            <v>NA</v>
          </cell>
          <cell r="D407" t="str">
            <v>NA</v>
          </cell>
          <cell r="E407" t="str">
            <v>Manipal Academy of Higher -2</v>
          </cell>
          <cell r="F407" t="str">
            <v>University Buidling, Madhav Nagar, Manipal-576119</v>
          </cell>
          <cell r="H407" t="str">
            <v>MAHE</v>
          </cell>
          <cell r="I407" t="str">
            <v>Bangalore</v>
          </cell>
        </row>
        <row r="408">
          <cell r="B408" t="str">
            <v>W10139-R</v>
          </cell>
          <cell r="C408" t="str">
            <v>R1</v>
          </cell>
          <cell r="D408" t="str">
            <v>R</v>
          </cell>
          <cell r="E408" t="str">
            <v>Sriniwasa Cardiology Centre-1</v>
          </cell>
          <cell r="F408" t="str">
            <v>Millers Tank Road, Bangalore-560052</v>
          </cell>
          <cell r="I408" t="str">
            <v>Bangalore</v>
          </cell>
        </row>
        <row r="409">
          <cell r="B409" t="str">
            <v>W10140</v>
          </cell>
          <cell r="C409" t="str">
            <v>R1</v>
          </cell>
          <cell r="D409" t="str">
            <v>R</v>
          </cell>
          <cell r="E409" t="str">
            <v>Sriniwasa Cardiology Centre-2</v>
          </cell>
          <cell r="F409" t="str">
            <v>Millers Tank Road, Bangalore-560052</v>
          </cell>
          <cell r="I409" t="str">
            <v>Bangalore</v>
          </cell>
        </row>
        <row r="410">
          <cell r="B410" t="str">
            <v>W10141</v>
          </cell>
          <cell r="C410" t="str">
            <v>R1</v>
          </cell>
          <cell r="D410" t="str">
            <v>R</v>
          </cell>
          <cell r="E410" t="str">
            <v>Sriniwasa Cardiology Centre-3</v>
          </cell>
          <cell r="F410" t="str">
            <v>Millers Tank Road, Bangalore-560052</v>
          </cell>
          <cell r="I410" t="str">
            <v>Bangalore</v>
          </cell>
        </row>
        <row r="411">
          <cell r="B411" t="str">
            <v>W10142</v>
          </cell>
          <cell r="C411" t="str">
            <v>R1</v>
          </cell>
          <cell r="D411" t="str">
            <v>R</v>
          </cell>
          <cell r="E411" t="str">
            <v>Sriniwasa Cardiology Centre-4</v>
          </cell>
          <cell r="F411" t="str">
            <v>Millers Tank Road, Bangalore-560052</v>
          </cell>
          <cell r="H411" t="str">
            <v>SRINI</v>
          </cell>
          <cell r="I411" t="str">
            <v>Bangalore</v>
          </cell>
        </row>
        <row r="412">
          <cell r="B412" t="str">
            <v>W10143</v>
          </cell>
          <cell r="C412" t="str">
            <v>R1</v>
          </cell>
          <cell r="D412" t="str">
            <v>R</v>
          </cell>
          <cell r="E412" t="str">
            <v>Shubham Deo Health Care</v>
          </cell>
          <cell r="F412" t="str">
            <v>43, Betahata, Goraakhpur, UP</v>
          </cell>
          <cell r="H412" t="str">
            <v>TYAGI</v>
          </cell>
          <cell r="I412" t="str">
            <v>North</v>
          </cell>
        </row>
        <row r="413">
          <cell r="B413" t="str">
            <v>W10144</v>
          </cell>
          <cell r="C413" t="str">
            <v>R1</v>
          </cell>
          <cell r="D413" t="str">
            <v>R</v>
          </cell>
          <cell r="E413" t="str">
            <v>Sidhartha Health Care Ltd.-1</v>
          </cell>
          <cell r="F413" t="str">
            <v>3-6-287, Hyderguda, Hyderabad</v>
          </cell>
          <cell r="H413" t="str">
            <v>CDR</v>
          </cell>
          <cell r="I413" t="str">
            <v>South</v>
          </cell>
        </row>
        <row r="414">
          <cell r="B414" t="str">
            <v>W10145</v>
          </cell>
          <cell r="C414" t="str">
            <v>R3</v>
          </cell>
          <cell r="D414" t="str">
            <v>R</v>
          </cell>
          <cell r="E414" t="str">
            <v>Mohan Singh Bhati-1</v>
          </cell>
          <cell r="F414" t="str">
            <v>Satellite Hospital &amp; physiotherapy centre, off Satellite Ring Road, Opp. Punit Nagar, Ambavadi, Ahmedbad - 380 015</v>
          </cell>
          <cell r="H414" t="str">
            <v>BHATI</v>
          </cell>
          <cell r="I414" t="str">
            <v>West</v>
          </cell>
        </row>
        <row r="415">
          <cell r="B415" t="str">
            <v>W10146</v>
          </cell>
          <cell r="C415" t="str">
            <v>R3</v>
          </cell>
          <cell r="D415" t="str">
            <v>R</v>
          </cell>
          <cell r="E415" t="str">
            <v>Mohan Singh Bhati-2</v>
          </cell>
          <cell r="F415" t="str">
            <v>Satellite Hospital &amp; physiotherapy centre, off Satellite Ring Road, Opp. Punit Nagar, Ambavadi, Ahmedbad - 380 015</v>
          </cell>
          <cell r="H415" t="str">
            <v>BHATI</v>
          </cell>
          <cell r="I415" t="str">
            <v>West</v>
          </cell>
        </row>
        <row r="416">
          <cell r="B416" t="str">
            <v>W10147</v>
          </cell>
          <cell r="C416" t="str">
            <v>R1</v>
          </cell>
          <cell r="D416" t="str">
            <v>R</v>
          </cell>
          <cell r="E416" t="str">
            <v>Vijendra Kumar</v>
          </cell>
          <cell r="F416" t="str">
            <v>Kumar Sonography &amp; X-ray Clinic, Asif Ganj, Azamgarh, -276001, UP</v>
          </cell>
          <cell r="H416" t="str">
            <v>VKUMAR</v>
          </cell>
          <cell r="I416" t="str">
            <v>North</v>
          </cell>
        </row>
        <row r="417">
          <cell r="B417" t="str">
            <v>W10148</v>
          </cell>
          <cell r="C417" t="str">
            <v>R1</v>
          </cell>
          <cell r="D417" t="str">
            <v>R</v>
          </cell>
          <cell r="E417" t="str">
            <v>Healing Touch Hospital Pvt. Ltd.</v>
          </cell>
          <cell r="F417" t="str">
            <v>Madanpalle, Adjacent to St. Anne School, Secundrabad</v>
          </cell>
          <cell r="H417" t="str">
            <v>HEALTCH</v>
          </cell>
          <cell r="I417" t="str">
            <v>South</v>
          </cell>
        </row>
        <row r="418">
          <cell r="B418" t="str">
            <v>W10149</v>
          </cell>
          <cell r="C418" t="str">
            <v>R1</v>
          </cell>
          <cell r="D418" t="str">
            <v>R</v>
          </cell>
          <cell r="E418" t="str">
            <v>Inderjit Singh</v>
          </cell>
          <cell r="F418" t="str">
            <v>New Diagnostics, Chandigarh</v>
          </cell>
          <cell r="H418" t="str">
            <v>ISINGH</v>
          </cell>
          <cell r="I418" t="str">
            <v>North</v>
          </cell>
        </row>
        <row r="419">
          <cell r="B419" t="str">
            <v>W10150</v>
          </cell>
          <cell r="C419" t="str">
            <v>R1</v>
          </cell>
          <cell r="D419" t="str">
            <v>R</v>
          </cell>
          <cell r="E419" t="str">
            <v>Jitendra Kumar Palvia</v>
          </cell>
          <cell r="F419" t="str">
            <v>Jain Maternity &amp; Nursing Home, C/o Gaurav Studio, Sadar Bazaar, Pratapgarh, Rajasthan-312605</v>
          </cell>
          <cell r="H419" t="str">
            <v>JKPLVIA</v>
          </cell>
          <cell r="I419" t="str">
            <v>North</v>
          </cell>
        </row>
        <row r="420">
          <cell r="B420" t="str">
            <v>W10151</v>
          </cell>
          <cell r="C420" t="str">
            <v>NA</v>
          </cell>
          <cell r="D420" t="str">
            <v>NA</v>
          </cell>
          <cell r="E420" t="str">
            <v>The Cochin Coop Hospital</v>
          </cell>
          <cell r="F420" t="str">
            <v>F-288, Irnakulam, Cochin</v>
          </cell>
          <cell r="H420" t="str">
            <v>COCCOOP</v>
          </cell>
          <cell r="I420" t="str">
            <v>South</v>
          </cell>
        </row>
        <row r="421">
          <cell r="B421" t="str">
            <v>W10152</v>
          </cell>
          <cell r="C421" t="str">
            <v>R1</v>
          </cell>
          <cell r="D421" t="str">
            <v>R</v>
          </cell>
          <cell r="E421" t="str">
            <v>A C Tripathi</v>
          </cell>
          <cell r="F421" t="str">
            <v>Vicek nagar, Sultanpur</v>
          </cell>
          <cell r="H421" t="str">
            <v>ACTRIP</v>
          </cell>
          <cell r="I421" t="str">
            <v>North</v>
          </cell>
        </row>
        <row r="422">
          <cell r="B422" t="str">
            <v>W10153</v>
          </cell>
          <cell r="C422" t="str">
            <v>R1</v>
          </cell>
          <cell r="D422" t="str">
            <v>R</v>
          </cell>
          <cell r="E422" t="str">
            <v>Shivam Ultrasound</v>
          </cell>
          <cell r="F422" t="str">
            <v>Ramleela Ground Road, Sardhan, Distt. Meerut</v>
          </cell>
          <cell r="H422" t="str">
            <v>SHIVAM</v>
          </cell>
          <cell r="I422" t="str">
            <v>North</v>
          </cell>
        </row>
        <row r="423">
          <cell r="B423" t="str">
            <v>W10154</v>
          </cell>
          <cell r="C423" t="str">
            <v>R1</v>
          </cell>
          <cell r="D423" t="str">
            <v>R</v>
          </cell>
          <cell r="E423" t="str">
            <v>Parul Sharma</v>
          </cell>
          <cell r="F423" t="str">
            <v>Akash Ultrsound Clinic, Mohall Darush Madan, Opposite Nagar Palika, Amroha, UP</v>
          </cell>
          <cell r="H423" t="str">
            <v>PARUL</v>
          </cell>
          <cell r="I423" t="str">
            <v>North</v>
          </cell>
        </row>
        <row r="424">
          <cell r="B424" t="str">
            <v>W10155</v>
          </cell>
          <cell r="C424" t="str">
            <v>R1</v>
          </cell>
          <cell r="D424" t="str">
            <v>R</v>
          </cell>
          <cell r="E424" t="str">
            <v>Bimla Bhateja</v>
          </cell>
          <cell r="F424" t="str">
            <v>C/o Dr. D P Sethi, 3317, Rajpura Town, Punjab</v>
          </cell>
          <cell r="H424" t="str">
            <v>BIMLAB</v>
          </cell>
          <cell r="I424" t="str">
            <v>North</v>
          </cell>
        </row>
        <row r="425">
          <cell r="B425" t="str">
            <v>W10156</v>
          </cell>
          <cell r="C425" t="str">
            <v>R3</v>
          </cell>
          <cell r="D425" t="str">
            <v>R</v>
          </cell>
          <cell r="E425" t="str">
            <v>Mahagujrat</v>
          </cell>
          <cell r="F425" t="str">
            <v>College Road, Nandiad, Gujarat</v>
          </cell>
          <cell r="H425" t="str">
            <v>MAHAGUJ</v>
          </cell>
          <cell r="I425" t="str">
            <v>West</v>
          </cell>
        </row>
        <row r="426">
          <cell r="B426" t="str">
            <v>W10157</v>
          </cell>
          <cell r="C426" t="str">
            <v>R1</v>
          </cell>
          <cell r="D426" t="str">
            <v>R</v>
          </cell>
          <cell r="E426" t="str">
            <v>Bharat Scans Pvt. Ltd.-3</v>
          </cell>
          <cell r="F426" t="str">
            <v>210, Periyar Pathai, Chennai</v>
          </cell>
          <cell r="H426" t="str">
            <v>BHARAT</v>
          </cell>
          <cell r="I426" t="str">
            <v>South</v>
          </cell>
        </row>
        <row r="427">
          <cell r="B427" t="str">
            <v>W10158</v>
          </cell>
          <cell r="C427" t="str">
            <v>R1</v>
          </cell>
          <cell r="D427" t="str">
            <v>R</v>
          </cell>
          <cell r="E427" t="str">
            <v>Shatabadi Mediscans</v>
          </cell>
          <cell r="F427" t="str">
            <v>Doclous Lane, Koochbehar</v>
          </cell>
          <cell r="H427" t="str">
            <v>SATABDI</v>
          </cell>
          <cell r="I427" t="str">
            <v>East</v>
          </cell>
        </row>
        <row r="428">
          <cell r="B428" t="str">
            <v>W10159</v>
          </cell>
          <cell r="C428" t="str">
            <v>R1</v>
          </cell>
          <cell r="D428" t="str">
            <v>R</v>
          </cell>
          <cell r="E428" t="str">
            <v>Rabindra Prasad</v>
          </cell>
          <cell r="F428" t="str">
            <v>Naya Tola, Yadav Bhawan, Patna, Bihar-800004</v>
          </cell>
          <cell r="H428" t="str">
            <v>RPRASAD</v>
          </cell>
          <cell r="I428" t="str">
            <v>East</v>
          </cell>
        </row>
        <row r="429">
          <cell r="B429" t="str">
            <v>W10160</v>
          </cell>
          <cell r="C429" t="str">
            <v>R1</v>
          </cell>
          <cell r="D429" t="str">
            <v>R</v>
          </cell>
          <cell r="E429" t="str">
            <v>Bharat Scans Pvt. Ltd.-4</v>
          </cell>
          <cell r="F429" t="str">
            <v>8-10, Pariyar Pathai, Chennai</v>
          </cell>
          <cell r="H429" t="str">
            <v>BHARAT</v>
          </cell>
          <cell r="I429" t="str">
            <v>South</v>
          </cell>
        </row>
        <row r="430">
          <cell r="B430" t="str">
            <v>W10161</v>
          </cell>
          <cell r="C430" t="str">
            <v>R1</v>
          </cell>
          <cell r="D430" t="str">
            <v>R</v>
          </cell>
          <cell r="E430" t="str">
            <v>M K Selveyraj Children Hospital</v>
          </cell>
          <cell r="F430" t="str">
            <v>94 -  C, SPC Complex, Surampath, Erode</v>
          </cell>
          <cell r="H430" t="str">
            <v>MKSELVA</v>
          </cell>
          <cell r="I430" t="str">
            <v>South</v>
          </cell>
        </row>
        <row r="431">
          <cell r="B431" t="str">
            <v>W10162</v>
          </cell>
          <cell r="C431" t="str">
            <v>RI</v>
          </cell>
          <cell r="D431" t="str">
            <v>R</v>
          </cell>
          <cell r="E431" t="str">
            <v>Sant Nischal Singh</v>
          </cell>
          <cell r="F431" t="str">
            <v>Near post office, sukhmani bldg, Santpura, Yamuna Nagar-135001</v>
          </cell>
          <cell r="H431" t="str">
            <v>SANTNIS</v>
          </cell>
          <cell r="I431" t="str">
            <v>North</v>
          </cell>
        </row>
        <row r="432">
          <cell r="B432" t="str">
            <v>W10163</v>
          </cell>
          <cell r="C432" t="str">
            <v>R1</v>
          </cell>
          <cell r="D432" t="str">
            <v>R</v>
          </cell>
          <cell r="E432" t="str">
            <v>Sai Medical Imaging</v>
          </cell>
          <cell r="F432" t="str">
            <v>75-1-38, Prakash Nagar, BVR Complex, Rajamundri, Andhra Pradesh</v>
          </cell>
          <cell r="H432" t="str">
            <v>SAIMED</v>
          </cell>
          <cell r="I432" t="str">
            <v>South</v>
          </cell>
        </row>
        <row r="433">
          <cell r="B433" t="str">
            <v>W10164</v>
          </cell>
          <cell r="C433" t="str">
            <v>RI</v>
          </cell>
          <cell r="D433" t="str">
            <v>R</v>
          </cell>
          <cell r="E433" t="str">
            <v>K.S Shanmugam</v>
          </cell>
          <cell r="F433" t="str">
            <v>183, Woodwill Avenue Lane, Church Hill road, Uthagamandalam</v>
          </cell>
          <cell r="H433" t="str">
            <v>KSSHAN</v>
          </cell>
          <cell r="I433" t="str">
            <v>South</v>
          </cell>
        </row>
        <row r="434">
          <cell r="B434" t="str">
            <v>W10165</v>
          </cell>
          <cell r="C434" t="str">
            <v>R1</v>
          </cell>
          <cell r="D434" t="str">
            <v>R</v>
          </cell>
          <cell r="E434" t="str">
            <v>Sadhana Singh</v>
          </cell>
          <cell r="F434" t="str">
            <v>Acriti Diagnostics, Chandra Bhawan, North of Raj Cinema, Sumer Sagar Road, Gorakhpur</v>
          </cell>
          <cell r="H434" t="str">
            <v>SADHANA</v>
          </cell>
          <cell r="I434" t="str">
            <v>East</v>
          </cell>
        </row>
        <row r="435">
          <cell r="B435" t="str">
            <v>W10167</v>
          </cell>
          <cell r="C435" t="str">
            <v>R1</v>
          </cell>
          <cell r="D435" t="str">
            <v>R</v>
          </cell>
          <cell r="E435" t="str">
            <v>Raj Kumar</v>
          </cell>
          <cell r="F435" t="str">
            <v>Civil Hospital Road, Near Kamlapur Chowk, Near Bus Stand, Hoshiarpur-146001, Punjab</v>
          </cell>
          <cell r="H435" t="str">
            <v>RAJK</v>
          </cell>
          <cell r="I435" t="str">
            <v>North</v>
          </cell>
        </row>
        <row r="436">
          <cell r="B436" t="str">
            <v>W10166</v>
          </cell>
          <cell r="C436" t="str">
            <v>R1</v>
          </cell>
          <cell r="D436" t="str">
            <v>R</v>
          </cell>
          <cell r="E436" t="str">
            <v>Daljit Singh Saini</v>
          </cell>
          <cell r="F436" t="str">
            <v>Adarsh Nagar, Banga Distt., Navanshahr, Punjab</v>
          </cell>
          <cell r="H436" t="str">
            <v>DSSAINI</v>
          </cell>
          <cell r="I436" t="str">
            <v>North</v>
          </cell>
        </row>
        <row r="437">
          <cell r="B437" t="str">
            <v>W10168</v>
          </cell>
          <cell r="C437" t="str">
            <v>R1</v>
          </cell>
          <cell r="D437" t="str">
            <v>R</v>
          </cell>
          <cell r="E437" t="str">
            <v>MM Vasudevan</v>
          </cell>
          <cell r="F437" t="str">
            <v>Vasu's Clinic, Next to main PO,  N R Extn., Chintamani-563125</v>
          </cell>
          <cell r="H437" t="str">
            <v>MMVASU</v>
          </cell>
          <cell r="I437" t="str">
            <v>South</v>
          </cell>
        </row>
        <row r="438">
          <cell r="B438" t="str">
            <v>W10169</v>
          </cell>
          <cell r="C438" t="str">
            <v>R1</v>
          </cell>
          <cell r="D438" t="str">
            <v>R</v>
          </cell>
          <cell r="E438" t="str">
            <v>Vikram Scan &amp; Diagnostic Centre</v>
          </cell>
          <cell r="F438" t="str">
            <v>409, PERIYAKUTAI ROAD, THENI-620531</v>
          </cell>
          <cell r="H438" t="str">
            <v>VIKRAM</v>
          </cell>
          <cell r="I438" t="str">
            <v>South</v>
          </cell>
        </row>
        <row r="439">
          <cell r="B439" t="str">
            <v>W10170</v>
          </cell>
          <cell r="C439" t="str">
            <v>R1</v>
          </cell>
          <cell r="D439" t="str">
            <v>R</v>
          </cell>
          <cell r="E439" t="str">
            <v>H S Maan</v>
          </cell>
          <cell r="F439" t="str">
            <v>DR HS Mann, 7A, Gujral Nagar, Jalandhar, Punjab</v>
          </cell>
          <cell r="H439" t="str">
            <v>HSMAAN</v>
          </cell>
          <cell r="I439" t="str">
            <v>North</v>
          </cell>
        </row>
        <row r="440">
          <cell r="B440" t="str">
            <v>W10171</v>
          </cell>
          <cell r="C440" t="str">
            <v>R1</v>
          </cell>
          <cell r="D440" t="str">
            <v>R</v>
          </cell>
          <cell r="E440" t="str">
            <v>Health Care Services (P) Ltd.</v>
          </cell>
          <cell r="F440" t="str">
            <v>Care Diagnostics, Dhanbad</v>
          </cell>
          <cell r="H440" t="str">
            <v>HCARE</v>
          </cell>
          <cell r="I440" t="str">
            <v>East</v>
          </cell>
        </row>
        <row r="441">
          <cell r="B441" t="str">
            <v>W10172</v>
          </cell>
          <cell r="C441" t="str">
            <v>R1</v>
          </cell>
          <cell r="D441" t="str">
            <v>R</v>
          </cell>
          <cell r="E441" t="str">
            <v>Garima Nagori</v>
          </cell>
          <cell r="F441" t="str">
            <v>Samta Marg Badi, Badri, Distt. Chittorgarh, Rajasthan</v>
          </cell>
          <cell r="H441" t="str">
            <v>GARIMA</v>
          </cell>
          <cell r="I441" t="str">
            <v>North</v>
          </cell>
        </row>
        <row r="442">
          <cell r="B442" t="str">
            <v>W10173</v>
          </cell>
          <cell r="C442" t="str">
            <v>R1</v>
          </cell>
          <cell r="D442" t="str">
            <v>R</v>
          </cell>
          <cell r="E442" t="str">
            <v>Raminder Kaur</v>
          </cell>
          <cell r="F442" t="str">
            <v>C/O Dhillon Scanning Centre, 4Krishna Nagar, Lawrence Road, Amritsar, Punjab</v>
          </cell>
          <cell r="H442" t="str">
            <v>RKAUR</v>
          </cell>
          <cell r="I442" t="str">
            <v>North</v>
          </cell>
        </row>
        <row r="443">
          <cell r="B443" t="str">
            <v>W10174</v>
          </cell>
          <cell r="C443" t="str">
            <v>R1</v>
          </cell>
          <cell r="D443" t="str">
            <v>R</v>
          </cell>
          <cell r="E443" t="str">
            <v>Kota CT Scan Centre Pvt Ltd</v>
          </cell>
          <cell r="F443" t="str">
            <v>Rgd. Office : Gopal Badi, Jaipur</v>
          </cell>
          <cell r="H443" t="str">
            <v>KOTA</v>
          </cell>
          <cell r="I443" t="str">
            <v>North</v>
          </cell>
        </row>
        <row r="444">
          <cell r="B444" t="str">
            <v>W10175</v>
          </cell>
          <cell r="C444" t="str">
            <v>R1</v>
          </cell>
          <cell r="D444" t="str">
            <v>R</v>
          </cell>
          <cell r="E444" t="str">
            <v>Supereme CT Scan Pct Ltd</v>
          </cell>
          <cell r="F444" t="str">
            <v>Dr Pothilingam Eye Clinic, Near Delvam Theatre, Palayamkottai, Thirunelveli</v>
          </cell>
          <cell r="I444" t="str">
            <v>South</v>
          </cell>
        </row>
        <row r="445">
          <cell r="B445" t="str">
            <v>W10176</v>
          </cell>
          <cell r="C445" t="str">
            <v>R1</v>
          </cell>
          <cell r="D445" t="str">
            <v>R</v>
          </cell>
          <cell r="E445" t="str">
            <v>Body Care Diagnostics</v>
          </cell>
          <cell r="F445" t="str">
            <v>46A, Rafi Ahamed Kidwai Road, Calcutta-West Bengal</v>
          </cell>
          <cell r="H445" t="str">
            <v>BODYCARE</v>
          </cell>
          <cell r="I445" t="str">
            <v>East</v>
          </cell>
        </row>
        <row r="446">
          <cell r="B446" t="str">
            <v>W10177</v>
          </cell>
          <cell r="C446" t="str">
            <v>R1</v>
          </cell>
          <cell r="D446" t="str">
            <v>R</v>
          </cell>
          <cell r="E446" t="str">
            <v>R N Bagga</v>
          </cell>
          <cell r="F446" t="str">
            <v>C-143, Noida, Uttar Pradesh</v>
          </cell>
          <cell r="H446" t="str">
            <v>BAGGA</v>
          </cell>
          <cell r="I446" t="str">
            <v>North</v>
          </cell>
        </row>
        <row r="447">
          <cell r="B447" t="str">
            <v>W10178</v>
          </cell>
          <cell r="C447" t="str">
            <v>R1</v>
          </cell>
          <cell r="D447" t="str">
            <v>R</v>
          </cell>
          <cell r="E447" t="str">
            <v>Pankaj Diagnostics</v>
          </cell>
          <cell r="F447" t="str">
            <v>A-13, SHOPPING ARCADE, SADAR BAZAR, AGRA-282001</v>
          </cell>
          <cell r="H447" t="str">
            <v>PANKAJ</v>
          </cell>
          <cell r="I447" t="str">
            <v>North</v>
          </cell>
        </row>
        <row r="448">
          <cell r="B448" t="str">
            <v>WGE-LOAN-1</v>
          </cell>
          <cell r="D448" t="str">
            <v>NA</v>
          </cell>
          <cell r="E448" t="str">
            <v>Wipro GE Medical Systems Ltd-1</v>
          </cell>
          <cell r="I448" t="str">
            <v>South</v>
          </cell>
        </row>
        <row r="449">
          <cell r="B449" t="str">
            <v>W10179</v>
          </cell>
          <cell r="C449" t="str">
            <v>R1</v>
          </cell>
          <cell r="D449" t="str">
            <v>R</v>
          </cell>
          <cell r="E449" t="str">
            <v>Prakash Patil</v>
          </cell>
          <cell r="F449" t="str">
            <v>Shivaji Road, Opp S T Road, Panvel, Maharashtra</v>
          </cell>
          <cell r="H449" t="str">
            <v>PPATIL</v>
          </cell>
          <cell r="I449" t="str">
            <v>West</v>
          </cell>
        </row>
        <row r="450">
          <cell r="B450" t="str">
            <v>W10180</v>
          </cell>
          <cell r="C450" t="str">
            <v>R1</v>
          </cell>
          <cell r="D450" t="str">
            <v>R</v>
          </cell>
          <cell r="E450" t="str">
            <v>Cancer Centre Welfare Home &amp; Research Centre</v>
          </cell>
          <cell r="F450" t="str">
            <v>Mahatama Gandhi Road, Thakurpur, Calcutta</v>
          </cell>
          <cell r="H450" t="str">
            <v>CANCER</v>
          </cell>
          <cell r="I450" t="str">
            <v>East</v>
          </cell>
        </row>
        <row r="451">
          <cell r="B451" t="str">
            <v>W10181</v>
          </cell>
          <cell r="C451" t="str">
            <v>R1</v>
          </cell>
          <cell r="D451" t="str">
            <v>R</v>
          </cell>
          <cell r="E451" t="str">
            <v>Mercury Neuro</v>
          </cell>
          <cell r="F451" t="str">
            <v>SCO 122-123, Sector 8-C, Chandigarh-160008</v>
          </cell>
          <cell r="H451" t="str">
            <v>MERCURY</v>
          </cell>
          <cell r="I451" t="str">
            <v>North</v>
          </cell>
        </row>
        <row r="452">
          <cell r="B452" t="str">
            <v>W10181-R</v>
          </cell>
          <cell r="C452" t="str">
            <v>R1</v>
          </cell>
          <cell r="D452" t="str">
            <v>R</v>
          </cell>
          <cell r="E452" t="str">
            <v>Mercury Neuro-R</v>
          </cell>
          <cell r="F452" t="str">
            <v>SCO 122-123, Sector 8-C, Chandigarh-160008</v>
          </cell>
          <cell r="H452" t="str">
            <v>MERCURY</v>
          </cell>
          <cell r="I452" t="str">
            <v>North</v>
          </cell>
        </row>
        <row r="453">
          <cell r="B453" t="str">
            <v>W10182</v>
          </cell>
          <cell r="C453" t="str">
            <v>R1</v>
          </cell>
          <cell r="D453" t="str">
            <v>R</v>
          </cell>
          <cell r="E453" t="str">
            <v>Meenakshi Mission Hospital, S R Trust</v>
          </cell>
          <cell r="F453" t="str">
            <v>Lake Area, Melur Road, Madurai</v>
          </cell>
          <cell r="H453" t="str">
            <v>MEENMISS</v>
          </cell>
          <cell r="I453" t="str">
            <v>South</v>
          </cell>
        </row>
        <row r="454">
          <cell r="B454" t="str">
            <v>W10183</v>
          </cell>
          <cell r="C454" t="str">
            <v>R1</v>
          </cell>
          <cell r="D454" t="str">
            <v>R</v>
          </cell>
          <cell r="E454" t="str">
            <v>Graham Danial</v>
          </cell>
          <cell r="F454" t="str">
            <v>G D Hospital, Mayiladuthurai-609001, Tamil Nadu</v>
          </cell>
          <cell r="H454" t="str">
            <v>GRAHAMD</v>
          </cell>
          <cell r="I454" t="str">
            <v>South</v>
          </cell>
        </row>
        <row r="455">
          <cell r="B455" t="str">
            <v>W10184</v>
          </cell>
          <cell r="C455" t="str">
            <v>R1</v>
          </cell>
          <cell r="D455" t="str">
            <v>R</v>
          </cell>
          <cell r="E455" t="str">
            <v>Seema Kamaluddin</v>
          </cell>
          <cell r="F455" t="str">
            <v>Esskay Diagnostics, 5-6-253/1A, Near Aghupura, Charkhandil, Hyderabad</v>
          </cell>
          <cell r="H455" t="str">
            <v>SEEMAK</v>
          </cell>
          <cell r="I455" t="str">
            <v>South</v>
          </cell>
        </row>
        <row r="456">
          <cell r="B456" t="str">
            <v>W10185</v>
          </cell>
          <cell r="C456" t="str">
            <v>R1</v>
          </cell>
          <cell r="D456" t="str">
            <v>R</v>
          </cell>
          <cell r="E456" t="str">
            <v>A K Sinha</v>
          </cell>
          <cell r="F456" t="str">
            <v>Government Hospital, P G Road, Jehanabad, Bihar</v>
          </cell>
          <cell r="H456" t="str">
            <v>AKSINHA</v>
          </cell>
          <cell r="I456" t="str">
            <v>East</v>
          </cell>
        </row>
        <row r="457">
          <cell r="B457" t="str">
            <v>W10186</v>
          </cell>
          <cell r="C457" t="str">
            <v>R1</v>
          </cell>
          <cell r="D457" t="str">
            <v>R</v>
          </cell>
          <cell r="E457" t="str">
            <v>Sethu Madhvan</v>
          </cell>
          <cell r="F457" t="str">
            <v>89, 23rd Cross, New No. 51, Venkata Nagar, Pondicherry</v>
          </cell>
          <cell r="H457" t="str">
            <v>SETHU</v>
          </cell>
          <cell r="I457" t="str">
            <v>South</v>
          </cell>
        </row>
        <row r="458">
          <cell r="B458" t="str">
            <v>W10187</v>
          </cell>
          <cell r="C458" t="str">
            <v>R1</v>
          </cell>
          <cell r="D458" t="str">
            <v>R</v>
          </cell>
          <cell r="E458" t="str">
            <v>Bhaskar Rao</v>
          </cell>
          <cell r="F458" t="str">
            <v>14/D, Happy Vally, Banjara Hills, Hyderabad</v>
          </cell>
          <cell r="H458" t="str">
            <v>BHASKAR</v>
          </cell>
          <cell r="I458" t="str">
            <v>South</v>
          </cell>
        </row>
        <row r="459">
          <cell r="B459" t="str">
            <v>W10188</v>
          </cell>
          <cell r="C459" t="str">
            <v>R1</v>
          </cell>
          <cell r="D459" t="str">
            <v>R</v>
          </cell>
          <cell r="E459" t="str">
            <v>Raj Scans</v>
          </cell>
          <cell r="F459" t="str">
            <v>8/420, Jimmy Cottage, Spencer Compound, Dindigul-624001</v>
          </cell>
          <cell r="H459" t="str">
            <v>RAJSCAN</v>
          </cell>
          <cell r="I459" t="str">
            <v>South</v>
          </cell>
        </row>
        <row r="460">
          <cell r="B460" t="str">
            <v>W10189</v>
          </cell>
          <cell r="C460" t="str">
            <v>R1</v>
          </cell>
          <cell r="D460" t="str">
            <v>R</v>
          </cell>
          <cell r="E460" t="str">
            <v>Thillai Rajan</v>
          </cell>
          <cell r="F460" t="str">
            <v>5, Narayanan Street Extension, Salem-636007</v>
          </cell>
          <cell r="H460" t="str">
            <v>TRAJAN</v>
          </cell>
          <cell r="I460" t="str">
            <v>South</v>
          </cell>
        </row>
        <row r="461">
          <cell r="B461" t="str">
            <v>W10190</v>
          </cell>
          <cell r="C461" t="str">
            <v>R1</v>
          </cell>
          <cell r="D461" t="str">
            <v>R</v>
          </cell>
          <cell r="E461" t="str">
            <v>K N B Unni</v>
          </cell>
          <cell r="F461" t="str">
            <v>19/163, Harisree, Parhtasarthy Temple, Guruvayur , Trichur-680101.</v>
          </cell>
          <cell r="H461" t="str">
            <v>KNBUNNI</v>
          </cell>
          <cell r="I461" t="str">
            <v>South</v>
          </cell>
        </row>
        <row r="462">
          <cell r="B462" t="str">
            <v>W10191</v>
          </cell>
          <cell r="C462" t="str">
            <v>R1</v>
          </cell>
          <cell r="D462" t="str">
            <v>R</v>
          </cell>
          <cell r="E462" t="str">
            <v>Madanapalle Hospital Pvt. Ltd.-2</v>
          </cell>
          <cell r="F462" t="str">
            <v>15/3/5, Reddappa Naidu Colony, CTM Road, Madanapalle-517325</v>
          </cell>
          <cell r="H462" t="str">
            <v>MADAN</v>
          </cell>
          <cell r="I462" t="str">
            <v>South</v>
          </cell>
        </row>
        <row r="463">
          <cell r="B463" t="str">
            <v>WGE-LOAN-2</v>
          </cell>
          <cell r="D463" t="str">
            <v>NA</v>
          </cell>
          <cell r="E463" t="str">
            <v>Wipro GE Medical Systems Ltd-2</v>
          </cell>
          <cell r="I463" t="str">
            <v>South</v>
          </cell>
        </row>
        <row r="464">
          <cell r="B464" t="str">
            <v>W10192</v>
          </cell>
          <cell r="C464" t="str">
            <v>R1</v>
          </cell>
          <cell r="D464" t="str">
            <v>R</v>
          </cell>
          <cell r="E464" t="str">
            <v>Maan Diagnostic &amp; Research Sentre Pvt Ltd.</v>
          </cell>
          <cell r="F464" t="str">
            <v>7A, Gujral Nagar, Jallandhar, Punjab</v>
          </cell>
          <cell r="H464" t="str">
            <v>HSMAAN</v>
          </cell>
          <cell r="I464" t="str">
            <v>North</v>
          </cell>
        </row>
        <row r="465">
          <cell r="B465" t="str">
            <v>W10193</v>
          </cell>
          <cell r="C465" t="str">
            <v>R1</v>
          </cell>
          <cell r="D465" t="str">
            <v>R</v>
          </cell>
          <cell r="E465" t="str">
            <v>Roop Narayan Meena</v>
          </cell>
          <cell r="F465" t="str">
            <v>25/13, Kaveri Path, Mansarovar, Jaipur</v>
          </cell>
          <cell r="H465" t="str">
            <v>RNMEENA</v>
          </cell>
          <cell r="I465" t="str">
            <v>North</v>
          </cell>
        </row>
        <row r="466">
          <cell r="B466" t="str">
            <v>W10194</v>
          </cell>
          <cell r="C466" t="str">
            <v>R1</v>
          </cell>
          <cell r="D466" t="str">
            <v>R</v>
          </cell>
          <cell r="E466" t="str">
            <v>Umesh Jindal</v>
          </cell>
          <cell r="F466" t="str">
            <v>SCO-52-54, Sector-17C, Chandigarh</v>
          </cell>
          <cell r="H466" t="str">
            <v>UJINDAL</v>
          </cell>
          <cell r="I466" t="str">
            <v>North</v>
          </cell>
        </row>
        <row r="467">
          <cell r="B467" t="str">
            <v>W10195</v>
          </cell>
          <cell r="C467" t="str">
            <v>R1</v>
          </cell>
          <cell r="D467" t="str">
            <v>R</v>
          </cell>
          <cell r="E467" t="str">
            <v>Medicare Diagnostic-1</v>
          </cell>
          <cell r="F467" t="str">
            <v>17-B, R B Ghosh Road, Distt. Burdwan, West Bengal</v>
          </cell>
          <cell r="H467" t="str">
            <v>MEDICARE</v>
          </cell>
          <cell r="I467" t="str">
            <v>East</v>
          </cell>
        </row>
        <row r="468">
          <cell r="B468" t="str">
            <v>W10196</v>
          </cell>
          <cell r="C468" t="str">
            <v>R1</v>
          </cell>
          <cell r="D468" t="str">
            <v>R</v>
          </cell>
          <cell r="E468" t="str">
            <v>Medicare Diagnostic-2</v>
          </cell>
          <cell r="F468" t="str">
            <v>17-B, R B Ghosh Road, Distt. Burdwan, West Bengal</v>
          </cell>
          <cell r="H468" t="str">
            <v>MEDICARE</v>
          </cell>
          <cell r="I468" t="str">
            <v>East</v>
          </cell>
        </row>
        <row r="469">
          <cell r="B469" t="str">
            <v>W10197</v>
          </cell>
          <cell r="C469" t="str">
            <v>R1</v>
          </cell>
          <cell r="D469" t="str">
            <v>R</v>
          </cell>
          <cell r="E469" t="str">
            <v xml:space="preserve">R K Mitra </v>
          </cell>
          <cell r="F469" t="str">
            <v>Kasturi Nursing Home, Thakurpur, 3A, BusStand, Distt. 24 Pargana, West Bengal</v>
          </cell>
          <cell r="H469" t="str">
            <v>RKMIT</v>
          </cell>
          <cell r="I469" t="str">
            <v>East</v>
          </cell>
        </row>
        <row r="470">
          <cell r="B470" t="str">
            <v>W10198</v>
          </cell>
          <cell r="C470" t="str">
            <v>R1</v>
          </cell>
          <cell r="D470" t="str">
            <v>R</v>
          </cell>
          <cell r="E470" t="str">
            <v>Anjhaneyaa Hospitals Pvt Ltd</v>
          </cell>
          <cell r="F470" t="str">
            <v>24, SSR, Pankajan Salai, Saligram, Chennai</v>
          </cell>
          <cell r="H470" t="str">
            <v>ANJHANEYA</v>
          </cell>
          <cell r="I470" t="str">
            <v>South</v>
          </cell>
        </row>
        <row r="471">
          <cell r="B471" t="str">
            <v>W10199</v>
          </cell>
          <cell r="C471" t="str">
            <v>R3</v>
          </cell>
          <cell r="D471" t="str">
            <v>R</v>
          </cell>
          <cell r="E471" t="str">
            <v>H S Hiremath</v>
          </cell>
          <cell r="F471" t="str">
            <v>Padmahan, 1126/B, Modal Colony, Shivaji Nagar, Pune-411016</v>
          </cell>
          <cell r="H471" t="str">
            <v>HSHRMTH</v>
          </cell>
          <cell r="I471" t="str">
            <v>West</v>
          </cell>
        </row>
        <row r="472">
          <cell r="B472" t="str">
            <v>W10200</v>
          </cell>
          <cell r="C472" t="str">
            <v>R1</v>
          </cell>
          <cell r="D472" t="str">
            <v>R</v>
          </cell>
          <cell r="E472" t="str">
            <v>Malti Char</v>
          </cell>
          <cell r="F472" t="str">
            <v>Brindavan Hospital &amp; Research Centre, Ranchi Road, Marar, Ditt. Hazari bagh</v>
          </cell>
          <cell r="H472" t="str">
            <v>MALTIC</v>
          </cell>
          <cell r="I472" t="str">
            <v>East</v>
          </cell>
        </row>
        <row r="473">
          <cell r="B473" t="str">
            <v>W10201</v>
          </cell>
          <cell r="C473" t="str">
            <v>R1</v>
          </cell>
          <cell r="D473" t="str">
            <v>R</v>
          </cell>
          <cell r="E473" t="str">
            <v>Ashok Gowda</v>
          </cell>
          <cell r="F473" t="str">
            <v xml:space="preserve">Mangala Hospital, Sampige, K R Puram, Hassan, </v>
          </cell>
          <cell r="H473" t="str">
            <v>AGOWDA</v>
          </cell>
          <cell r="I473" t="str">
            <v>South</v>
          </cell>
        </row>
        <row r="474">
          <cell r="B474" t="str">
            <v>W10202</v>
          </cell>
          <cell r="C474" t="str">
            <v>R1</v>
          </cell>
          <cell r="D474" t="str">
            <v>R</v>
          </cell>
          <cell r="E474" t="str">
            <v>Siddhartha Health Care Ltd.-Lease-1</v>
          </cell>
          <cell r="F474" t="str">
            <v>3-6-287, Hyderguda, Hyderabad</v>
          </cell>
          <cell r="I474" t="str">
            <v>South</v>
          </cell>
        </row>
        <row r="475">
          <cell r="B475" t="str">
            <v>W10203</v>
          </cell>
          <cell r="C475" t="str">
            <v>R1</v>
          </cell>
          <cell r="D475" t="str">
            <v>R</v>
          </cell>
          <cell r="E475" t="str">
            <v>Siddhartha Health Care Ltd-Lease-2</v>
          </cell>
          <cell r="F475" t="str">
            <v>3-6-287, Hyderguda, Hyderabad</v>
          </cell>
          <cell r="I475" t="str">
            <v>South</v>
          </cell>
        </row>
        <row r="476">
          <cell r="B476" t="str">
            <v>W10204</v>
          </cell>
          <cell r="C476" t="str">
            <v>R1</v>
          </cell>
          <cell r="D476" t="str">
            <v>R</v>
          </cell>
          <cell r="E476" t="str">
            <v>Quality Care India Ltd</v>
          </cell>
          <cell r="F476" t="str">
            <v>Exihibition Ground, Namapally, Hyderabad-500001</v>
          </cell>
          <cell r="H476" t="str">
            <v>CARE</v>
          </cell>
          <cell r="I476" t="str">
            <v>South</v>
          </cell>
        </row>
        <row r="477">
          <cell r="B477" t="str">
            <v>W10205</v>
          </cell>
          <cell r="C477" t="str">
            <v>R1</v>
          </cell>
          <cell r="D477" t="str">
            <v>R</v>
          </cell>
          <cell r="E477" t="str">
            <v>Trivandrum Scans &amp; Diagnostic Centre</v>
          </cell>
          <cell r="F477" t="str">
            <v>Opposite Bebazir Hospital, Beach Road, Kollam</v>
          </cell>
          <cell r="H477" t="str">
            <v>TRIVSCAN</v>
          </cell>
          <cell r="I477" t="str">
            <v>South</v>
          </cell>
        </row>
        <row r="478">
          <cell r="B478" t="str">
            <v>W10206</v>
          </cell>
          <cell r="C478" t="str">
            <v>R1</v>
          </cell>
          <cell r="D478" t="str">
            <v>R</v>
          </cell>
          <cell r="E478" t="str">
            <v>Sree Janpriya Hospitals (P) ltd.</v>
          </cell>
          <cell r="F478" t="str">
            <v>46-87, Budhwar Pet, Kurnool-02 ( AP )</v>
          </cell>
          <cell r="H478" t="str">
            <v>JANAPRIYA</v>
          </cell>
          <cell r="I478" t="str">
            <v>South</v>
          </cell>
        </row>
        <row r="479">
          <cell r="B479" t="str">
            <v>W10207</v>
          </cell>
          <cell r="C479" t="str">
            <v>R1</v>
          </cell>
          <cell r="D479" t="str">
            <v>R</v>
          </cell>
          <cell r="E479" t="str">
            <v>Krishna CT Scan centre</v>
          </cell>
          <cell r="F479" t="str">
            <v>kashi Nagar, Kheri Road, Distt. Lakhimpur</v>
          </cell>
          <cell r="H479" t="str">
            <v>KRISHNA</v>
          </cell>
          <cell r="I479" t="str">
            <v>North</v>
          </cell>
        </row>
        <row r="480">
          <cell r="B480" t="str">
            <v>W10208</v>
          </cell>
          <cell r="C480" t="str">
            <v>R1</v>
          </cell>
          <cell r="D480" t="str">
            <v>R</v>
          </cell>
          <cell r="E480" t="str">
            <v>Apporva Radocs Diagnostic Services</v>
          </cell>
          <cell r="F480" t="str">
            <v>325, CMH  Road, Indira Nagar, Bangalore</v>
          </cell>
          <cell r="I480" t="str">
            <v>South</v>
          </cell>
        </row>
        <row r="481">
          <cell r="B481" t="str">
            <v>W10209</v>
          </cell>
          <cell r="C481" t="str">
            <v>R1</v>
          </cell>
          <cell r="D481" t="str">
            <v>R</v>
          </cell>
          <cell r="E481" t="str">
            <v>A K Verma</v>
          </cell>
          <cell r="F481" t="str">
            <v>Opposite Stadium, Sikandarpur, Mujaffarpur, Bihar</v>
          </cell>
          <cell r="I481" t="str">
            <v>North</v>
          </cell>
        </row>
        <row r="482">
          <cell r="B482" t="str">
            <v>W10210</v>
          </cell>
          <cell r="C482" t="str">
            <v>R1</v>
          </cell>
          <cell r="D482" t="str">
            <v>R</v>
          </cell>
          <cell r="E482" t="str">
            <v>Kalpana Gupta</v>
          </cell>
          <cell r="F482" t="str">
            <v>MP Heart Centre, W/33, Greater Kailash, New Delhi-48</v>
          </cell>
          <cell r="I482" t="str">
            <v>North</v>
          </cell>
        </row>
        <row r="483">
          <cell r="B483" t="str">
            <v>W10211</v>
          </cell>
          <cell r="C483" t="str">
            <v>R1</v>
          </cell>
          <cell r="D483" t="str">
            <v>R</v>
          </cell>
          <cell r="E483" t="str">
            <v>Suman Lata Jaiswal</v>
          </cell>
          <cell r="F483" t="str">
            <v>B-14, Bhubneshwar Nagar Colony, Ordebly Bazar, Varanasi</v>
          </cell>
          <cell r="I483" t="str">
            <v>North</v>
          </cell>
        </row>
        <row r="484">
          <cell r="B484" t="str">
            <v>W10212</v>
          </cell>
          <cell r="C484" t="str">
            <v>R1</v>
          </cell>
          <cell r="D484" t="str">
            <v>R</v>
          </cell>
          <cell r="E484" t="str">
            <v>Pramod Bharadwaj</v>
          </cell>
          <cell r="F484" t="str">
            <v>4/19, Jaidev Park, Rohtak Road, Delhi</v>
          </cell>
          <cell r="I484" t="str">
            <v>North</v>
          </cell>
        </row>
        <row r="485">
          <cell r="B485" t="str">
            <v>W10213</v>
          </cell>
          <cell r="C485" t="str">
            <v>R1</v>
          </cell>
          <cell r="D485" t="str">
            <v>R</v>
          </cell>
          <cell r="E485" t="str">
            <v>Rajnesh Choubey</v>
          </cell>
          <cell r="F485" t="str">
            <v>Saket Ashram Road, Sumerpur, Distt. Pali</v>
          </cell>
          <cell r="I485" t="str">
            <v>North</v>
          </cell>
        </row>
        <row r="486">
          <cell r="B486" t="str">
            <v>W10214</v>
          </cell>
          <cell r="C486" t="str">
            <v>R1</v>
          </cell>
          <cell r="D486" t="str">
            <v>R</v>
          </cell>
          <cell r="E486" t="str">
            <v>A K Jaiswal</v>
          </cell>
          <cell r="F486" t="str">
            <v>Road No.1, Jeewan Chapra, Mujaffarpur, Bihar</v>
          </cell>
          <cell r="I486" t="str">
            <v>North</v>
          </cell>
        </row>
        <row r="487">
          <cell r="B487" t="str">
            <v>W10215</v>
          </cell>
          <cell r="C487" t="str">
            <v>R1</v>
          </cell>
          <cell r="D487" t="str">
            <v>R</v>
          </cell>
          <cell r="E487" t="str">
            <v>Darbhanga Diagnostic</v>
          </cell>
          <cell r="F487" t="str">
            <v>4, G M Road, Darbhanga, Near Drabhanga Radio Station</v>
          </cell>
          <cell r="I487" t="str">
            <v>East</v>
          </cell>
        </row>
        <row r="488">
          <cell r="B488" t="str">
            <v>W10216</v>
          </cell>
          <cell r="C488" t="str">
            <v>R1</v>
          </cell>
          <cell r="D488" t="str">
            <v>R</v>
          </cell>
          <cell r="E488" t="str">
            <v>Harikrishnan D I</v>
          </cell>
          <cell r="F488" t="str">
            <v>46, AVM Avenue, Virugambakkam, Chennai-600092</v>
          </cell>
          <cell r="I488" t="str">
            <v>South</v>
          </cell>
        </row>
        <row r="489">
          <cell r="B489" t="str">
            <v>W10217</v>
          </cell>
          <cell r="C489" t="str">
            <v>R1</v>
          </cell>
          <cell r="D489" t="str">
            <v>R</v>
          </cell>
          <cell r="E489" t="str">
            <v>Quality Care India ltd.</v>
          </cell>
          <cell r="F489" t="str">
            <v>5-4-199, J N Road, Opposite Exhibition Ground, Namapally, Hyderabad</v>
          </cell>
          <cell r="H489" t="str">
            <v>R V Raju</v>
          </cell>
          <cell r="I489" t="str">
            <v>South</v>
          </cell>
        </row>
        <row r="490">
          <cell r="B490" t="str">
            <v>WGE-LOAN-3</v>
          </cell>
          <cell r="C490" t="str">
            <v>NA</v>
          </cell>
          <cell r="D490" t="str">
            <v>NA</v>
          </cell>
          <cell r="E490" t="str">
            <v>Wipro GE Medical Systems Ltd-3</v>
          </cell>
          <cell r="I490" t="str">
            <v>South</v>
          </cell>
        </row>
        <row r="491">
          <cell r="B491" t="str">
            <v>W10218</v>
          </cell>
          <cell r="C491" t="str">
            <v>R3</v>
          </cell>
          <cell r="D491" t="str">
            <v>R</v>
          </cell>
          <cell r="E491" t="str">
            <v>Bhatia General Hospital</v>
          </cell>
          <cell r="F491" t="str">
            <v>Tardeo Road, Mumbai</v>
          </cell>
          <cell r="I491" t="str">
            <v>West</v>
          </cell>
        </row>
        <row r="492">
          <cell r="B492" t="str">
            <v>W10219</v>
          </cell>
          <cell r="C492" t="str">
            <v>R1</v>
          </cell>
          <cell r="D492" t="str">
            <v>R</v>
          </cell>
          <cell r="E492" t="str">
            <v>A Sreeniwasan</v>
          </cell>
          <cell r="F492" t="str">
            <v>49, Rathna Sabhapathy Road, Old Washerman, Chennai-600021</v>
          </cell>
          <cell r="I492" t="str">
            <v>South</v>
          </cell>
        </row>
        <row r="493">
          <cell r="B493" t="str">
            <v>W10220</v>
          </cell>
          <cell r="C493" t="str">
            <v>R1</v>
          </cell>
          <cell r="D493" t="str">
            <v>R</v>
          </cell>
          <cell r="E493" t="str">
            <v>Arvind Kumar</v>
          </cell>
          <cell r="F493" t="str">
            <v>29, Anna Road, Swarn Puri, Salem-436004</v>
          </cell>
          <cell r="I493" t="str">
            <v>South</v>
          </cell>
        </row>
        <row r="494">
          <cell r="B494" t="str">
            <v>W10221</v>
          </cell>
          <cell r="C494" t="str">
            <v>R1</v>
          </cell>
          <cell r="D494" t="str">
            <v>R</v>
          </cell>
          <cell r="E494" t="str">
            <v>Uday Kumar</v>
          </cell>
          <cell r="F494" t="str">
            <v>Genesis Scans Clolor Doppler, D-3/10, Avenue Road, Nungambakkam, Chennai-34</v>
          </cell>
          <cell r="I494" t="str">
            <v>South</v>
          </cell>
        </row>
        <row r="495">
          <cell r="B495" t="str">
            <v>W10222</v>
          </cell>
          <cell r="C495" t="str">
            <v>R1</v>
          </cell>
          <cell r="D495" t="str">
            <v>R</v>
          </cell>
          <cell r="E495" t="str">
            <v>Sivakami Gopinath</v>
          </cell>
          <cell r="F495" t="str">
            <v>Plot No. H 512, 8th Street, 15th Main Road, Anna Nagar, Chennai-600040</v>
          </cell>
          <cell r="I495" t="str">
            <v>South</v>
          </cell>
        </row>
        <row r="496">
          <cell r="B496" t="str">
            <v>W10223</v>
          </cell>
          <cell r="C496" t="str">
            <v>R1</v>
          </cell>
          <cell r="D496" t="str">
            <v>R</v>
          </cell>
          <cell r="E496" t="str">
            <v>BI Jaffrey-1</v>
          </cell>
          <cell r="F496" t="str">
            <v>Madras Scan Centre, M-55 &amp; 56/9, Jermiah Road, Pursawalkam, Chennai-600007</v>
          </cell>
          <cell r="I496" t="str">
            <v>South</v>
          </cell>
        </row>
        <row r="497">
          <cell r="B497" t="str">
            <v>W10224</v>
          </cell>
          <cell r="C497" t="str">
            <v>R1</v>
          </cell>
          <cell r="D497" t="str">
            <v>R</v>
          </cell>
          <cell r="E497" t="str">
            <v>MNRI Scans Pvt. Ltd.</v>
          </cell>
          <cell r="F497" t="str">
            <v>43, South Usman Road, T Nagar, Chennai-600017</v>
          </cell>
          <cell r="I497" t="str">
            <v>South</v>
          </cell>
        </row>
        <row r="498">
          <cell r="B498" t="str">
            <v>W10225</v>
          </cell>
          <cell r="C498" t="str">
            <v>R1</v>
          </cell>
          <cell r="D498" t="str">
            <v>R</v>
          </cell>
          <cell r="E498" t="str">
            <v>Lata Devi</v>
          </cell>
          <cell r="F498" t="str">
            <v>Sr Krishana Ultrasound, No 464 E, opp J S S Hopsital, Ramnuja Road, Mysore</v>
          </cell>
          <cell r="I498" t="str">
            <v>South</v>
          </cell>
        </row>
        <row r="499">
          <cell r="B499" t="str">
            <v>W10226</v>
          </cell>
          <cell r="C499" t="str">
            <v>R1</v>
          </cell>
          <cell r="D499" t="str">
            <v>R</v>
          </cell>
          <cell r="E499" t="str">
            <v>Haldia Medicare Pvt Ltd.-1</v>
          </cell>
          <cell r="F499" t="str">
            <v>Tode Mansion, P-15, India Exchange Palace Extension, Calcutta-700073</v>
          </cell>
          <cell r="I499" t="str">
            <v>East</v>
          </cell>
        </row>
        <row r="500">
          <cell r="B500" t="str">
            <v>W10227</v>
          </cell>
          <cell r="C500" t="str">
            <v>R1</v>
          </cell>
          <cell r="D500" t="str">
            <v>R</v>
          </cell>
          <cell r="E500" t="str">
            <v>Haldia Medicare Pvt Ltd.-2</v>
          </cell>
          <cell r="F500" t="str">
            <v>Tode Mansion, P-15, India Exchange Palace Extension, Calcutta-700073</v>
          </cell>
          <cell r="I500" t="str">
            <v>East</v>
          </cell>
        </row>
        <row r="501">
          <cell r="B501" t="str">
            <v>W10228</v>
          </cell>
          <cell r="C501" t="str">
            <v>R1</v>
          </cell>
          <cell r="D501" t="str">
            <v>R</v>
          </cell>
          <cell r="E501" t="str">
            <v>Haldia Medicare Pvt Ltd.-3</v>
          </cell>
          <cell r="F501" t="str">
            <v>Tode Mansion, P-15, India Exchange Palace Extension, Calcutta-700073</v>
          </cell>
          <cell r="I501" t="str">
            <v>East</v>
          </cell>
        </row>
        <row r="502">
          <cell r="B502" t="str">
            <v>W10229</v>
          </cell>
          <cell r="C502" t="str">
            <v>R1</v>
          </cell>
          <cell r="D502" t="str">
            <v>R</v>
          </cell>
          <cell r="E502" t="str">
            <v>Manasa Medical Centre</v>
          </cell>
          <cell r="F502" t="str">
            <v>ZILA PARISHAD JUNCTION, KRISHNA NAGAR, VISAKHAPATTNAM</v>
          </cell>
          <cell r="I502" t="str">
            <v>South</v>
          </cell>
        </row>
        <row r="503">
          <cell r="B503" t="str">
            <v>W10230</v>
          </cell>
          <cell r="C503" t="str">
            <v>R1</v>
          </cell>
          <cell r="D503" t="str">
            <v>R</v>
          </cell>
          <cell r="E503" t="str">
            <v>Devaki Hospitals-1</v>
          </cell>
          <cell r="F503" t="str">
            <v>148, Luz Chuch Road, Mylapore, Chennai-600004</v>
          </cell>
          <cell r="I503" t="str">
            <v>South</v>
          </cell>
        </row>
        <row r="504">
          <cell r="B504" t="str">
            <v>W10231</v>
          </cell>
          <cell r="C504" t="str">
            <v>R1</v>
          </cell>
          <cell r="D504" t="str">
            <v>R</v>
          </cell>
          <cell r="E504" t="str">
            <v>Nitin Gawande</v>
          </cell>
          <cell r="F504" t="str">
            <v>Sidharth Complex, Gr. Floor, Opp Rajapeth, Police Station , Amravathi</v>
          </cell>
          <cell r="I504" t="str">
            <v>West</v>
          </cell>
        </row>
        <row r="505">
          <cell r="B505" t="str">
            <v>W10232</v>
          </cell>
          <cell r="C505" t="str">
            <v>R1</v>
          </cell>
          <cell r="D505" t="str">
            <v>R</v>
          </cell>
          <cell r="E505" t="str">
            <v>Gautam Allahbadia</v>
          </cell>
          <cell r="F505" t="str">
            <v>262, My Nest, Wadala, Mumbi-400031</v>
          </cell>
          <cell r="I505" t="str">
            <v>West</v>
          </cell>
        </row>
        <row r="506">
          <cell r="B506" t="str">
            <v>W10233</v>
          </cell>
          <cell r="C506" t="str">
            <v>R1</v>
          </cell>
          <cell r="D506" t="str">
            <v>R</v>
          </cell>
          <cell r="E506" t="str">
            <v>TM Suresh Babu</v>
          </cell>
          <cell r="F506" t="str">
            <v>No3, ( old no. 35-A), Postal Audit Colony, 2nd Street, Chinmaya Nagar, Chennai-93</v>
          </cell>
          <cell r="I506" t="str">
            <v>South</v>
          </cell>
        </row>
        <row r="507">
          <cell r="B507" t="str">
            <v>W10234</v>
          </cell>
          <cell r="C507" t="str">
            <v>R1</v>
          </cell>
          <cell r="D507" t="str">
            <v>R</v>
          </cell>
          <cell r="E507" t="str">
            <v>Shri Ram Singh Memorial Hospital</v>
          </cell>
          <cell r="F507" t="str">
            <v xml:space="preserve">B26, 26A, East Krishna Nagar, Delhi-110005 </v>
          </cell>
          <cell r="I507" t="str">
            <v>North</v>
          </cell>
        </row>
        <row r="508">
          <cell r="B508" t="str">
            <v>W10235</v>
          </cell>
          <cell r="C508" t="str">
            <v>R1</v>
          </cell>
          <cell r="D508" t="str">
            <v>R</v>
          </cell>
          <cell r="E508" t="str">
            <v>Anwar Lakdawala (Fauziya Nursing Home)</v>
          </cell>
          <cell r="F508" t="str">
            <v>209, Solanki Apartments, LBS Marg, Kural, Mumbai-400070</v>
          </cell>
          <cell r="I508" t="str">
            <v>West</v>
          </cell>
        </row>
        <row r="509">
          <cell r="B509" t="str">
            <v>W10236</v>
          </cell>
          <cell r="C509" t="str">
            <v>R1</v>
          </cell>
          <cell r="D509" t="str">
            <v>R</v>
          </cell>
          <cell r="E509" t="str">
            <v>VSSN Murthy</v>
          </cell>
          <cell r="F509" t="str">
            <v>Rohini Mother &amp; Child Care Hospital, Near RTC Bus Stand, Behind Chandana Brothers, Amalapuram-533201</v>
          </cell>
          <cell r="I509" t="str">
            <v>South</v>
          </cell>
        </row>
        <row r="510">
          <cell r="B510" t="str">
            <v>W10237</v>
          </cell>
          <cell r="C510" t="str">
            <v>NA</v>
          </cell>
          <cell r="D510" t="str">
            <v>NA</v>
          </cell>
          <cell r="E510" t="str">
            <v>Manipal Academy of Higher Education-3</v>
          </cell>
          <cell r="F510" t="str">
            <v>University Building, Madahav Nagar, Mangalore</v>
          </cell>
          <cell r="I510" t="str">
            <v>South</v>
          </cell>
        </row>
        <row r="511">
          <cell r="B511" t="str">
            <v>W10238</v>
          </cell>
          <cell r="C511" t="str">
            <v>NA</v>
          </cell>
          <cell r="D511" t="str">
            <v>NA</v>
          </cell>
          <cell r="E511" t="str">
            <v>Manipal Academy of Higher Education-4</v>
          </cell>
          <cell r="F511" t="str">
            <v>University Building, Madahav Nagar, Mangalore</v>
          </cell>
          <cell r="I511" t="str">
            <v>South</v>
          </cell>
        </row>
        <row r="512">
          <cell r="B512" t="str">
            <v>W10239</v>
          </cell>
          <cell r="C512" t="str">
            <v>R1</v>
          </cell>
          <cell r="D512" t="str">
            <v>R</v>
          </cell>
          <cell r="E512" t="str">
            <v>Satabdi Mediscanners</v>
          </cell>
          <cell r="F512" t="str">
            <v>3, Rasbehari Sarani, Hakimpura, Siliguri-734401</v>
          </cell>
          <cell r="I512" t="str">
            <v>East</v>
          </cell>
        </row>
        <row r="513">
          <cell r="B513" t="str">
            <v>W10240</v>
          </cell>
          <cell r="C513" t="str">
            <v>R1</v>
          </cell>
          <cell r="D513" t="str">
            <v>R</v>
          </cell>
          <cell r="E513" t="str">
            <v>BBR Multispeciality Hospital-2</v>
          </cell>
          <cell r="F513" t="str">
            <v>7-4-194, Ferozguda, Balanagar, Seundrabad-500011</v>
          </cell>
          <cell r="I513" t="str">
            <v>South</v>
          </cell>
        </row>
        <row r="514">
          <cell r="B514" t="str">
            <v>W10241</v>
          </cell>
          <cell r="C514" t="str">
            <v>R1</v>
          </cell>
          <cell r="D514" t="str">
            <v>R</v>
          </cell>
          <cell r="E514" t="str">
            <v>SR Trust-Meenakshi Mission Hospital-1</v>
          </cell>
          <cell r="F514" t="str">
            <v>Meenakshi Mission Hospital, Lake Area, Melur Road, Madurai-625107</v>
          </cell>
          <cell r="I514" t="str">
            <v>South</v>
          </cell>
        </row>
        <row r="515">
          <cell r="B515" t="str">
            <v>W10242</v>
          </cell>
          <cell r="C515" t="str">
            <v>R1</v>
          </cell>
          <cell r="D515" t="str">
            <v>R</v>
          </cell>
          <cell r="E515" t="str">
            <v>Bharat Scans Pvt Ltd-5</v>
          </cell>
          <cell r="F515" t="str">
            <v>Bharat Scans Pvt Ltd, 210, Periyarpathai, Chennai-600094</v>
          </cell>
          <cell r="I515" t="str">
            <v>South</v>
          </cell>
        </row>
        <row r="516">
          <cell r="B516" t="str">
            <v>W10243</v>
          </cell>
          <cell r="C516" t="str">
            <v>R1</v>
          </cell>
          <cell r="D516" t="str">
            <v>R</v>
          </cell>
          <cell r="E516" t="str">
            <v>OKAY DIAGNOSTICS</v>
          </cell>
          <cell r="F516" t="str">
            <v>4, Vivekanand Marg, C Sceme, Opposite SMS Hospital, Jaipur</v>
          </cell>
          <cell r="I516" t="str">
            <v>North</v>
          </cell>
        </row>
        <row r="517">
          <cell r="B517" t="str">
            <v>W10244</v>
          </cell>
          <cell r="C517" t="str">
            <v>R1</v>
          </cell>
          <cell r="D517" t="str">
            <v>R</v>
          </cell>
          <cell r="E517" t="str">
            <v>Eastern Fertility&amp; Genetic Research Centre Pvt Ltd</v>
          </cell>
          <cell r="F517" t="str">
            <v>Nandi Commercial, 2nd Floor, 14/B, Canac Street, , Calcutta-700017</v>
          </cell>
          <cell r="I517" t="str">
            <v>East</v>
          </cell>
        </row>
        <row r="518">
          <cell r="B518" t="str">
            <v>W10245</v>
          </cell>
          <cell r="C518" t="str">
            <v>R1</v>
          </cell>
          <cell r="D518" t="str">
            <v>R</v>
          </cell>
          <cell r="E518" t="str">
            <v>Poonam Verma</v>
          </cell>
          <cell r="F518" t="str">
            <v>34/12, Mohalla Khatikan, Near MC Park, Khanna, Punjab</v>
          </cell>
          <cell r="I518" t="str">
            <v>North</v>
          </cell>
        </row>
        <row r="519">
          <cell r="B519" t="str">
            <v>W10246</v>
          </cell>
          <cell r="C519" t="str">
            <v>R1</v>
          </cell>
          <cell r="D519" t="str">
            <v>R</v>
          </cell>
          <cell r="E519" t="str">
            <v>R Prabhakar Rao</v>
          </cell>
          <cell r="F519" t="str">
            <v>10-381/1, Vasanthapuri Colony, Malkagiri, Hyderabad</v>
          </cell>
          <cell r="I519" t="str">
            <v>South</v>
          </cell>
        </row>
        <row r="520">
          <cell r="B520" t="str">
            <v>W10247</v>
          </cell>
          <cell r="C520" t="str">
            <v>R1</v>
          </cell>
          <cell r="D520" t="str">
            <v>R</v>
          </cell>
          <cell r="E520" t="str">
            <v>Y.Thamizhselvi Masilamani</v>
          </cell>
          <cell r="F520" t="str">
            <v>Viralam Hospital, No. 50 Jayanthi Area, Tiruchengodu Road, Pallipalayam Road, Erode-638006</v>
          </cell>
          <cell r="I520" t="str">
            <v>South</v>
          </cell>
        </row>
        <row r="521">
          <cell r="B521" t="str">
            <v>W10248</v>
          </cell>
          <cell r="C521" t="str">
            <v>R1</v>
          </cell>
          <cell r="D521" t="str">
            <v>R</v>
          </cell>
          <cell r="E521" t="str">
            <v>R V Rajesuwari</v>
          </cell>
          <cell r="F521" t="str">
            <v>Sree Kumaran Hospital, 127 High School Road, Pattukottai-614601</v>
          </cell>
          <cell r="I521" t="str">
            <v>South</v>
          </cell>
        </row>
        <row r="522">
          <cell r="B522" t="str">
            <v>W10249</v>
          </cell>
          <cell r="C522" t="str">
            <v>R1</v>
          </cell>
          <cell r="D522" t="str">
            <v>R</v>
          </cell>
          <cell r="E522" t="str">
            <v>Vardhman Scanners</v>
          </cell>
          <cell r="F522" t="str">
            <v>Santokhba Durlabhji Memorial Hospital Campus, Jaipur-15</v>
          </cell>
          <cell r="I522" t="str">
            <v>North</v>
          </cell>
        </row>
        <row r="523">
          <cell r="B523" t="str">
            <v>W10250</v>
          </cell>
          <cell r="E523" t="str">
            <v>Eastern Diagnostics &amp; Research Centre</v>
          </cell>
          <cell r="F523" t="str">
            <v>13C, Free School Street, Calcutta-700016</v>
          </cell>
          <cell r="I523" t="str">
            <v>East</v>
          </cell>
        </row>
        <row r="524">
          <cell r="B524" t="str">
            <v>W10251</v>
          </cell>
          <cell r="D524" t="str">
            <v>NA</v>
          </cell>
          <cell r="E524" t="str">
            <v>Medical Relief Society - Manipal Hospital</v>
          </cell>
          <cell r="F524" t="str">
            <v>c/O Manipal Hospital, Airport Road, Bangalore</v>
          </cell>
          <cell r="I524" t="str">
            <v>South</v>
          </cell>
        </row>
        <row r="525">
          <cell r="B525" t="str">
            <v>W10252</v>
          </cell>
          <cell r="C525" t="str">
            <v>R1</v>
          </cell>
          <cell r="D525" t="str">
            <v>R</v>
          </cell>
          <cell r="E525" t="str">
            <v>Pandian Hospital &amp; Medical Research Foundation-1</v>
          </cell>
          <cell r="F525" t="str">
            <v>14, K K Nagar, Main Road, Madurai-625020</v>
          </cell>
          <cell r="I525" t="str">
            <v>South</v>
          </cell>
        </row>
        <row r="526">
          <cell r="B526" t="str">
            <v>W10253</v>
          </cell>
          <cell r="D526" t="str">
            <v>R</v>
          </cell>
          <cell r="E526" t="str">
            <v>Cantonment Polyclinic &amp; Nursing Home</v>
          </cell>
          <cell r="F526" t="str">
            <v>No.64, Spencer Road, Near Cloes Park, Bangalore-560005</v>
          </cell>
          <cell r="I526" t="str">
            <v>South</v>
          </cell>
        </row>
        <row r="527">
          <cell r="B527" t="str">
            <v>W10254</v>
          </cell>
          <cell r="D527" t="str">
            <v>R</v>
          </cell>
          <cell r="E527" t="str">
            <v>S.V. Savant</v>
          </cell>
          <cell r="F527" t="str">
            <v>Main Road, Raja Bang, Karwar-581301</v>
          </cell>
          <cell r="I527" t="str">
            <v>West</v>
          </cell>
        </row>
        <row r="528">
          <cell r="B528" t="str">
            <v>W10255</v>
          </cell>
          <cell r="D528" t="str">
            <v>R</v>
          </cell>
          <cell r="E528" t="str">
            <v>Poongothai Selvaraj</v>
          </cell>
          <cell r="F528" t="str">
            <v>Divya Maternity Nursing Home, Prithvi Complex, 300/215, Polladam Road, Veerupandi, Tirupur-641605</v>
          </cell>
          <cell r="I528" t="str">
            <v>South</v>
          </cell>
        </row>
        <row r="529">
          <cell r="B529" t="str">
            <v>W10256</v>
          </cell>
          <cell r="C529" t="str">
            <v>R1</v>
          </cell>
          <cell r="D529" t="str">
            <v>R</v>
          </cell>
          <cell r="E529" t="str">
            <v>Noida Medicare Centre Ltd.-2</v>
          </cell>
          <cell r="F529" t="str">
            <v>Noida Medicare Centre, 16-C, Block 'E', Sector-30, Noida-201303</v>
          </cell>
          <cell r="I529" t="str">
            <v>North</v>
          </cell>
        </row>
        <row r="530">
          <cell r="B530" t="str">
            <v>W10257</v>
          </cell>
          <cell r="C530" t="str">
            <v>R1</v>
          </cell>
          <cell r="D530" t="str">
            <v>R</v>
          </cell>
          <cell r="E530" t="str">
            <v>City X ray Ultrasound &amp; CT Scan Centre-2</v>
          </cell>
          <cell r="F530" t="str">
            <v>Jagdish Marg, Nr, Rajendra Hosp, Patiala-147001</v>
          </cell>
          <cell r="I530" t="str">
            <v>North</v>
          </cell>
        </row>
        <row r="531">
          <cell r="B531" t="str">
            <v>W10258</v>
          </cell>
          <cell r="C531" t="str">
            <v>R1</v>
          </cell>
          <cell r="D531" t="str">
            <v>R</v>
          </cell>
          <cell r="E531" t="str">
            <v>Pushpagiri Medical Society</v>
          </cell>
          <cell r="F531" t="str">
            <v>Pushpagiri Hospital, Thiruvalla-689101</v>
          </cell>
          <cell r="I531" t="str">
            <v>South</v>
          </cell>
        </row>
        <row r="532">
          <cell r="B532" t="str">
            <v>W10259</v>
          </cell>
          <cell r="C532" t="str">
            <v>R1</v>
          </cell>
          <cell r="D532" t="str">
            <v>R</v>
          </cell>
          <cell r="E532" t="str">
            <v>Sapthagiri Digital Imaging Centre Pvt Ltd-1</v>
          </cell>
          <cell r="F532" t="str">
            <v>No. 522, Near 11th, Cross, Sampige Road, Malleswaram, Bangalore-5600055</v>
          </cell>
          <cell r="I532" t="str">
            <v>South</v>
          </cell>
        </row>
        <row r="533">
          <cell r="B533" t="str">
            <v>W10260</v>
          </cell>
          <cell r="C533" t="str">
            <v>R1</v>
          </cell>
          <cell r="D533" t="str">
            <v>R</v>
          </cell>
          <cell r="E533" t="str">
            <v>R Suresh</v>
          </cell>
          <cell r="F533" t="str">
            <v>Manju Nursing Home, Main Road, Marthandam-629165</v>
          </cell>
          <cell r="I533" t="str">
            <v>South</v>
          </cell>
        </row>
        <row r="534">
          <cell r="B534" t="str">
            <v>WGE- LEASE-1</v>
          </cell>
          <cell r="C534" t="str">
            <v>NA</v>
          </cell>
          <cell r="D534" t="str">
            <v>NA</v>
          </cell>
          <cell r="E534" t="str">
            <v>Wipro GE Medical Systems Ltd-LEASE-1</v>
          </cell>
          <cell r="F534" t="str">
            <v>Plot no. 4, Kadugodi Plantation Indl. Area, Sadarmangala, Bangalore</v>
          </cell>
          <cell r="I534" t="str">
            <v>Coporate</v>
          </cell>
        </row>
        <row r="535">
          <cell r="B535" t="str">
            <v>W10261</v>
          </cell>
          <cell r="C535" t="str">
            <v>R1</v>
          </cell>
          <cell r="D535" t="str">
            <v>R</v>
          </cell>
          <cell r="E535" t="str">
            <v>Spiral Diagnostics P Ltd-1</v>
          </cell>
          <cell r="F535" t="str">
            <v>282, Rabindra Saranai, Kolkata</v>
          </cell>
          <cell r="I535" t="str">
            <v>East</v>
          </cell>
        </row>
        <row r="536">
          <cell r="B536" t="str">
            <v>W10262</v>
          </cell>
          <cell r="C536" t="str">
            <v>R1</v>
          </cell>
          <cell r="D536" t="str">
            <v>R</v>
          </cell>
          <cell r="E536" t="str">
            <v>Spiral Diagnostics P Ltd-2</v>
          </cell>
          <cell r="F536" t="str">
            <v>282, Rabindra Saranai, Kolkata</v>
          </cell>
          <cell r="I536" t="str">
            <v>East</v>
          </cell>
        </row>
        <row r="537">
          <cell r="B537" t="str">
            <v>W10263</v>
          </cell>
          <cell r="C537" t="str">
            <v>R1</v>
          </cell>
          <cell r="D537" t="str">
            <v>R</v>
          </cell>
          <cell r="E537" t="str">
            <v>Spiral Diagnostics P Ltd-3</v>
          </cell>
          <cell r="F537" t="str">
            <v>282, Rabindra Saranai, Kolkata</v>
          </cell>
          <cell r="I537" t="str">
            <v>East</v>
          </cell>
        </row>
        <row r="538">
          <cell r="B538" t="str">
            <v>W10264</v>
          </cell>
          <cell r="C538" t="str">
            <v>R1</v>
          </cell>
          <cell r="D538" t="str">
            <v>R</v>
          </cell>
          <cell r="E538" t="str">
            <v>P Mohan</v>
          </cell>
          <cell r="F538" t="str">
            <v>12-2-823/C/45, SBI Colony, Mehdipattnam, Hyderabad-500028</v>
          </cell>
          <cell r="I538" t="str">
            <v>South</v>
          </cell>
        </row>
        <row r="539">
          <cell r="B539" t="str">
            <v>W10265</v>
          </cell>
          <cell r="C539" t="str">
            <v>R1</v>
          </cell>
          <cell r="D539" t="str">
            <v>R</v>
          </cell>
          <cell r="E539" t="str">
            <v>Harvey Healthcare Ltd</v>
          </cell>
          <cell r="F539" t="str">
            <v>No.9, Khader Nawaz Khan Road, Nungabakkam, Chennai-600034, TN.</v>
          </cell>
          <cell r="I539" t="str">
            <v>South</v>
          </cell>
        </row>
        <row r="540">
          <cell r="B540" t="str">
            <v>W10266</v>
          </cell>
          <cell r="C540" t="str">
            <v>R1</v>
          </cell>
          <cell r="D540" t="str">
            <v>R</v>
          </cell>
          <cell r="E540" t="str">
            <v>Nitya Diagnostic Centre</v>
          </cell>
          <cell r="F540" t="str">
            <v>G-18, Arun Apaartments, Red Hills, Hyderabad</v>
          </cell>
          <cell r="I540" t="str">
            <v>South</v>
          </cell>
        </row>
        <row r="541">
          <cell r="B541" t="str">
            <v>W10267</v>
          </cell>
          <cell r="C541" t="str">
            <v>R1</v>
          </cell>
          <cell r="D541" t="str">
            <v>R</v>
          </cell>
          <cell r="E541" t="str">
            <v xml:space="preserve">Dilip Kumar </v>
          </cell>
          <cell r="F541" t="str">
            <v>Makhania Kuan Road, Patna-4, Bihar</v>
          </cell>
          <cell r="I541" t="str">
            <v>North</v>
          </cell>
        </row>
        <row r="542">
          <cell r="B542" t="str">
            <v>W10268</v>
          </cell>
          <cell r="C542" t="str">
            <v>R1</v>
          </cell>
          <cell r="D542" t="str">
            <v>R</v>
          </cell>
          <cell r="E542" t="str">
            <v>K Sarojamma</v>
          </cell>
          <cell r="F542" t="str">
            <v>c/o Deepa N Hema, Apsara  Centre, Chinna Chowk, Cuddapah-516002</v>
          </cell>
          <cell r="I542" t="str">
            <v>South</v>
          </cell>
        </row>
        <row r="543">
          <cell r="B543" t="str">
            <v>W10269</v>
          </cell>
          <cell r="C543" t="str">
            <v>R1</v>
          </cell>
          <cell r="D543" t="str">
            <v>R</v>
          </cell>
          <cell r="E543" t="str">
            <v>J Chitra Ramani</v>
          </cell>
          <cell r="F543" t="str">
            <v>3-104B, Verramoni Bhawan, Ananthen Nagar, Asaripallam, Nagercoil-629001</v>
          </cell>
          <cell r="I543" t="str">
            <v>South</v>
          </cell>
        </row>
        <row r="544">
          <cell r="B544" t="str">
            <v>W10270</v>
          </cell>
          <cell r="C544" t="str">
            <v>R1</v>
          </cell>
          <cell r="D544" t="str">
            <v>R</v>
          </cell>
          <cell r="E544" t="str">
            <v>Surendernath Reddy-2</v>
          </cell>
          <cell r="F544" t="str">
            <v>Vijaya Diagnostic Centre, 3-6-20, Tirumala Apartments, Himayat Nagar, Hyderabad-29</v>
          </cell>
          <cell r="I544" t="str">
            <v>South</v>
          </cell>
        </row>
        <row r="545">
          <cell r="B545" t="str">
            <v>W10271</v>
          </cell>
          <cell r="C545" t="str">
            <v>R1</v>
          </cell>
          <cell r="D545" t="str">
            <v>R</v>
          </cell>
          <cell r="E545" t="str">
            <v>Pandian Hospital &amp; Medical Research Foundation-2</v>
          </cell>
          <cell r="F545" t="str">
            <v>14, K K Nagar, Main Road, Madurai-625020</v>
          </cell>
          <cell r="I545" t="str">
            <v>South</v>
          </cell>
        </row>
        <row r="546">
          <cell r="B546" t="str">
            <v>W10272</v>
          </cell>
          <cell r="C546" t="str">
            <v>R1</v>
          </cell>
          <cell r="D546" t="str">
            <v>R</v>
          </cell>
          <cell r="E546" t="str">
            <v>G Bhaskar Rao</v>
          </cell>
          <cell r="F546" t="str">
            <v>H No. 37, Kakotpalli, Hyderabad-72</v>
          </cell>
          <cell r="I546" t="str">
            <v>South</v>
          </cell>
        </row>
        <row r="547">
          <cell r="B547" t="str">
            <v>W10273</v>
          </cell>
          <cell r="C547" t="str">
            <v>R1</v>
          </cell>
          <cell r="D547" t="str">
            <v>R</v>
          </cell>
          <cell r="E547" t="str">
            <v>MSR Hospital Pvt Ltd</v>
          </cell>
          <cell r="F547" t="str">
            <v>25/179, Railwat Station Road, nandiyal, Kurnool-518509</v>
          </cell>
          <cell r="I547" t="str">
            <v>South</v>
          </cell>
        </row>
        <row r="548">
          <cell r="B548" t="str">
            <v>W10274</v>
          </cell>
          <cell r="C548" t="str">
            <v>R1</v>
          </cell>
          <cell r="D548" t="str">
            <v>R</v>
          </cell>
          <cell r="E548" t="str">
            <v>Travancore Diagnostic-3</v>
          </cell>
          <cell r="F548" t="str">
            <v>Travancore Diag Pvt. Ltd., Groun Dloor, Nazeem Complex, Distt Hospital Road, Chamakkada, Kollam, Kerala-691001</v>
          </cell>
          <cell r="I548" t="str">
            <v>South</v>
          </cell>
        </row>
        <row r="549">
          <cell r="B549" t="str">
            <v>W10275</v>
          </cell>
          <cell r="C549" t="str">
            <v>R1</v>
          </cell>
          <cell r="D549" t="str">
            <v>R</v>
          </cell>
          <cell r="E549" t="str">
            <v>Bollineni Ramaniah Memorial ( BRM -hospitals )</v>
          </cell>
          <cell r="F549" t="str">
            <v>Ambuja Centre, Durga Metaa, Nellore-524004</v>
          </cell>
          <cell r="I549" t="str">
            <v>South</v>
          </cell>
        </row>
        <row r="550">
          <cell r="B550" t="str">
            <v>W10276</v>
          </cell>
          <cell r="C550" t="str">
            <v>R1</v>
          </cell>
          <cell r="D550" t="str">
            <v>R</v>
          </cell>
          <cell r="E550" t="str">
            <v>PVN Murthy</v>
          </cell>
          <cell r="F550" t="str">
            <v>5-5-205, Indira Road, Nalgonda- AP</v>
          </cell>
          <cell r="I550" t="str">
            <v>South</v>
          </cell>
        </row>
        <row r="551">
          <cell r="B551" t="str">
            <v>W10277</v>
          </cell>
          <cell r="C551" t="str">
            <v>R1</v>
          </cell>
          <cell r="D551" t="str">
            <v>R</v>
          </cell>
          <cell r="E551" t="str">
            <v>Anoop Kumar</v>
          </cell>
          <cell r="F551" t="str">
            <v>Una Road, Hoshiarpur, Punjab</v>
          </cell>
          <cell r="I551" t="str">
            <v>North</v>
          </cell>
        </row>
        <row r="552">
          <cell r="B552" t="str">
            <v>W10278</v>
          </cell>
          <cell r="C552" t="str">
            <v>R1</v>
          </cell>
          <cell r="D552" t="str">
            <v>R</v>
          </cell>
          <cell r="E552" t="str">
            <v>L Arunan</v>
          </cell>
          <cell r="F552" t="str">
            <v>Arvind Scans, 45, Thanumannan Road, Behind Pookaodai Complex, Four Roads, Salem-636009</v>
          </cell>
          <cell r="I552" t="str">
            <v>South</v>
          </cell>
        </row>
        <row r="553">
          <cell r="B553" t="str">
            <v>W10279</v>
          </cell>
          <cell r="C553" t="str">
            <v>R1</v>
          </cell>
          <cell r="D553" t="str">
            <v>R</v>
          </cell>
          <cell r="E553" t="str">
            <v>Chandrika Thangapandian</v>
          </cell>
          <cell r="F553" t="str">
            <v>282, Samba Street, Tenkasi-627811</v>
          </cell>
          <cell r="I553" t="str">
            <v>South</v>
          </cell>
        </row>
        <row r="554">
          <cell r="B554" t="str">
            <v>W10280</v>
          </cell>
          <cell r="C554" t="str">
            <v>R1</v>
          </cell>
          <cell r="D554" t="str">
            <v>R</v>
          </cell>
          <cell r="E554" t="str">
            <v>E Ravinder Reddy-SVR Multispeciality Hospital</v>
          </cell>
          <cell r="F554" t="str">
            <v>SVR Hospitals, 7-1-79/A &amp; B, Dharam Karam Road, Ameerpet, Hyd.</v>
          </cell>
          <cell r="I554" t="str">
            <v>South</v>
          </cell>
        </row>
        <row r="555">
          <cell r="B555" t="str">
            <v>W10281</v>
          </cell>
          <cell r="C555" t="str">
            <v>R1</v>
          </cell>
          <cell r="D555" t="str">
            <v>R</v>
          </cell>
          <cell r="E555" t="str">
            <v>Apollo Diagnostics</v>
          </cell>
          <cell r="F555" t="str">
            <v>29-6-5/A, Ram Chandra Rao, Suryarao Pet, Vijaywada-520002</v>
          </cell>
          <cell r="I555" t="str">
            <v>South</v>
          </cell>
        </row>
        <row r="556">
          <cell r="B556" t="str">
            <v>W10282</v>
          </cell>
          <cell r="C556" t="str">
            <v>NA</v>
          </cell>
          <cell r="D556" t="str">
            <v>NA</v>
          </cell>
          <cell r="E556" t="str">
            <v>Sikkim Manipal University</v>
          </cell>
          <cell r="F556" t="str">
            <v>5th Mites Todong, Gangtok-737102</v>
          </cell>
          <cell r="I556" t="str">
            <v>South</v>
          </cell>
        </row>
        <row r="557">
          <cell r="B557" t="str">
            <v>W10283</v>
          </cell>
          <cell r="C557" t="str">
            <v>R3</v>
          </cell>
          <cell r="D557" t="str">
            <v>R</v>
          </cell>
          <cell r="E557" t="str">
            <v>BGS Apollo</v>
          </cell>
          <cell r="F557" t="str">
            <v>KANTARAJ URS ROAD, KAVEMPU NAGAR, MYSORE</v>
          </cell>
          <cell r="I557" t="str">
            <v>South</v>
          </cell>
        </row>
        <row r="558">
          <cell r="B558" t="str">
            <v>W10284</v>
          </cell>
          <cell r="C558" t="str">
            <v>R1</v>
          </cell>
          <cell r="D558" t="str">
            <v>R</v>
          </cell>
          <cell r="E558" t="str">
            <v>Sethi Diagnostic &amp; Medicare Pvt Ltd</v>
          </cell>
          <cell r="F558" t="str">
            <v>69, Diamond Harbour Road, Calcutta-700038</v>
          </cell>
          <cell r="I558" t="str">
            <v>East</v>
          </cell>
        </row>
        <row r="559">
          <cell r="B559" t="str">
            <v>W10285</v>
          </cell>
          <cell r="C559" t="str">
            <v>R1</v>
          </cell>
          <cell r="D559" t="str">
            <v>R</v>
          </cell>
          <cell r="E559" t="str">
            <v>B. Pandu</v>
          </cell>
          <cell r="F559" t="str">
            <v>Virinchi Nursing Home, Ganesh nagar, Giddalur, Prakasam Distt.</v>
          </cell>
          <cell r="I559" t="str">
            <v>South</v>
          </cell>
        </row>
        <row r="560">
          <cell r="B560" t="str">
            <v>W10286</v>
          </cell>
          <cell r="C560" t="str">
            <v>R1</v>
          </cell>
          <cell r="D560" t="str">
            <v>R</v>
          </cell>
          <cell r="E560" t="str">
            <v>City X-ray , U/S &amp; CT Scan Centre-2</v>
          </cell>
          <cell r="F560" t="str">
            <v>Jagdish Marg, patiala</v>
          </cell>
          <cell r="I560" t="str">
            <v>North</v>
          </cell>
        </row>
        <row r="561">
          <cell r="B561" t="str">
            <v>W10287</v>
          </cell>
          <cell r="C561" t="str">
            <v>R1</v>
          </cell>
          <cell r="D561" t="str">
            <v>R</v>
          </cell>
          <cell r="E561" t="str">
            <v>Metropolitan Scan Centre</v>
          </cell>
          <cell r="F561" t="str">
            <v>kakalai, Trisur-7</v>
          </cell>
          <cell r="I561" t="str">
            <v>South</v>
          </cell>
        </row>
        <row r="562">
          <cell r="B562" t="str">
            <v>W10288</v>
          </cell>
          <cell r="C562" t="str">
            <v>R1</v>
          </cell>
          <cell r="D562" t="str">
            <v>R</v>
          </cell>
          <cell r="E562" t="str">
            <v>P D Singh - Pilibhit</v>
          </cell>
          <cell r="F562" t="str">
            <v>PDS Hospital, Near Telephone Exchange, Sugar factory Road, Pilibhit</v>
          </cell>
          <cell r="I562" t="str">
            <v>North</v>
          </cell>
        </row>
        <row r="563">
          <cell r="B563" t="str">
            <v>W10289</v>
          </cell>
          <cell r="C563" t="str">
            <v>R1</v>
          </cell>
          <cell r="D563" t="str">
            <v>R</v>
          </cell>
          <cell r="E563" t="str">
            <v>Sanjay Tomar</v>
          </cell>
          <cell r="F563" t="str">
            <v>Opp Railway Station, Lakhimpur Kheri, Kheri UP</v>
          </cell>
          <cell r="I563" t="str">
            <v>North</v>
          </cell>
        </row>
        <row r="564">
          <cell r="B564" t="str">
            <v>W10290</v>
          </cell>
          <cell r="C564" t="str">
            <v>R1</v>
          </cell>
          <cell r="D564" t="str">
            <v>R</v>
          </cell>
          <cell r="E564" t="str">
            <v>Serene Diagnostic Services P. Ltd</v>
          </cell>
          <cell r="F564" t="str">
            <v>Wijra Road, Khammam Road, Khammam-507001</v>
          </cell>
          <cell r="I564" t="str">
            <v>South</v>
          </cell>
        </row>
        <row r="565">
          <cell r="B565" t="str">
            <v>W10291</v>
          </cell>
          <cell r="C565" t="str">
            <v>R1</v>
          </cell>
          <cell r="D565" t="str">
            <v>R</v>
          </cell>
          <cell r="E565" t="str">
            <v>Devaki Hospitals Ltd.-2</v>
          </cell>
          <cell r="F565" t="str">
            <v>148, Luz Church Road, Mylapore, Chennai-600004</v>
          </cell>
          <cell r="I565" t="str">
            <v>South</v>
          </cell>
        </row>
        <row r="566">
          <cell r="B566" t="str">
            <v>W10292</v>
          </cell>
          <cell r="C566" t="str">
            <v>R1</v>
          </cell>
          <cell r="D566" t="str">
            <v>R</v>
          </cell>
          <cell r="E566" t="str">
            <v>Advanced Medicare Research Institute-5</v>
          </cell>
          <cell r="F566" t="str">
            <v>P-4, CIT Scheme-LXXII, Block A, Gariahat Road, Calcutta-700029</v>
          </cell>
          <cell r="I566" t="str">
            <v>East</v>
          </cell>
        </row>
        <row r="567">
          <cell r="B567" t="str">
            <v>W10293</v>
          </cell>
          <cell r="D567" t="str">
            <v>R</v>
          </cell>
          <cell r="E567" t="str">
            <v>Haldia Medicare-4</v>
          </cell>
          <cell r="F567" t="str">
            <v>Todi mansion, P-15, India Exchange Place, Ext, Calcutta-700073</v>
          </cell>
          <cell r="I567" t="str">
            <v>East</v>
          </cell>
        </row>
        <row r="568">
          <cell r="B568" t="str">
            <v>W10294</v>
          </cell>
          <cell r="C568" t="str">
            <v>R1</v>
          </cell>
          <cell r="D568" t="str">
            <v>R</v>
          </cell>
          <cell r="E568" t="str">
            <v>Yazhini Selvaraj</v>
          </cell>
          <cell r="F568" t="str">
            <v>Ponne Trust Hospital, 2/294 Pillayar koil Street, Bank Colony, narayanpuram, Madurai-625014</v>
          </cell>
          <cell r="I568" t="str">
            <v>South</v>
          </cell>
        </row>
        <row r="569">
          <cell r="B569" t="str">
            <v>W10295</v>
          </cell>
          <cell r="C569" t="str">
            <v>R1</v>
          </cell>
          <cell r="D569" t="str">
            <v>R</v>
          </cell>
          <cell r="E569" t="str">
            <v>Surendranath Reddy- Vijaya Diagnostic Centre-3</v>
          </cell>
          <cell r="F569" t="str">
            <v>3-6-20, Tirumala Apartments, Skyline Theatre lane, Basheer Bagh, Hyd-500029</v>
          </cell>
          <cell r="I569" t="str">
            <v>South</v>
          </cell>
        </row>
        <row r="570">
          <cell r="B570" t="str">
            <v>W10296</v>
          </cell>
          <cell r="C570" t="str">
            <v>R1</v>
          </cell>
          <cell r="D570" t="str">
            <v>R</v>
          </cell>
          <cell r="E570" t="str">
            <v>T. Thiraviam</v>
          </cell>
          <cell r="F570" t="str">
            <v>44B, Sarvan bhawan, Samarsa Veedhi, Kottar, Nagercoil-629002</v>
          </cell>
          <cell r="I570" t="str">
            <v>South</v>
          </cell>
        </row>
        <row r="571">
          <cell r="B571" t="str">
            <v>W10297</v>
          </cell>
          <cell r="C571" t="str">
            <v>R1</v>
          </cell>
          <cell r="D571" t="str">
            <v>R</v>
          </cell>
          <cell r="E571" t="str">
            <v>Indira Diagnostic Centre &amp; Blood Bank Ltd</v>
          </cell>
          <cell r="F571" t="str">
            <v>19/718, INDIRA NAGAR, FAIZABAD ROAD, LUCKNOW</v>
          </cell>
          <cell r="I571" t="str">
            <v>North</v>
          </cell>
        </row>
        <row r="572">
          <cell r="B572" t="str">
            <v>W10298</v>
          </cell>
          <cell r="C572" t="str">
            <v>R1</v>
          </cell>
          <cell r="D572" t="str">
            <v>R</v>
          </cell>
          <cell r="E572" t="str">
            <v>Vasantham Health Centre Pvt Ltd.</v>
          </cell>
          <cell r="F572" t="str">
            <v>DENNISON ROAD, NAGERCOIL-629001, TN</v>
          </cell>
          <cell r="I572" t="str">
            <v>South</v>
          </cell>
        </row>
        <row r="573">
          <cell r="B573" t="str">
            <v>W10299</v>
          </cell>
          <cell r="C573" t="str">
            <v>R1</v>
          </cell>
          <cell r="D573" t="str">
            <v>R</v>
          </cell>
          <cell r="E573" t="str">
            <v>Decision Diagnostic Centre Pvt Ltd</v>
          </cell>
          <cell r="F573" t="str">
            <v>Decision Tower, Near City Pride Theatre, Opp Bhaskar Petrol Pump, Pune-411037</v>
          </cell>
          <cell r="I573" t="str">
            <v>West</v>
          </cell>
        </row>
        <row r="574">
          <cell r="B574" t="str">
            <v>W10300</v>
          </cell>
          <cell r="C574" t="str">
            <v>R1</v>
          </cell>
          <cell r="D574" t="str">
            <v>R</v>
          </cell>
          <cell r="E574" t="str">
            <v>DOON MRI</v>
          </cell>
          <cell r="F574" t="str">
            <v>RAJPURA ROAD, DEHRADOON</v>
          </cell>
          <cell r="I574" t="str">
            <v>North</v>
          </cell>
        </row>
        <row r="575">
          <cell r="B575" t="str">
            <v>W10300-R</v>
          </cell>
          <cell r="C575" t="str">
            <v>R1</v>
          </cell>
          <cell r="D575" t="str">
            <v>R</v>
          </cell>
          <cell r="E575" t="str">
            <v>DOON MRI-R</v>
          </cell>
          <cell r="F575" t="str">
            <v>RAJPURA ROAD, DEHRADOON</v>
          </cell>
          <cell r="I575" t="str">
            <v>North</v>
          </cell>
        </row>
        <row r="576">
          <cell r="B576" t="str">
            <v>W10301</v>
          </cell>
          <cell r="C576" t="str">
            <v>R1</v>
          </cell>
          <cell r="D576" t="str">
            <v>R</v>
          </cell>
          <cell r="E576" t="str">
            <v>Y. Radhika</v>
          </cell>
          <cell r="F576" t="str">
            <v>Sai Nursing Home, Nehru Bazar, Markapur, Prakasam Distt.</v>
          </cell>
          <cell r="I576" t="str">
            <v>South</v>
          </cell>
        </row>
        <row r="577">
          <cell r="B577" t="str">
            <v>W10302</v>
          </cell>
          <cell r="C577" t="str">
            <v>R1</v>
          </cell>
          <cell r="D577" t="str">
            <v>R</v>
          </cell>
          <cell r="E577" t="str">
            <v>Muhabeen Shaikh</v>
          </cell>
          <cell r="F577" t="str">
            <v>Kedy Diagnostic Centre, Kedy Shopping Centre, 1st Floor, Ballasis Road, Nagpada Junction, Mumbai-8</v>
          </cell>
          <cell r="I577" t="str">
            <v>West</v>
          </cell>
        </row>
        <row r="578">
          <cell r="B578" t="str">
            <v>W10303</v>
          </cell>
          <cell r="C578" t="str">
            <v>R1</v>
          </cell>
          <cell r="D578" t="str">
            <v>R</v>
          </cell>
          <cell r="E578" t="str">
            <v>Saleem Ahmed</v>
          </cell>
          <cell r="F578" t="str">
            <v>2-1-788/1 Mogupura, Hyderbad-500002</v>
          </cell>
          <cell r="I578" t="str">
            <v>South</v>
          </cell>
        </row>
        <row r="579">
          <cell r="B579" t="str">
            <v>W10304</v>
          </cell>
          <cell r="C579" t="str">
            <v>R1</v>
          </cell>
          <cell r="D579" t="str">
            <v>R</v>
          </cell>
          <cell r="E579" t="str">
            <v>Noshina Sarfaraz</v>
          </cell>
          <cell r="F579" t="str">
            <v>Flat No. 3 &amp; 4, 10-2-8/32, Shah &amp; Shah Apartments, Shantinagar, Hyderbad</v>
          </cell>
          <cell r="I579" t="str">
            <v>South</v>
          </cell>
        </row>
        <row r="580">
          <cell r="B580" t="str">
            <v>W10305</v>
          </cell>
          <cell r="C580" t="str">
            <v>R1</v>
          </cell>
          <cell r="D580" t="str">
            <v>R</v>
          </cell>
          <cell r="E580" t="str">
            <v>A. J. Bensam</v>
          </cell>
          <cell r="F580" t="str">
            <v>Bansom Hospital, Kalliancaud, Nagercoil-629003</v>
          </cell>
          <cell r="I580" t="str">
            <v>South</v>
          </cell>
        </row>
        <row r="581">
          <cell r="B581" t="str">
            <v>W10306</v>
          </cell>
          <cell r="C581" t="str">
            <v>R1</v>
          </cell>
          <cell r="D581" t="str">
            <v>R</v>
          </cell>
          <cell r="E581" t="str">
            <v>Rosalind Rani Rajendran</v>
          </cell>
          <cell r="F581" t="str">
            <v>New Add : Flat No.4, Ground Floor, Building No. 59-A, Brindavan Society, Thane, Maharashtra. ( Old Add :C42, veerabahu Nagar, pettai, Tirunelveli)</v>
          </cell>
          <cell r="I581" t="str">
            <v>South</v>
          </cell>
        </row>
        <row r="582">
          <cell r="B582" t="str">
            <v>W10307</v>
          </cell>
          <cell r="C582" t="str">
            <v>R1</v>
          </cell>
          <cell r="D582" t="str">
            <v>R</v>
          </cell>
          <cell r="E582" t="str">
            <v>SR Trust- Meenakshi Mission Hospital-2</v>
          </cell>
          <cell r="F582" t="str">
            <v>Lakse Area, Mellur Road, Madurai, Tamilnadu-625017</v>
          </cell>
          <cell r="I582" t="str">
            <v>South</v>
          </cell>
        </row>
        <row r="583">
          <cell r="B583" t="str">
            <v>W10308</v>
          </cell>
          <cell r="C583" t="str">
            <v>R1</v>
          </cell>
          <cell r="D583" t="str">
            <v>R</v>
          </cell>
          <cell r="E583" t="str">
            <v>Chitra Scan &amp; Imaging Centre Pvt. Ltd.</v>
          </cell>
          <cell r="F583" t="str">
            <v>Chitra Apartments, Shop No.2, Ground Floor, Gokuldas Parta Road, Behind Chitra Cinema, Dadar, East, Mumbai</v>
          </cell>
          <cell r="I583" t="str">
            <v>West</v>
          </cell>
        </row>
        <row r="584">
          <cell r="B584" t="str">
            <v>W10309</v>
          </cell>
          <cell r="C584" t="str">
            <v>R1</v>
          </cell>
          <cell r="D584" t="str">
            <v>R</v>
          </cell>
          <cell r="E584" t="str">
            <v>Krishna Hospital &amp; Research Foundation-Cuddalore</v>
          </cell>
          <cell r="F584" t="str">
            <v>17-A, Hospital Road, Cuddalore, Cuddalore-607001</v>
          </cell>
          <cell r="I584" t="str">
            <v>South</v>
          </cell>
        </row>
        <row r="585">
          <cell r="B585" t="str">
            <v>W10310</v>
          </cell>
          <cell r="C585" t="str">
            <v>R1</v>
          </cell>
          <cell r="D585" t="str">
            <v>R</v>
          </cell>
          <cell r="E585" t="str">
            <v>Vrindha Diagnostic Centre P. Ltd-1</v>
          </cell>
          <cell r="F585" t="str">
            <v>926, Vikas Puri, Vikas Kunj, Delhi</v>
          </cell>
          <cell r="I585" t="str">
            <v>North</v>
          </cell>
        </row>
        <row r="586">
          <cell r="B586" t="str">
            <v>W10311</v>
          </cell>
          <cell r="C586" t="str">
            <v>R1</v>
          </cell>
          <cell r="D586" t="str">
            <v>R</v>
          </cell>
          <cell r="E586" t="str">
            <v>PM Baruah</v>
          </cell>
          <cell r="F586" t="str">
            <v>NMB Baruah Nursing Home, Nalbari-781335, Assam</v>
          </cell>
          <cell r="I586" t="str">
            <v>East</v>
          </cell>
        </row>
        <row r="587">
          <cell r="B587" t="str">
            <v>W10312</v>
          </cell>
          <cell r="C587" t="str">
            <v>R1</v>
          </cell>
          <cell r="D587" t="str">
            <v>R</v>
          </cell>
          <cell r="E587" t="str">
            <v>A R Santhini</v>
          </cell>
          <cell r="F587" t="str">
            <v>Aruna Clinic Natham, Sendurai Road</v>
          </cell>
          <cell r="I587" t="str">
            <v>South</v>
          </cell>
        </row>
        <row r="588">
          <cell r="B588" t="str">
            <v>W10313</v>
          </cell>
          <cell r="C588" t="str">
            <v>R1</v>
          </cell>
          <cell r="D588" t="str">
            <v>R</v>
          </cell>
          <cell r="E588" t="str">
            <v>Subhash Jain-AMIT CAT SCAN Centre</v>
          </cell>
          <cell r="F588" t="str">
            <v>Amit CAT Scan Centre, Mahatama Gandhi Road, Jodhpur-342001</v>
          </cell>
          <cell r="I588" t="str">
            <v>North</v>
          </cell>
        </row>
        <row r="589">
          <cell r="B589" t="str">
            <v>W10314</v>
          </cell>
          <cell r="C589" t="str">
            <v>R1</v>
          </cell>
          <cell r="D589" t="str">
            <v>R</v>
          </cell>
          <cell r="E589" t="str">
            <v>Smt B Rajya Sri-Bollineni  Heart Centre</v>
          </cell>
          <cell r="F589" t="str">
            <v>Bolleneni Heart Centre, Plot No. 94, Road No. 13A, Banjara Hills,Hyderabad</v>
          </cell>
          <cell r="I589" t="str">
            <v>South</v>
          </cell>
        </row>
        <row r="590">
          <cell r="B590" t="str">
            <v>W10315</v>
          </cell>
          <cell r="C590" t="str">
            <v>R1</v>
          </cell>
          <cell r="D590" t="str">
            <v>R</v>
          </cell>
          <cell r="E590" t="str">
            <v>S Sumitha</v>
          </cell>
          <cell r="F590" t="str">
            <v>90, Viveknanda Road, Ram Nagar, Coimbatore-641009</v>
          </cell>
          <cell r="I590" t="str">
            <v>South</v>
          </cell>
        </row>
        <row r="591">
          <cell r="B591" t="str">
            <v>W10316</v>
          </cell>
          <cell r="C591" t="str">
            <v>R1</v>
          </cell>
          <cell r="D591" t="str">
            <v>R</v>
          </cell>
          <cell r="E591" t="str">
            <v>R Ravi</v>
          </cell>
          <cell r="F591" t="str">
            <v>Digestive Disease &amp; Indoscopy Centre, William Hospital Complex, M S Road, Krishnacoil, Mnagercoil-629001</v>
          </cell>
          <cell r="I591" t="str">
            <v>South</v>
          </cell>
        </row>
        <row r="592">
          <cell r="B592" t="str">
            <v>W10317</v>
          </cell>
          <cell r="C592" t="str">
            <v>R1</v>
          </cell>
          <cell r="D592" t="str">
            <v>R</v>
          </cell>
          <cell r="E592" t="str">
            <v>Peace Enterprises ( India) Pvt Ltd-1</v>
          </cell>
          <cell r="F592" t="str">
            <v>353, Bhartia's Road, Sidhpudur ( PO), Gandhipuram, Coibatore-641044</v>
          </cell>
          <cell r="I592" t="str">
            <v>South</v>
          </cell>
        </row>
        <row r="593">
          <cell r="B593" t="str">
            <v>W10318</v>
          </cell>
          <cell r="C593" t="str">
            <v>R1</v>
          </cell>
          <cell r="D593" t="str">
            <v>R</v>
          </cell>
          <cell r="E593" t="str">
            <v>D Srinivas Rao-Sri Vijaya Diagnostics</v>
          </cell>
          <cell r="F593" t="str">
            <v>Hanamkanda, Distt Warangal-506001, opp. PO Ranna Darwaza, Chowrastha</v>
          </cell>
          <cell r="I593" t="str">
            <v>South</v>
          </cell>
        </row>
        <row r="594">
          <cell r="B594" t="str">
            <v>W10319</v>
          </cell>
          <cell r="C594" t="str">
            <v>R1</v>
          </cell>
          <cell r="D594" t="str">
            <v>R</v>
          </cell>
          <cell r="E594" t="str">
            <v xml:space="preserve">V Rambabu </v>
          </cell>
          <cell r="F594" t="str">
            <v>Cri Ramsai Scan Centre, Chennur Road, Mancherial, Adilabad Distt</v>
          </cell>
          <cell r="I594" t="str">
            <v>South</v>
          </cell>
        </row>
        <row r="595">
          <cell r="B595" t="str">
            <v>W10320</v>
          </cell>
          <cell r="C595" t="str">
            <v>R1</v>
          </cell>
          <cell r="D595" t="str">
            <v>R</v>
          </cell>
          <cell r="E595" t="str">
            <v>S Rajalakshmi</v>
          </cell>
          <cell r="F595" t="str">
            <v>Rakki Road, 29-30, Orgadam Road, Amballur , Chennai-53</v>
          </cell>
          <cell r="I595" t="str">
            <v>South</v>
          </cell>
        </row>
        <row r="596">
          <cell r="B596" t="str">
            <v>W10321</v>
          </cell>
          <cell r="C596" t="str">
            <v>R3</v>
          </cell>
          <cell r="D596" t="str">
            <v>NA</v>
          </cell>
          <cell r="E596" t="str">
            <v>Manipal Academy of Higher Education-MAHE</v>
          </cell>
          <cell r="F596" t="str">
            <v>manipal Hospital, Bangalore</v>
          </cell>
          <cell r="I596" t="str">
            <v>South</v>
          </cell>
        </row>
        <row r="597">
          <cell r="B597" t="str">
            <v>W10322</v>
          </cell>
          <cell r="C597" t="str">
            <v>R1</v>
          </cell>
          <cell r="D597" t="str">
            <v>R</v>
          </cell>
          <cell r="E597" t="str">
            <v>Nivedita Bakshi</v>
          </cell>
          <cell r="F597" t="str">
            <v>Saharda Nursing Home, 110 Magan Nathuram Road, Sonapur Lane, Kurla ( west), Mumbai-400070</v>
          </cell>
          <cell r="I597" t="str">
            <v>West</v>
          </cell>
        </row>
        <row r="598">
          <cell r="B598" t="str">
            <v>W10323</v>
          </cell>
          <cell r="C598" t="str">
            <v>R1</v>
          </cell>
          <cell r="D598" t="str">
            <v>R</v>
          </cell>
          <cell r="E598" t="str">
            <v>K Varaprasad</v>
          </cell>
          <cell r="F598" t="str">
            <v>Help Hospitals, Behind Victoria Museum, M G Road, Vijaywada-520002</v>
          </cell>
          <cell r="I598" t="str">
            <v>South</v>
          </cell>
        </row>
        <row r="599">
          <cell r="B599" t="str">
            <v>W10324</v>
          </cell>
          <cell r="C599" t="str">
            <v>R1</v>
          </cell>
          <cell r="D599" t="str">
            <v>R</v>
          </cell>
          <cell r="E599" t="str">
            <v>Chitra Devi</v>
          </cell>
          <cell r="F599" t="str">
            <v>Vaishali Digestive Disease Care no. 159, Salai Road, Thillai Nagar, Tiruchirapalli-620018</v>
          </cell>
          <cell r="I599" t="str">
            <v>South</v>
          </cell>
        </row>
        <row r="600">
          <cell r="B600" t="str">
            <v>W10325</v>
          </cell>
          <cell r="C600" t="str">
            <v>R1</v>
          </cell>
          <cell r="D600" t="str">
            <v>R</v>
          </cell>
          <cell r="E600" t="str">
            <v>Peace Enterprises ( India) Pvt Ltd-2</v>
          </cell>
          <cell r="F600" t="str">
            <v>353, Bhartia's Road, Sidhpudur ( PO), Gandhipuram, Coibatore-641044</v>
          </cell>
          <cell r="I600" t="str">
            <v>South</v>
          </cell>
        </row>
        <row r="601">
          <cell r="B601" t="str">
            <v>W10326</v>
          </cell>
          <cell r="C601" t="str">
            <v>R1</v>
          </cell>
          <cell r="D601" t="str">
            <v>R</v>
          </cell>
          <cell r="E601" t="str">
            <v>Suman Ultrasound Scanning Centre</v>
          </cell>
          <cell r="F601" t="str">
            <v>No. 9/1, Vikram Complex, Dr Rajkumar Road, Rajaji Nagar, Bangalore-10</v>
          </cell>
          <cell r="I601" t="str">
            <v>South</v>
          </cell>
        </row>
        <row r="602">
          <cell r="B602" t="str">
            <v>W10327</v>
          </cell>
          <cell r="C602" t="str">
            <v>R1</v>
          </cell>
          <cell r="D602" t="str">
            <v>R</v>
          </cell>
          <cell r="E602" t="str">
            <v>Manoj D Pritnani - Maitri Imaging Centre</v>
          </cell>
          <cell r="F602" t="str">
            <v>Maitri Imaging Centre, Maharaja Complex, Near Bhopal Park, Maya Cinems Road, Kuber Nagar, Ahamedabad</v>
          </cell>
          <cell r="I602" t="str">
            <v>West</v>
          </cell>
        </row>
        <row r="603">
          <cell r="B603" t="str">
            <v>W10328</v>
          </cell>
          <cell r="C603" t="str">
            <v>R1</v>
          </cell>
          <cell r="D603" t="str">
            <v>R</v>
          </cell>
          <cell r="E603" t="str">
            <v>Parakh X-ray &amp; US Clinic</v>
          </cell>
          <cell r="F603" t="str">
            <v>Near kampoo Busstand, Kamploo, Gawalior, MP</v>
          </cell>
          <cell r="I603" t="str">
            <v>North</v>
          </cell>
        </row>
        <row r="604">
          <cell r="B604" t="str">
            <v>W10329</v>
          </cell>
          <cell r="C604" t="str">
            <v>R1</v>
          </cell>
          <cell r="D604" t="str">
            <v>R</v>
          </cell>
          <cell r="E604" t="str">
            <v>Infertility Institute &amp; Research Centre Pvt Ltd-Mamta Shenoy</v>
          </cell>
          <cell r="F604" t="str">
            <v>9-1-192, St Mary's Road, Opp. Prashant Theatre, Secundrabad-500003</v>
          </cell>
          <cell r="I604" t="str">
            <v>South</v>
          </cell>
        </row>
        <row r="605">
          <cell r="B605" t="str">
            <v>W10330</v>
          </cell>
          <cell r="C605" t="str">
            <v>R1</v>
          </cell>
          <cell r="D605" t="str">
            <v>R</v>
          </cell>
          <cell r="E605" t="str">
            <v>Asha Laad</v>
          </cell>
          <cell r="F605" t="str">
            <v>Dewas Sonography Centre, 162 Bhagat Singh Marg, Dewas-455001, MP</v>
          </cell>
          <cell r="I605" t="str">
            <v>North</v>
          </cell>
        </row>
        <row r="606">
          <cell r="B606" t="str">
            <v>W10331</v>
          </cell>
          <cell r="C606" t="str">
            <v>R1</v>
          </cell>
          <cell r="D606" t="str">
            <v>R</v>
          </cell>
          <cell r="E606" t="str">
            <v>Govind Reddy</v>
          </cell>
          <cell r="F606" t="str">
            <v>Padma Chandra Kidney Centre, Nalanda Complex, Kurnool</v>
          </cell>
          <cell r="I606" t="str">
            <v>South</v>
          </cell>
        </row>
        <row r="607">
          <cell r="B607" t="str">
            <v>W10332</v>
          </cell>
          <cell r="C607" t="str">
            <v>R1</v>
          </cell>
          <cell r="D607" t="str">
            <v>R</v>
          </cell>
          <cell r="E607" t="str">
            <v>Udit Avashia</v>
          </cell>
          <cell r="F607" t="str">
            <v>24, Ist Floor, Darya sarag Ice Cream Factory Compound, Mahim Road, Palghar ( W ), Palghar</v>
          </cell>
          <cell r="I607" t="str">
            <v>West</v>
          </cell>
        </row>
        <row r="608">
          <cell r="B608" t="str">
            <v>W10333</v>
          </cell>
          <cell r="C608" t="str">
            <v>R1</v>
          </cell>
          <cell r="D608" t="str">
            <v>R</v>
          </cell>
          <cell r="E608" t="str">
            <v>Srinivasa Cardiology Centre Pvt Ltd</v>
          </cell>
          <cell r="F608" t="str">
            <v>Miller Tank Bund Road, Bangalore-560052</v>
          </cell>
          <cell r="I608" t="str">
            <v>South</v>
          </cell>
        </row>
        <row r="609">
          <cell r="B609" t="str">
            <v>W10334</v>
          </cell>
          <cell r="C609" t="str">
            <v>R1</v>
          </cell>
          <cell r="D609" t="str">
            <v>R</v>
          </cell>
          <cell r="E609" t="str">
            <v>Durgabai Heart Centre Pvt Ltd-Andhra Mahila Sabha</v>
          </cell>
          <cell r="F609" t="str">
            <v>C/o Andhra Mahila Sabha, Durgabai Hospital, Vidyanagar, Hyd</v>
          </cell>
          <cell r="I609" t="str">
            <v>South</v>
          </cell>
        </row>
        <row r="610">
          <cell r="B610" t="str">
            <v>W10335</v>
          </cell>
          <cell r="C610" t="str">
            <v>R1</v>
          </cell>
          <cell r="D610" t="str">
            <v>R</v>
          </cell>
          <cell r="E610" t="str">
            <v xml:space="preserve">Tuticorin CT Scan &amp; Research Institute Ltd </v>
          </cell>
          <cell r="F610" t="str">
            <v>218, North Car Street, Tuticorin-628002</v>
          </cell>
          <cell r="I610" t="str">
            <v>South</v>
          </cell>
        </row>
        <row r="611">
          <cell r="B611" t="str">
            <v>W10336</v>
          </cell>
          <cell r="C611" t="str">
            <v>R1</v>
          </cell>
          <cell r="D611" t="str">
            <v>R</v>
          </cell>
          <cell r="E611" t="str">
            <v>Sapthagiri Digital Imaging Centre Pvt Ltd-2</v>
          </cell>
          <cell r="F611" t="str">
            <v>No.522, Near 11th Cross,Samige Road, Malliswaram, Bangalore-560055</v>
          </cell>
          <cell r="I611" t="str">
            <v>South</v>
          </cell>
        </row>
        <row r="612">
          <cell r="B612" t="str">
            <v>W10337</v>
          </cell>
          <cell r="C612" t="str">
            <v>R1</v>
          </cell>
          <cell r="D612" t="str">
            <v>R</v>
          </cell>
          <cell r="E612" t="str">
            <v>Siddhartha Healthcare Ltd-2</v>
          </cell>
          <cell r="F612" t="str">
            <v>3-6-287, Hyderguda, Hyderabad-500029</v>
          </cell>
          <cell r="I612" t="str">
            <v>South</v>
          </cell>
        </row>
        <row r="613">
          <cell r="B613" t="str">
            <v>W10338</v>
          </cell>
          <cell r="C613" t="str">
            <v>R1</v>
          </cell>
          <cell r="D613" t="str">
            <v>R</v>
          </cell>
          <cell r="E613" t="str">
            <v>Anita Chaudhary</v>
          </cell>
          <cell r="F613" t="str">
            <v>Lakshmi Nagar, Near Roadways Bus Depot, Sikar, Rajasthan</v>
          </cell>
          <cell r="I613" t="str">
            <v>North</v>
          </cell>
        </row>
        <row r="614">
          <cell r="B614" t="str">
            <v>W10339</v>
          </cell>
          <cell r="C614" t="str">
            <v>R1</v>
          </cell>
          <cell r="D614" t="str">
            <v>R</v>
          </cell>
          <cell r="E614" t="str">
            <v>Usha Cardiac Centre Limited</v>
          </cell>
          <cell r="F614" t="str">
            <v>39-2-11, Pitchaich Street, M G Road, labbipet, Vijaywada-520010</v>
          </cell>
          <cell r="I614" t="str">
            <v>South</v>
          </cell>
        </row>
        <row r="615">
          <cell r="B615" t="str">
            <v>W10340</v>
          </cell>
          <cell r="C615" t="str">
            <v>R1</v>
          </cell>
          <cell r="D615" t="str">
            <v>R</v>
          </cell>
          <cell r="E615" t="str">
            <v>Sovereign Scanners Pvt Ltd</v>
          </cell>
          <cell r="F615" t="str">
            <v>Neelkantha, Diwanpara Road, Bhawnagar-364001</v>
          </cell>
          <cell r="I615" t="str">
            <v>West</v>
          </cell>
        </row>
        <row r="616">
          <cell r="B616" t="str">
            <v>W10341</v>
          </cell>
          <cell r="C616" t="str">
            <v>R1</v>
          </cell>
          <cell r="D616" t="str">
            <v>R</v>
          </cell>
          <cell r="E616" t="str">
            <v>Tirupal Reddy</v>
          </cell>
          <cell r="F616" t="str">
            <v>H No. 46/679-1, Budhwarpetta, Kurnool, AP</v>
          </cell>
          <cell r="I616" t="str">
            <v>South</v>
          </cell>
        </row>
        <row r="617">
          <cell r="B617" t="str">
            <v>W10342</v>
          </cell>
          <cell r="C617" t="str">
            <v>R1</v>
          </cell>
          <cell r="D617" t="str">
            <v>R</v>
          </cell>
          <cell r="E617" t="str">
            <v>S Thanaraj</v>
          </cell>
          <cell r="F617" t="str">
            <v>Sangeetha Hospital, Puthiampathur-628402</v>
          </cell>
          <cell r="I617" t="str">
            <v>South</v>
          </cell>
        </row>
        <row r="618">
          <cell r="B618" t="str">
            <v>W10343</v>
          </cell>
          <cell r="C618" t="str">
            <v>R1</v>
          </cell>
          <cell r="D618" t="str">
            <v>R</v>
          </cell>
          <cell r="E618" t="str">
            <v>Dora Edward</v>
          </cell>
          <cell r="F618" t="str">
            <v>J E Hospital, Manglapuram, Kadayanallus-627751</v>
          </cell>
          <cell r="I618" t="str">
            <v>South</v>
          </cell>
        </row>
        <row r="619">
          <cell r="B619" t="str">
            <v>W10344</v>
          </cell>
          <cell r="C619" t="str">
            <v>R1</v>
          </cell>
          <cell r="D619" t="str">
            <v>R</v>
          </cell>
          <cell r="E619" t="str">
            <v>Ashok Kamble- Yavatmal  CT Scan Centre</v>
          </cell>
          <cell r="F619" t="str">
            <v>Yawatmal CT Scan Centre, Datta Chowk, Tawatmal-455001</v>
          </cell>
          <cell r="I619" t="str">
            <v>West</v>
          </cell>
        </row>
        <row r="620">
          <cell r="B620" t="str">
            <v>W10345</v>
          </cell>
          <cell r="C620" t="str">
            <v>R1</v>
          </cell>
          <cell r="D620" t="str">
            <v>R</v>
          </cell>
          <cell r="E620" t="str">
            <v>Millenum Imaging Pvt Ltd</v>
          </cell>
          <cell r="F620" t="str">
            <v>Vijaya Heakthcare Center Campus, Vadalpanai, Chennai-600026</v>
          </cell>
          <cell r="I620" t="str">
            <v>South</v>
          </cell>
        </row>
        <row r="621">
          <cell r="B621" t="str">
            <v>W10346</v>
          </cell>
          <cell r="C621" t="str">
            <v>R1</v>
          </cell>
          <cell r="D621" t="str">
            <v>R</v>
          </cell>
          <cell r="E621" t="str">
            <v>Kamala Shanmugam</v>
          </cell>
          <cell r="F621" t="str">
            <v>Super Scans, Kaliappa Pillai Street, Tuticorin-628001</v>
          </cell>
          <cell r="I621" t="str">
            <v>South</v>
          </cell>
        </row>
        <row r="622">
          <cell r="B622" t="str">
            <v>W10347</v>
          </cell>
          <cell r="C622" t="str">
            <v>R1</v>
          </cell>
          <cell r="D622" t="str">
            <v>R</v>
          </cell>
          <cell r="E622" t="str">
            <v>Sanjay Dhawane</v>
          </cell>
          <cell r="F622" t="str">
            <v>12a, Tirthankar Nagar, Vardhman Nagar, Camp Road, Malegaon, Sistt Nasik, Maharashtra</v>
          </cell>
          <cell r="I622" t="str">
            <v>West</v>
          </cell>
        </row>
        <row r="623">
          <cell r="B623" t="str">
            <v>W10348</v>
          </cell>
          <cell r="C623" t="str">
            <v>R1</v>
          </cell>
          <cell r="D623" t="str">
            <v>R</v>
          </cell>
          <cell r="E623" t="str">
            <v>Ameen Kitekar-1</v>
          </cell>
          <cell r="F623" t="str">
            <v>Flat Ni.11, 267/G, Sajhil Building, "A" Wing, Anasagar, Marg Kural West, Mumbai</v>
          </cell>
          <cell r="I623" t="str">
            <v>West</v>
          </cell>
        </row>
        <row r="624">
          <cell r="B624" t="str">
            <v>W10349</v>
          </cell>
          <cell r="C624" t="str">
            <v>R1</v>
          </cell>
          <cell r="D624" t="str">
            <v>R</v>
          </cell>
          <cell r="E624" t="str">
            <v>Mamta Bhomiya</v>
          </cell>
          <cell r="F624" t="str">
            <v>A-23, New Nikita Park, Near Sun &amp; step Club, Memnahar, Ahamedabad</v>
          </cell>
          <cell r="I624" t="str">
            <v>West</v>
          </cell>
        </row>
        <row r="625">
          <cell r="B625" t="str">
            <v>W10350</v>
          </cell>
          <cell r="C625" t="str">
            <v>R1</v>
          </cell>
          <cell r="D625" t="str">
            <v>R</v>
          </cell>
          <cell r="E625" t="str">
            <v>Okay Diagnostic Centre Pvt Ltd</v>
          </cell>
          <cell r="F625" t="str">
            <v>4, Vivekanand Marg, Opp SMS Hospital, C scheme, Jaipur</v>
          </cell>
          <cell r="I625" t="str">
            <v>North</v>
          </cell>
        </row>
        <row r="626">
          <cell r="B626" t="str">
            <v>W10351</v>
          </cell>
          <cell r="C626" t="str">
            <v>R1</v>
          </cell>
          <cell r="D626" t="str">
            <v>R</v>
          </cell>
          <cell r="E626" t="str">
            <v>CMC -Ludhiana</v>
          </cell>
          <cell r="F626" t="str">
            <v>The Christian Medical Society, Ludhiana-141008</v>
          </cell>
          <cell r="I626" t="str">
            <v>North</v>
          </cell>
        </row>
        <row r="627">
          <cell r="B627" t="str">
            <v>W10352</v>
          </cell>
          <cell r="C627" t="str">
            <v>R1</v>
          </cell>
          <cell r="D627" t="str">
            <v>R</v>
          </cell>
          <cell r="E627" t="str">
            <v>K Raju-RK Hospital-1</v>
          </cell>
          <cell r="F627" t="str">
            <v>R K Hospital, Five Road, , Salem-636004</v>
          </cell>
          <cell r="I627" t="str">
            <v>South</v>
          </cell>
        </row>
        <row r="628">
          <cell r="B628" t="str">
            <v>W10353</v>
          </cell>
          <cell r="C628" t="str">
            <v>R1</v>
          </cell>
          <cell r="D628" t="str">
            <v>R</v>
          </cell>
          <cell r="E628" t="str">
            <v>Surya Scans &amp; Color Doppler Centre</v>
          </cell>
          <cell r="F628" t="str">
            <v>N M Hospital, 3275, Ramakrishana Puram, Thanjavoor-613007</v>
          </cell>
          <cell r="I628" t="str">
            <v>South</v>
          </cell>
        </row>
        <row r="629">
          <cell r="B629" t="str">
            <v>W10354</v>
          </cell>
          <cell r="C629" t="str">
            <v>R1</v>
          </cell>
          <cell r="D629" t="str">
            <v>R</v>
          </cell>
          <cell r="E629" t="str">
            <v>Chiranjeev Enterprises Pvt Ltd-Dr.Ninad Naphde</v>
          </cell>
          <cell r="F629" t="str">
            <v>7, Chakradhari Niwas, 3, Petrol Pumps, Shivtekdi Marg, Thane-400602</v>
          </cell>
          <cell r="I629" t="str">
            <v>West</v>
          </cell>
        </row>
        <row r="630">
          <cell r="B630" t="str">
            <v>W10355</v>
          </cell>
          <cell r="C630" t="str">
            <v>R1</v>
          </cell>
          <cell r="D630" t="str">
            <v>R</v>
          </cell>
          <cell r="E630" t="str">
            <v>Sewa Polyclinic &amp; Diagnostic Centre</v>
          </cell>
          <cell r="F630" t="str">
            <v>Topkhana Road, Rampur-244901, UP-244901</v>
          </cell>
          <cell r="I630" t="str">
            <v>North</v>
          </cell>
        </row>
        <row r="631">
          <cell r="B631" t="str">
            <v>W10356</v>
          </cell>
          <cell r="C631" t="str">
            <v>R1</v>
          </cell>
          <cell r="D631" t="str">
            <v>R</v>
          </cell>
          <cell r="E631" t="str">
            <v>Shrikant Solav</v>
          </cell>
          <cell r="F631" t="str">
            <v>12, Preeti Prakashan Society, Udaya Bang, Solapur Road, Pune-36, Maharashtra</v>
          </cell>
          <cell r="I631" t="str">
            <v>West</v>
          </cell>
        </row>
        <row r="632">
          <cell r="B632" t="str">
            <v>W10357</v>
          </cell>
          <cell r="C632" t="str">
            <v>R1</v>
          </cell>
          <cell r="D632" t="str">
            <v>R</v>
          </cell>
          <cell r="E632" t="str">
            <v>UMKAL Hospital Pvt Ltd</v>
          </cell>
          <cell r="F632" t="str">
            <v>A-520, Sushant Lok, Gurgaon-122002, Haryana</v>
          </cell>
          <cell r="I632" t="str">
            <v>North</v>
          </cell>
        </row>
        <row r="633">
          <cell r="B633" t="str">
            <v>W10358</v>
          </cell>
          <cell r="C633" t="str">
            <v>R1</v>
          </cell>
          <cell r="D633" t="str">
            <v>R</v>
          </cell>
          <cell r="E633" t="str">
            <v>C-Well Lasik Pvt Ltd</v>
          </cell>
          <cell r="F633" t="str">
            <v>15/246, Brindavan, Nellore-AndhraPradesh</v>
          </cell>
          <cell r="I633" t="str">
            <v>South</v>
          </cell>
        </row>
        <row r="634">
          <cell r="B634" t="str">
            <v>W10358-R</v>
          </cell>
          <cell r="C634" t="str">
            <v>R1</v>
          </cell>
          <cell r="D634" t="str">
            <v>R</v>
          </cell>
          <cell r="E634" t="str">
            <v>C-Well Lasik Pvt Ltd-R</v>
          </cell>
          <cell r="F634" t="str">
            <v>15/246, Brindavan, Nellore-AndhraPradesh</v>
          </cell>
          <cell r="I634" t="str">
            <v>South</v>
          </cell>
        </row>
        <row r="635">
          <cell r="B635" t="str">
            <v>W10359</v>
          </cell>
          <cell r="C635" t="str">
            <v>R3</v>
          </cell>
          <cell r="D635" t="str">
            <v>R</v>
          </cell>
          <cell r="E635" t="str">
            <v>Vinayaka Medical Care Centre Pvt Ltd</v>
          </cell>
          <cell r="F635" t="str">
            <v>Sankari Main Road, Ariyanoor, Salem-636308</v>
          </cell>
          <cell r="I635" t="str">
            <v>South</v>
          </cell>
        </row>
        <row r="636">
          <cell r="B636" t="str">
            <v>W10360</v>
          </cell>
          <cell r="C636" t="str">
            <v>R1</v>
          </cell>
          <cell r="D636" t="str">
            <v>R</v>
          </cell>
          <cell r="E636" t="str">
            <v>Vrindha Diagnostic Centre P. Ltd-2</v>
          </cell>
          <cell r="F636" t="str">
            <v>926, Vikas Puri, Vikas Kunj, Delhi</v>
          </cell>
          <cell r="I636" t="str">
            <v>North</v>
          </cell>
        </row>
        <row r="637">
          <cell r="B637" t="str">
            <v>W10361</v>
          </cell>
          <cell r="C637" t="str">
            <v>R1</v>
          </cell>
          <cell r="D637" t="str">
            <v>R</v>
          </cell>
          <cell r="E637" t="str">
            <v>Anoop Kumar Dewan -Accuscan</v>
          </cell>
          <cell r="F637" t="str">
            <v>ACCUSCAN, Mdical Diag Centre, SC Goswami Road, Panbazar, Guwahati-781001</v>
          </cell>
          <cell r="I637" t="str">
            <v>East</v>
          </cell>
        </row>
        <row r="638">
          <cell r="B638" t="str">
            <v>W10362</v>
          </cell>
          <cell r="C638" t="str">
            <v>R1</v>
          </cell>
          <cell r="D638" t="str">
            <v>R</v>
          </cell>
          <cell r="E638" t="str">
            <v>Rajendra Patel</v>
          </cell>
          <cell r="F638" t="str">
            <v>Shradha Prasuti Grah &amp; Nursing Home, Karsandas Chamber, Mr Bhatnagar, Ranip, Ahamedabad-382480</v>
          </cell>
          <cell r="I638" t="str">
            <v>West</v>
          </cell>
        </row>
        <row r="639">
          <cell r="B639" t="str">
            <v>W10363</v>
          </cell>
          <cell r="C639" t="str">
            <v>R1</v>
          </cell>
          <cell r="D639" t="str">
            <v>R</v>
          </cell>
          <cell r="E639" t="str">
            <v>Shailaja Ballal</v>
          </cell>
          <cell r="F639" t="str">
            <v xml:space="preserve">Dr Ballat Sonography Centre, Sindhi Colony, Jai Road, Nasik Road,-422101 </v>
          </cell>
          <cell r="I639" t="str">
            <v>West</v>
          </cell>
        </row>
        <row r="640">
          <cell r="B640" t="str">
            <v>W10364</v>
          </cell>
          <cell r="C640" t="str">
            <v>R1</v>
          </cell>
          <cell r="D640" t="str">
            <v>R</v>
          </cell>
          <cell r="E640" t="str">
            <v>Maushami Joshi</v>
          </cell>
          <cell r="F640" t="str">
            <v>Sanjivani Maternity &amp; Nursing Home, 229/ A, Hill Road, Shivaji Nagar, Nagpur-440010</v>
          </cell>
          <cell r="I640" t="str">
            <v>West</v>
          </cell>
        </row>
        <row r="641">
          <cell r="B641" t="str">
            <v>W10365</v>
          </cell>
          <cell r="C641" t="str">
            <v>R1</v>
          </cell>
          <cell r="D641" t="str">
            <v>R</v>
          </cell>
          <cell r="E641" t="str">
            <v>Vrindha Diagnostic Centre P. Ltd-3</v>
          </cell>
          <cell r="F641" t="str">
            <v>926, Vikas Puri, Vikas Kunj, Delhi</v>
          </cell>
          <cell r="I641" t="str">
            <v>North</v>
          </cell>
        </row>
        <row r="642">
          <cell r="B642" t="str">
            <v>W10366</v>
          </cell>
          <cell r="C642" t="str">
            <v>R1</v>
          </cell>
          <cell r="D642" t="str">
            <v>R</v>
          </cell>
          <cell r="E642" t="str">
            <v>K Raju-RK Hospital-2</v>
          </cell>
          <cell r="F642" t="str">
            <v>R K Hospital, Five Road, , Salem-636004</v>
          </cell>
          <cell r="I642" t="str">
            <v>South</v>
          </cell>
        </row>
        <row r="643">
          <cell r="B643" t="str">
            <v>W10367</v>
          </cell>
          <cell r="C643" t="str">
            <v>R1</v>
          </cell>
          <cell r="D643" t="str">
            <v>R</v>
          </cell>
          <cell r="E643" t="str">
            <v>Kasturi Medical Research Centre (P) Ltd</v>
          </cell>
          <cell r="F643" t="str">
            <v>Diamond Harbour Road, 3A, Busstand, PO Joka-743512, WB</v>
          </cell>
          <cell r="I643" t="str">
            <v>East</v>
          </cell>
        </row>
        <row r="644">
          <cell r="B644" t="str">
            <v>W10368</v>
          </cell>
          <cell r="C644" t="str">
            <v>R1</v>
          </cell>
          <cell r="D644" t="str">
            <v>R</v>
          </cell>
          <cell r="E644" t="str">
            <v>AMA Medical Centre</v>
          </cell>
          <cell r="F644" t="str">
            <v>AMA Medical Centre, 62, Kachcha Ahata, Aminabad, Lucknow, UP</v>
          </cell>
          <cell r="I644" t="str">
            <v>North</v>
          </cell>
        </row>
        <row r="645">
          <cell r="B645" t="str">
            <v>W10369</v>
          </cell>
          <cell r="C645" t="str">
            <v>Not yet recd</v>
          </cell>
          <cell r="D645" t="str">
            <v>R</v>
          </cell>
          <cell r="E645" t="str">
            <v>Narayana Hrudalaya Pvt Ltd-Dr Devi Shetty Prasad</v>
          </cell>
          <cell r="F645" t="str">
            <v>No. 258/A, Bommasandra Industrial Area, Bangalore-562158</v>
          </cell>
          <cell r="I645" t="str">
            <v>South</v>
          </cell>
        </row>
        <row r="646">
          <cell r="B646" t="str">
            <v>W10370</v>
          </cell>
          <cell r="C646" t="str">
            <v>R1</v>
          </cell>
          <cell r="D646" t="str">
            <v>R</v>
          </cell>
          <cell r="E646" t="str">
            <v>North City Diagnostic &amp; Research Centre Pvt Ltd</v>
          </cell>
          <cell r="F646" t="str">
            <v>35A, Canal West Road, Gauribari, Calcutta-700004</v>
          </cell>
          <cell r="I646" t="str">
            <v>East</v>
          </cell>
        </row>
        <row r="647">
          <cell r="B647" t="str">
            <v>W10371</v>
          </cell>
          <cell r="C647" t="str">
            <v>R1</v>
          </cell>
          <cell r="D647" t="str">
            <v>R</v>
          </cell>
          <cell r="E647" t="str">
            <v>Bhagalpur Diagnostic Centre Pvt Ltd</v>
          </cell>
          <cell r="F647" t="str">
            <v>Mahatama Gandhi Road, Bhagalpur-812001</v>
          </cell>
          <cell r="I647" t="str">
            <v>North</v>
          </cell>
        </row>
        <row r="648">
          <cell r="B648" t="str">
            <v>W10372</v>
          </cell>
          <cell r="C648" t="str">
            <v>R1</v>
          </cell>
          <cell r="D648" t="str">
            <v>R</v>
          </cell>
          <cell r="E648" t="str">
            <v>Mediview Diagnostic Services Pvt Ltd</v>
          </cell>
          <cell r="F648" t="str">
            <v>B-8/7 ( CA) Kalyani, 741235, Near Ghoshpara Station, West Bengal</v>
          </cell>
          <cell r="I648" t="str">
            <v>East</v>
          </cell>
        </row>
        <row r="649">
          <cell r="B649" t="str">
            <v>W10373</v>
          </cell>
          <cell r="C649" t="str">
            <v>R1</v>
          </cell>
          <cell r="D649" t="str">
            <v>R</v>
          </cell>
          <cell r="E649" t="str">
            <v>Kanpur Scans Pvt Ltd</v>
          </cell>
          <cell r="F649" t="str">
            <v>113/58A, Swaroop Nagar,Kanpur-208002, UttarPradesh</v>
          </cell>
          <cell r="I649" t="str">
            <v>North</v>
          </cell>
        </row>
        <row r="650">
          <cell r="B650" t="str">
            <v>W10374</v>
          </cell>
          <cell r="C650" t="str">
            <v>R1</v>
          </cell>
          <cell r="D650" t="str">
            <v>R</v>
          </cell>
          <cell r="E650" t="str">
            <v>Mary Jenova</v>
          </cell>
          <cell r="F650" t="str">
            <v>Joseph Nursing Home, 54, Koonankulam North Street, Shrivilliputtur-626125</v>
          </cell>
          <cell r="I650" t="str">
            <v>South</v>
          </cell>
        </row>
        <row r="651">
          <cell r="B651" t="str">
            <v>W10375</v>
          </cell>
          <cell r="C651" t="str">
            <v>R1</v>
          </cell>
          <cell r="D651" t="str">
            <v>R</v>
          </cell>
          <cell r="E651" t="str">
            <v>John Titus</v>
          </cell>
          <cell r="F651" t="str">
            <v xml:space="preserve">Vijaya Gardens, 80/1, Marvankudiesuppu, Nagercoil-629004 </v>
          </cell>
          <cell r="I651" t="str">
            <v>South</v>
          </cell>
        </row>
        <row r="652">
          <cell r="B652" t="str">
            <v>W10376</v>
          </cell>
          <cell r="C652" t="str">
            <v>R1</v>
          </cell>
          <cell r="D652" t="str">
            <v>R</v>
          </cell>
          <cell r="E652" t="str">
            <v>Ameen Kitekar-2</v>
          </cell>
          <cell r="F652" t="str">
            <v>Flat Ni.11, 267/G, Sajhil Building, "A" Wing, Anasagar, Marg Kural West, Mumbai</v>
          </cell>
          <cell r="I652" t="str">
            <v>West</v>
          </cell>
        </row>
        <row r="653">
          <cell r="B653" t="str">
            <v>W10377</v>
          </cell>
          <cell r="C653" t="str">
            <v>R1</v>
          </cell>
          <cell r="D653" t="str">
            <v>R</v>
          </cell>
          <cell r="E653" t="str">
            <v>Mayur Medical Devices</v>
          </cell>
          <cell r="F653" t="str">
            <v>Devises, 207, MPJ Chambers, Wakedwadi, Pune-411003</v>
          </cell>
          <cell r="I653" t="str">
            <v>West</v>
          </cell>
        </row>
        <row r="654">
          <cell r="B654" t="str">
            <v>W10378</v>
          </cell>
          <cell r="C654" t="str">
            <v>Not yet recd</v>
          </cell>
          <cell r="D654" t="str">
            <v>NA</v>
          </cell>
          <cell r="E654" t="str">
            <v>KIMS-1</v>
          </cell>
          <cell r="F654" t="str">
            <v>1st Floor, New Corporation Building, Polayam, Trivandrum-695033</v>
          </cell>
          <cell r="I654" t="str">
            <v>South</v>
          </cell>
        </row>
        <row r="655">
          <cell r="B655" t="str">
            <v>W10378-A</v>
          </cell>
          <cell r="D655" t="str">
            <v>NA</v>
          </cell>
          <cell r="E655" t="str">
            <v>KIMS-3</v>
          </cell>
          <cell r="F655" t="str">
            <v>1st Floor, New Corporation Building, Polayam, Trivandrum-695033</v>
          </cell>
          <cell r="I655" t="str">
            <v>South</v>
          </cell>
        </row>
        <row r="656">
          <cell r="B656" t="str">
            <v>W10378-Resch</v>
          </cell>
          <cell r="D656" t="str">
            <v>R</v>
          </cell>
          <cell r="E656" t="str">
            <v>KIMS</v>
          </cell>
          <cell r="I656" t="str">
            <v>South</v>
          </cell>
        </row>
        <row r="657">
          <cell r="B657" t="str">
            <v>W10379-A</v>
          </cell>
          <cell r="D657" t="str">
            <v>NA</v>
          </cell>
          <cell r="E657" t="str">
            <v>Lakeshore Hospital and Research Centre Limited-A</v>
          </cell>
          <cell r="F657" t="str">
            <v>35/58, C-1,Pearl Complex, NH47 Road, Palarivattam, Cochin-682025</v>
          </cell>
          <cell r="I657" t="str">
            <v>South</v>
          </cell>
        </row>
        <row r="658">
          <cell r="B658" t="str">
            <v>W10379-B</v>
          </cell>
          <cell r="D658" t="str">
            <v>NA</v>
          </cell>
          <cell r="E658" t="str">
            <v>Lakeshore Hospital and Research Centre Limited-B</v>
          </cell>
          <cell r="F658" t="str">
            <v>35/58, C-1,Pearl Complex, NH47 Road, Palarivattam, Cochin-682025</v>
          </cell>
          <cell r="I658" t="str">
            <v>South</v>
          </cell>
        </row>
        <row r="659">
          <cell r="B659" t="str">
            <v>W10380</v>
          </cell>
          <cell r="C659" t="str">
            <v>R1</v>
          </cell>
          <cell r="D659" t="str">
            <v>R</v>
          </cell>
          <cell r="E659" t="str">
            <v>Ameen Kitekar-3</v>
          </cell>
          <cell r="F659" t="str">
            <v>Flat Ni.11, 267/G, Sajhil Building, "A" Wing, Anasagar, Marg Kural West, Mumbai</v>
          </cell>
          <cell r="I659" t="str">
            <v>West</v>
          </cell>
        </row>
        <row r="660">
          <cell r="B660" t="str">
            <v>W10381</v>
          </cell>
          <cell r="C660" t="str">
            <v>R1</v>
          </cell>
          <cell r="D660" t="str">
            <v>R</v>
          </cell>
          <cell r="E660" t="str">
            <v>Satyashyam S Toshniwal</v>
          </cell>
          <cell r="F660" t="str">
            <v>Main Road, Kille, Dharoor, Distt Beed, Installed at : Hearcare Clinic,Opp, St Joseph School, Railway Line, Sholapur</v>
          </cell>
          <cell r="I660" t="str">
            <v>West</v>
          </cell>
        </row>
        <row r="661">
          <cell r="B661" t="str">
            <v>W10382</v>
          </cell>
          <cell r="C661" t="str">
            <v>R1</v>
          </cell>
          <cell r="D661" t="str">
            <v>R</v>
          </cell>
          <cell r="E661" t="str">
            <v>Cantonment Polyclinic &amp; Nursing Home</v>
          </cell>
          <cell r="F661" t="str">
            <v>64, (26), Spencer Road, Near Coles Park, Bangalore-560005</v>
          </cell>
          <cell r="I661" t="str">
            <v>South</v>
          </cell>
        </row>
        <row r="662">
          <cell r="B662" t="str">
            <v>W10383</v>
          </cell>
          <cell r="C662" t="str">
            <v>R1</v>
          </cell>
          <cell r="D662" t="str">
            <v>R</v>
          </cell>
          <cell r="E662" t="str">
            <v>SP Agnela</v>
          </cell>
          <cell r="F662" t="str">
            <v>9/17C, Singarathope, Ramnad,-623501</v>
          </cell>
          <cell r="I662" t="str">
            <v>South</v>
          </cell>
        </row>
        <row r="663">
          <cell r="B663" t="str">
            <v>W10384</v>
          </cell>
          <cell r="C663" t="str">
            <v>R1</v>
          </cell>
          <cell r="D663" t="str">
            <v>R</v>
          </cell>
          <cell r="E663" t="str">
            <v>Mahesh Sethi</v>
          </cell>
          <cell r="F663" t="str">
            <v>13/1075, Malviya Nagar, Jaipur-302017</v>
          </cell>
          <cell r="I663" t="str">
            <v>North</v>
          </cell>
        </row>
        <row r="664">
          <cell r="B664" t="str">
            <v>W10385</v>
          </cell>
          <cell r="C664" t="str">
            <v>R1</v>
          </cell>
          <cell r="D664" t="str">
            <v>R</v>
          </cell>
          <cell r="E664" t="str">
            <v>Harshwardhan Leeneshwar</v>
          </cell>
          <cell r="F664" t="str">
            <v>D-145/A Nirman Nagar Lane, No.6, Gautam Nagar, Jaipur-302019</v>
          </cell>
          <cell r="I664" t="str">
            <v>North</v>
          </cell>
        </row>
        <row r="665">
          <cell r="B665" t="str">
            <v>W10386</v>
          </cell>
          <cell r="C665" t="str">
            <v>R1</v>
          </cell>
          <cell r="D665" t="str">
            <v>R</v>
          </cell>
          <cell r="E665" t="str">
            <v>Rayalseema Hospitals</v>
          </cell>
          <cell r="F665" t="str">
            <v>No. 579, Tilak Road, Tirupati-575501 Andhra Pradesh</v>
          </cell>
          <cell r="I665" t="str">
            <v>South</v>
          </cell>
        </row>
        <row r="666">
          <cell r="B666" t="str">
            <v>W10387</v>
          </cell>
          <cell r="C666" t="str">
            <v>R1</v>
          </cell>
          <cell r="D666" t="str">
            <v>R</v>
          </cell>
          <cell r="E666" t="str">
            <v>S Mahendran</v>
          </cell>
          <cell r="F666" t="str">
            <v>Vaishnovi Clinic, NO. 77, Dwarka Apartments, Meddwakkam, Main Road, Madipakkam, Chennai-600091</v>
          </cell>
          <cell r="I666" t="str">
            <v>South</v>
          </cell>
        </row>
        <row r="667">
          <cell r="B667" t="str">
            <v>W10388</v>
          </cell>
          <cell r="C667" t="str">
            <v>R1</v>
          </cell>
          <cell r="D667" t="str">
            <v>R</v>
          </cell>
          <cell r="E667" t="str">
            <v>Vrindha Diagnostic Centre P. Ltd-4</v>
          </cell>
          <cell r="F667" t="str">
            <v>926, Vikas Puri, Vikas Kunj, Delhi</v>
          </cell>
          <cell r="I667" t="str">
            <v>North</v>
          </cell>
        </row>
        <row r="668">
          <cell r="B668" t="str">
            <v>W10389</v>
          </cell>
          <cell r="C668" t="str">
            <v>R1</v>
          </cell>
          <cell r="D668" t="str">
            <v>R</v>
          </cell>
          <cell r="E668" t="str">
            <v>Mamata Educational Society</v>
          </cell>
          <cell r="F668" t="str">
            <v>D-4, 4-2-161&lt; Police Hrg Colony, ratary Nagar, Khammam</v>
          </cell>
          <cell r="I668" t="str">
            <v>South</v>
          </cell>
        </row>
        <row r="669">
          <cell r="B669" t="str">
            <v>W10390</v>
          </cell>
          <cell r="C669" t="str">
            <v>R1</v>
          </cell>
          <cell r="D669" t="str">
            <v>R</v>
          </cell>
          <cell r="E669" t="str">
            <v>Lokmanya Medical Foundation</v>
          </cell>
          <cell r="F669" t="str">
            <v>Opposite Telco Factory, Chinchwad, Pune-411033</v>
          </cell>
          <cell r="I669" t="str">
            <v>West</v>
          </cell>
        </row>
        <row r="670">
          <cell r="B670" t="str">
            <v>W10391</v>
          </cell>
          <cell r="C670" t="str">
            <v>R1</v>
          </cell>
          <cell r="D670" t="str">
            <v>R</v>
          </cell>
          <cell r="E670" t="str">
            <v>Yashwant Barhate</v>
          </cell>
          <cell r="F670" t="str">
            <v>Vishwa Hospital, Balewadi, Phata Baner, Pune-410007</v>
          </cell>
          <cell r="I670" t="str">
            <v>West</v>
          </cell>
        </row>
        <row r="671">
          <cell r="B671" t="str">
            <v>W10392</v>
          </cell>
          <cell r="D671" t="str">
            <v>NA</v>
          </cell>
          <cell r="E671" t="str">
            <v>KIMS-2</v>
          </cell>
          <cell r="I671" t="str">
            <v>South</v>
          </cell>
        </row>
        <row r="672">
          <cell r="B672" t="str">
            <v>W10394</v>
          </cell>
          <cell r="C672" t="str">
            <v>R1</v>
          </cell>
          <cell r="D672" t="str">
            <v>R</v>
          </cell>
          <cell r="E672" t="str">
            <v>BI Jaffrey-2</v>
          </cell>
          <cell r="F672" t="str">
            <v>Madras CT Scan, 3-293, 2nd Avenue, Anna Nagar, Chennai-600040</v>
          </cell>
          <cell r="I672" t="str">
            <v>South</v>
          </cell>
        </row>
        <row r="673">
          <cell r="B673" t="str">
            <v>W10395</v>
          </cell>
          <cell r="C673" t="str">
            <v>R1</v>
          </cell>
          <cell r="D673" t="str">
            <v>R</v>
          </cell>
          <cell r="E673" t="str">
            <v>Madan Lal Mundra-Saraswati Chikitsalaya</v>
          </cell>
          <cell r="F673" t="str">
            <v>Saraswati Chikitsalya, Medical Store, University Road, Udaipur</v>
          </cell>
          <cell r="I673" t="str">
            <v>North</v>
          </cell>
        </row>
        <row r="674">
          <cell r="B674" t="str">
            <v>W10396</v>
          </cell>
          <cell r="C674" t="str">
            <v>R1</v>
          </cell>
          <cell r="D674" t="str">
            <v>R</v>
          </cell>
          <cell r="E674" t="str">
            <v>Anjula Chaudhary</v>
          </cell>
          <cell r="F674" t="str">
            <v>c-23/57, Hari Nagar, Amani Shah Road, Lankapuri Road, Shastri Nagar, Jaipur</v>
          </cell>
          <cell r="I674" t="str">
            <v>North</v>
          </cell>
        </row>
        <row r="675">
          <cell r="B675" t="str">
            <v>W10397</v>
          </cell>
          <cell r="D675" t="str">
            <v>NA</v>
          </cell>
          <cell r="E675" t="str">
            <v>CDR Healthcare Limited-3</v>
          </cell>
          <cell r="F675" t="str">
            <v>3-6-287, Hyderguda, Hyderabad 300 029</v>
          </cell>
          <cell r="I675" t="str">
            <v>South</v>
          </cell>
        </row>
        <row r="676">
          <cell r="B676" t="str">
            <v>W10397-A</v>
          </cell>
          <cell r="D676" t="str">
            <v>NA</v>
          </cell>
          <cell r="E676" t="str">
            <v>CDR Healthcare Limited-4</v>
          </cell>
          <cell r="F676" t="str">
            <v>3-6-287, Hyderguda, Hyderabad 300 029</v>
          </cell>
          <cell r="I676" t="str">
            <v>South</v>
          </cell>
        </row>
        <row r="677">
          <cell r="B677" t="str">
            <v>W10398</v>
          </cell>
          <cell r="D677" t="str">
            <v>NA</v>
          </cell>
          <cell r="E677" t="str">
            <v>Vijaya Medical Centre-4</v>
          </cell>
          <cell r="F677" t="str">
            <v>Zilla Parishasd Junction, Maharanipatteda, Vishakahapattnam, Vizag, Ph-566703/576329</v>
          </cell>
          <cell r="I677" t="str">
            <v>South</v>
          </cell>
        </row>
        <row r="678">
          <cell r="B678" t="str">
            <v>W10398-A</v>
          </cell>
          <cell r="D678" t="str">
            <v>NA</v>
          </cell>
          <cell r="E678" t="str">
            <v>Vijaya Medical Centre-5</v>
          </cell>
          <cell r="F678" t="str">
            <v>Zilla Parishasd Junction, Maharanipatteda, Vishakahapattnam, Vizag, Ph-0891/706712( Fax ),98491-10002</v>
          </cell>
          <cell r="I678" t="str">
            <v>South</v>
          </cell>
        </row>
        <row r="679">
          <cell r="B679" t="str">
            <v>W10399</v>
          </cell>
          <cell r="D679" t="str">
            <v>NA</v>
          </cell>
          <cell r="E679" t="str">
            <v>All India Heart Foundation-National Heart Institute</v>
          </cell>
          <cell r="F679" t="str">
            <v>Reg Office: 4874, Ist Floor, Ansari Road-24, Daryaganj, New Delhi, Ph-6414156/57/75</v>
          </cell>
          <cell r="I679" t="str">
            <v>North</v>
          </cell>
        </row>
        <row r="680">
          <cell r="B680" t="str">
            <v>W10400</v>
          </cell>
          <cell r="C680" t="str">
            <v>R1</v>
          </cell>
          <cell r="D680" t="str">
            <v>R</v>
          </cell>
          <cell r="E680" t="str">
            <v>Manika Biswas, Mediview, Kalyani</v>
          </cell>
          <cell r="F680" t="str">
            <v>B-8/7, Kalyani-741235, Ph-5824218/9682/4204/1441</v>
          </cell>
          <cell r="I680" t="str">
            <v>East</v>
          </cell>
        </row>
        <row r="681">
          <cell r="B681" t="str">
            <v>W10401</v>
          </cell>
          <cell r="C681" t="str">
            <v>R1</v>
          </cell>
          <cell r="D681" t="str">
            <v>R</v>
          </cell>
          <cell r="E681" t="str">
            <v>K Sushil Kumar</v>
          </cell>
          <cell r="F681" t="str">
            <v>Kamaraju Diagnostic Centre, Guntur-2, Andhra Pradesh, Ph-0863-355719</v>
          </cell>
          <cell r="I681" t="str">
            <v>South</v>
          </cell>
        </row>
        <row r="682">
          <cell r="B682" t="str">
            <v>W10402</v>
          </cell>
          <cell r="C682" t="str">
            <v>R1</v>
          </cell>
          <cell r="D682" t="str">
            <v>R</v>
          </cell>
          <cell r="E682" t="str">
            <v>PK Vijayakumar</v>
          </cell>
          <cell r="F682" t="str">
            <v>Main Road, maithandam-629165, Phone-04651-70135/73535</v>
          </cell>
          <cell r="I682" t="str">
            <v>South</v>
          </cell>
        </row>
        <row r="683">
          <cell r="B683" t="str">
            <v>W10403</v>
          </cell>
          <cell r="C683" t="str">
            <v>R1</v>
          </cell>
          <cell r="D683" t="str">
            <v>R</v>
          </cell>
          <cell r="E683" t="str">
            <v>N Ganapathy</v>
          </cell>
          <cell r="F683" t="str">
            <v>Dhanvantri Criticla Case Centre, 60-61, Poonkundranar Street, Kavungalpalayam, Erode-638003, Ph-0424211445</v>
          </cell>
          <cell r="I683" t="str">
            <v>South</v>
          </cell>
        </row>
        <row r="684">
          <cell r="B684" t="str">
            <v>W10404</v>
          </cell>
          <cell r="C684" t="str">
            <v>R1</v>
          </cell>
          <cell r="D684" t="str">
            <v>R</v>
          </cell>
          <cell r="E684" t="str">
            <v>K Senthilrajan</v>
          </cell>
          <cell r="F684" t="str">
            <v>No.1, 29th Cross Road, Opp. Indian Bank, L B Road, Indira Nagar, Chennai-20, Ph-044-20379</v>
          </cell>
          <cell r="I684" t="str">
            <v>South</v>
          </cell>
        </row>
        <row r="685">
          <cell r="B685" t="str">
            <v>W10405</v>
          </cell>
          <cell r="C685" t="str">
            <v>R1</v>
          </cell>
          <cell r="D685" t="str">
            <v>R</v>
          </cell>
          <cell r="E685" t="str">
            <v>S Arulraj</v>
          </cell>
          <cell r="F685" t="str">
            <v>145/5B, Jayaraj Road, Tuticorin-628003, Ph-0461-320061/322661</v>
          </cell>
          <cell r="I685" t="str">
            <v>South</v>
          </cell>
        </row>
        <row r="686">
          <cell r="B686" t="str">
            <v>W10406</v>
          </cell>
          <cell r="C686" t="str">
            <v>R1</v>
          </cell>
          <cell r="D686" t="str">
            <v>R</v>
          </cell>
          <cell r="E686" t="str">
            <v>C J Bhatt</v>
          </cell>
          <cell r="F686" t="str">
            <v>Ratilal Deepchand Building, Ghatcopar,West, Mumbai, Ph-022-5166169/170</v>
          </cell>
          <cell r="I686" t="str">
            <v>West</v>
          </cell>
        </row>
        <row r="687">
          <cell r="B687" t="str">
            <v>W10407</v>
          </cell>
          <cell r="C687" t="str">
            <v>R1</v>
          </cell>
          <cell r="D687" t="str">
            <v>R</v>
          </cell>
          <cell r="E687" t="str">
            <v>Nilesh S Gaware</v>
          </cell>
          <cell r="F687" t="str">
            <v>A-19, Nalanda Building, Pragati Society, Kurla, Mumbai, Residence : M18/44/44, Tata Nagar, Gowandi, Mumbai-West, Ph : 91-22-5295871/9820426451</v>
          </cell>
          <cell r="I687" t="str">
            <v>West</v>
          </cell>
        </row>
        <row r="688">
          <cell r="B688" t="str">
            <v>W10408</v>
          </cell>
          <cell r="C688" t="str">
            <v>R1</v>
          </cell>
          <cell r="D688" t="str">
            <v>R</v>
          </cell>
          <cell r="E688" t="str">
            <v>Meenakshi Mission Hospital</v>
          </cell>
          <cell r="F688" t="str">
            <v>Meenakshi Mission Hospital, Lake Area, Melur Road, Madurai-625107, Ph- 0452-588741 ( 16 Lines )</v>
          </cell>
          <cell r="I688" t="str">
            <v>South</v>
          </cell>
        </row>
        <row r="689">
          <cell r="B689" t="str">
            <v>W10409</v>
          </cell>
          <cell r="C689" t="str">
            <v>R1</v>
          </cell>
          <cell r="D689" t="str">
            <v>R</v>
          </cell>
          <cell r="E689" t="str">
            <v>NMR Scanning &amp; Research Centre Pvt Ltd</v>
          </cell>
          <cell r="F689" t="str">
            <v>Udham Singh Nagar, Jalandhr, Ph-452222.</v>
          </cell>
          <cell r="I689" t="str">
            <v>North</v>
          </cell>
        </row>
        <row r="690">
          <cell r="B690" t="str">
            <v>W10410</v>
          </cell>
          <cell r="C690" t="str">
            <v>R1</v>
          </cell>
          <cell r="D690" t="str">
            <v>R</v>
          </cell>
          <cell r="E690" t="str">
            <v>R Vasantha</v>
          </cell>
          <cell r="F690" t="str">
            <v>Dhansekara Pandian Clinic, Thirumayam, Padukottai Dt-622501, TN</v>
          </cell>
          <cell r="I690" t="str">
            <v>South</v>
          </cell>
        </row>
        <row r="691">
          <cell r="B691" t="str">
            <v>W10411</v>
          </cell>
          <cell r="C691" t="str">
            <v>R1</v>
          </cell>
          <cell r="D691" t="str">
            <v>R</v>
          </cell>
          <cell r="E691" t="str">
            <v>Bharat Scans Pvt Ltd-6</v>
          </cell>
          <cell r="F691" t="str">
            <v>210, Periyar, Pathai, Chennai-600094</v>
          </cell>
          <cell r="I691" t="str">
            <v>South</v>
          </cell>
        </row>
        <row r="692">
          <cell r="B692" t="str">
            <v>W10412</v>
          </cell>
          <cell r="C692" t="str">
            <v>R1</v>
          </cell>
          <cell r="D692" t="str">
            <v>R</v>
          </cell>
          <cell r="E692" t="str">
            <v>Nikhil Savur</v>
          </cell>
          <cell r="F692" t="str">
            <v>Janaki Niwas, 162, Dr Ambedkar Road, Dadar, Mumbai-400014</v>
          </cell>
          <cell r="I692" t="str">
            <v>West</v>
          </cell>
        </row>
        <row r="693">
          <cell r="B693" t="str">
            <v>W10413</v>
          </cell>
          <cell r="D693" t="str">
            <v>NA</v>
          </cell>
          <cell r="E693" t="str">
            <v>Sikkim Manipal University of Health , Medical &amp; Technological Sciences</v>
          </cell>
          <cell r="F693" t="str">
            <v>5th Mites Todong, Gangtok-737102</v>
          </cell>
          <cell r="I693" t="str">
            <v>South</v>
          </cell>
        </row>
        <row r="694">
          <cell r="B694" t="str">
            <v>W10414</v>
          </cell>
          <cell r="D694" t="str">
            <v>NA</v>
          </cell>
          <cell r="E694" t="str">
            <v>KIMS-4</v>
          </cell>
          <cell r="I694" t="str">
            <v>South</v>
          </cell>
        </row>
        <row r="695">
          <cell r="B695" t="str">
            <v>W10415</v>
          </cell>
          <cell r="C695" t="str">
            <v>R1</v>
          </cell>
          <cell r="D695" t="str">
            <v>R</v>
          </cell>
          <cell r="E695" t="str">
            <v>Sankarnarayanan</v>
          </cell>
          <cell r="F695" t="str">
            <v>RASSI SCANS, 36A/2, 90-A, IST FLOOR, EAST OF TOWER, NAGERCOIL-629001</v>
          </cell>
          <cell r="I695" t="str">
            <v>South</v>
          </cell>
        </row>
        <row r="696">
          <cell r="B696" t="str">
            <v>W10416</v>
          </cell>
          <cell r="C696" t="str">
            <v>R1</v>
          </cell>
          <cell r="D696" t="str">
            <v>R</v>
          </cell>
          <cell r="E696" t="str">
            <v>Venus Diagnostics Ltd</v>
          </cell>
          <cell r="F696" t="str">
            <v>VALIYACHANKILATH BUILDING, GANDHI NAGAR, KOTTAYAM-686008</v>
          </cell>
          <cell r="I696" t="str">
            <v>South</v>
          </cell>
        </row>
        <row r="697">
          <cell r="B697" t="str">
            <v>W10417</v>
          </cell>
          <cell r="C697" t="str">
            <v>R1</v>
          </cell>
          <cell r="D697" t="str">
            <v>R</v>
          </cell>
          <cell r="E697" t="str">
            <v>Skylab ( Assam ) Pvt Ltd-2</v>
          </cell>
          <cell r="F697" t="str">
            <v>G S ROAD, ULUBARI, GUWAHATI-781007</v>
          </cell>
          <cell r="I697" t="str">
            <v>East</v>
          </cell>
        </row>
        <row r="698">
          <cell r="B698" t="str">
            <v>W10418</v>
          </cell>
          <cell r="C698" t="str">
            <v>R1</v>
          </cell>
          <cell r="D698" t="str">
            <v>R</v>
          </cell>
          <cell r="E698" t="str">
            <v>Teresa Diagnostic Centre</v>
          </cell>
          <cell r="F698" t="str">
            <v>7, HOSPITAL ROAD, AGARTALA, TRIPURA-799001, PH: 0381-302717</v>
          </cell>
          <cell r="I698" t="str">
            <v>East</v>
          </cell>
        </row>
        <row r="699">
          <cell r="B699" t="str">
            <v>W10419</v>
          </cell>
          <cell r="C699" t="str">
            <v>R1</v>
          </cell>
          <cell r="D699" t="str">
            <v>R</v>
          </cell>
          <cell r="E699" t="str">
            <v>Medicare Images-1</v>
          </cell>
          <cell r="F699" t="str">
            <v>BURNPUR ROAD, COURT MORE, ASANSOL , PH : 0342-557714/557419/557681</v>
          </cell>
          <cell r="I699" t="str">
            <v>East</v>
          </cell>
        </row>
        <row r="700">
          <cell r="B700" t="str">
            <v>W10420</v>
          </cell>
          <cell r="C700" t="str">
            <v>R1</v>
          </cell>
          <cell r="D700" t="str">
            <v>R</v>
          </cell>
          <cell r="E700" t="str">
            <v>Medicare Images-2</v>
          </cell>
          <cell r="F700" t="str">
            <v>BURNPUR ROAD, COURT MORE, ASANSOL , PH : 0342-557714/557419/557681</v>
          </cell>
          <cell r="I700" t="str">
            <v>East</v>
          </cell>
        </row>
        <row r="701">
          <cell r="B701" t="str">
            <v>W10421</v>
          </cell>
          <cell r="C701" t="str">
            <v>R1</v>
          </cell>
          <cell r="D701" t="str">
            <v>R</v>
          </cell>
          <cell r="E701" t="str">
            <v>Medicare Images-3</v>
          </cell>
          <cell r="F701" t="str">
            <v>BURNPUR ROAD, COURT MORE, ASANSOL , PH : 0342-557714/557419/557681</v>
          </cell>
          <cell r="I701" t="str">
            <v>East</v>
          </cell>
        </row>
        <row r="702">
          <cell r="B702" t="str">
            <v>W10422</v>
          </cell>
          <cell r="C702" t="str">
            <v>Not yet recd</v>
          </cell>
          <cell r="D702" t="str">
            <v>NA</v>
          </cell>
          <cell r="E702" t="str">
            <v>Elbeit International Medical Centre Ltd</v>
          </cell>
          <cell r="F702" t="str">
            <v xml:space="preserve">1ST FLOOR, AKASH GANGA , PLOT NO. 144, SUNAGAR COLONY, HYD, </v>
          </cell>
          <cell r="I702" t="str">
            <v>South</v>
          </cell>
        </row>
        <row r="703">
          <cell r="B703" t="str">
            <v>W10423</v>
          </cell>
          <cell r="C703" t="str">
            <v>R1</v>
          </cell>
          <cell r="D703" t="str">
            <v>R</v>
          </cell>
          <cell r="E703" t="str">
            <v>Sanghwi Medical Services Pvt Ltd</v>
          </cell>
          <cell r="F703" t="str">
            <v>MAKHAMA KUAN ROAD, PATNA-800004</v>
          </cell>
          <cell r="I703" t="str">
            <v>North</v>
          </cell>
        </row>
        <row r="704">
          <cell r="B704" t="str">
            <v>W10424</v>
          </cell>
          <cell r="C704" t="str">
            <v>R1</v>
          </cell>
          <cell r="D704" t="str">
            <v>R</v>
          </cell>
          <cell r="E704" t="str">
            <v>Mrinmoy Sarkar</v>
          </cell>
          <cell r="F704" t="str">
            <v>G-2/36, ACHARYA PRAFULLA NAGAR, PO SONARPUR, DISTT 24 PARGANAS, WB, PH-033-4210178</v>
          </cell>
          <cell r="I704" t="str">
            <v>East</v>
          </cell>
        </row>
        <row r="705">
          <cell r="B705" t="str">
            <v>W10425</v>
          </cell>
          <cell r="C705" t="str">
            <v>R1</v>
          </cell>
          <cell r="D705" t="str">
            <v>R</v>
          </cell>
          <cell r="E705" t="str">
            <v>Indira Gandhi Cooperative Hospital</v>
          </cell>
          <cell r="F705" t="str">
            <v>MANJODI, THALASSERY-670103, KANNUR DISTT, KARALA, PH-0490-323135</v>
          </cell>
          <cell r="I705" t="str">
            <v>South</v>
          </cell>
        </row>
        <row r="706">
          <cell r="B706" t="str">
            <v>W10426</v>
          </cell>
          <cell r="C706" t="str">
            <v>R1</v>
          </cell>
          <cell r="D706" t="str">
            <v>R</v>
          </cell>
          <cell r="E706" t="str">
            <v>Ramdas Clinic</v>
          </cell>
          <cell r="F706" t="str">
            <v>PO BOX NO. 1, PERNINTHALMANNA, MALLAPURAM, DISTT,. KERALA-679322, PH-0493-327236</v>
          </cell>
          <cell r="I706" t="str">
            <v>South</v>
          </cell>
        </row>
        <row r="707">
          <cell r="B707" t="str">
            <v>W10427</v>
          </cell>
          <cell r="C707" t="str">
            <v>R1</v>
          </cell>
          <cell r="D707" t="str">
            <v>R</v>
          </cell>
          <cell r="E707" t="str">
            <v>Roby Chacko</v>
          </cell>
          <cell r="F707" t="str">
            <v>LOLATHUKALATHIL, IKKADU, PO, TIRUVALL, KERALA-689101, PH- 0473-607788</v>
          </cell>
          <cell r="I707" t="str">
            <v>South</v>
          </cell>
        </row>
        <row r="708">
          <cell r="B708" t="str">
            <v>W10428</v>
          </cell>
          <cell r="C708" t="str">
            <v>R1</v>
          </cell>
          <cell r="D708" t="str">
            <v>R</v>
          </cell>
          <cell r="E708" t="str">
            <v>N Roy</v>
          </cell>
          <cell r="F708" t="str">
            <v>TC-2/453/2, P T CHACKO NAGAR, MEDICAL COLLEGE PO, TRIVANDRUM-11</v>
          </cell>
          <cell r="I708" t="str">
            <v>South</v>
          </cell>
        </row>
        <row r="709">
          <cell r="B709" t="str">
            <v>W10429</v>
          </cell>
          <cell r="C709" t="str">
            <v>R1</v>
          </cell>
          <cell r="D709" t="str">
            <v>R</v>
          </cell>
          <cell r="E709" t="str">
            <v>N Narsimha Rao</v>
          </cell>
          <cell r="F709" t="str">
            <v>C/O RAMALA HEALTHCARE, 16-11-739/1, DILSUKHNAGAR, HYDERABAD, PH-4055020</v>
          </cell>
          <cell r="I709" t="str">
            <v>South</v>
          </cell>
        </row>
        <row r="710">
          <cell r="B710" t="str">
            <v>W10430</v>
          </cell>
          <cell r="C710" t="str">
            <v>R1</v>
          </cell>
          <cell r="D710" t="str">
            <v>R</v>
          </cell>
          <cell r="E710" t="str">
            <v>Arogyavaram Medical Centre</v>
          </cell>
          <cell r="F710" t="str">
            <v>MADANAPALLI, CHOTTOOR DISTT-517330, ANDHRA PRADESH</v>
          </cell>
          <cell r="I710" t="str">
            <v>South</v>
          </cell>
        </row>
        <row r="711">
          <cell r="B711" t="str">
            <v>W10431</v>
          </cell>
          <cell r="C711" t="str">
            <v>R1</v>
          </cell>
          <cell r="D711" t="str">
            <v>R</v>
          </cell>
          <cell r="E711" t="str">
            <v>HS Mann</v>
          </cell>
          <cell r="F711" t="str">
            <v>C/ MANN SCANNING &amp; DIAG. CENTRE, 7A, GUJRAL NAGAR, JALLANDHAR-PUNJAB</v>
          </cell>
          <cell r="I711" t="str">
            <v>North</v>
          </cell>
        </row>
        <row r="712">
          <cell r="B712" t="str">
            <v>W10432</v>
          </cell>
          <cell r="C712" t="str">
            <v>R1</v>
          </cell>
          <cell r="D712" t="str">
            <v>R</v>
          </cell>
          <cell r="E712" t="str">
            <v>Uma Maheshwari</v>
          </cell>
          <cell r="F712" t="str">
            <v xml:space="preserve">19-A, RAMAKANNU CHETTY STREET, CHEYAR, TIRUVANNAMALAI DISTT. </v>
          </cell>
          <cell r="I712" t="str">
            <v>South</v>
          </cell>
        </row>
        <row r="713">
          <cell r="B713" t="str">
            <v>W10433</v>
          </cell>
          <cell r="C713" t="str">
            <v>R1</v>
          </cell>
          <cell r="D713" t="str">
            <v>R</v>
          </cell>
          <cell r="E713" t="str">
            <v>Kalpana Gupta-2</v>
          </cell>
          <cell r="F713" t="str">
            <v>SARU - RIMPLE DIAGNOSTIC CENTRE, FLAT 3177, SECTOR-D, POCKET III, VASANT KUNJ, ND-110070</v>
          </cell>
          <cell r="I713" t="str">
            <v>North</v>
          </cell>
        </row>
        <row r="714">
          <cell r="B714" t="str">
            <v>W10434</v>
          </cell>
          <cell r="C714" t="str">
            <v>R1</v>
          </cell>
          <cell r="D714" t="str">
            <v>R</v>
          </cell>
          <cell r="E714" t="str">
            <v>Nellai Scans &amp; Diagnostic Centre</v>
          </cell>
          <cell r="F714" t="str">
            <v>PATTUPATTAI STREET, PALAYAMKOTTAI-627002, TIRUNELVELI DISTT</v>
          </cell>
          <cell r="I714" t="str">
            <v>South</v>
          </cell>
        </row>
        <row r="715">
          <cell r="B715" t="str">
            <v>W10435</v>
          </cell>
          <cell r="C715" t="str">
            <v>R1</v>
          </cell>
          <cell r="D715" t="str">
            <v>R</v>
          </cell>
          <cell r="E715" t="str">
            <v>Lal Pathlabs-1</v>
          </cell>
          <cell r="F715" t="str">
            <v>ESSKAY HOUSE, 54, HANUMAAN ROAD, NEW DELHI, PH. 3746426/3342046</v>
          </cell>
          <cell r="I715" t="str">
            <v>North</v>
          </cell>
        </row>
        <row r="716">
          <cell r="B716" t="str">
            <v>W10436</v>
          </cell>
          <cell r="C716" t="str">
            <v>R1</v>
          </cell>
          <cell r="D716" t="str">
            <v>R</v>
          </cell>
          <cell r="E716" t="str">
            <v>Ajit Scanning &amp; Diagnostic Centre Pvt Ltd-2</v>
          </cell>
          <cell r="F716" t="str">
            <v>MURBAD ROAD, KALYAN WEST, MUMBAI-421304</v>
          </cell>
          <cell r="I716" t="str">
            <v>West</v>
          </cell>
        </row>
        <row r="717">
          <cell r="B717" t="str">
            <v>W10437</v>
          </cell>
          <cell r="C717" t="str">
            <v>R1</v>
          </cell>
          <cell r="D717" t="str">
            <v>R</v>
          </cell>
          <cell r="E717" t="str">
            <v>Suresh Shinde</v>
          </cell>
          <cell r="F717" t="str">
            <v>NANDANVAN APARTMENTS, SATARA, LONAVALA RAOD, SATARA-415001</v>
          </cell>
          <cell r="I717" t="str">
            <v>West</v>
          </cell>
        </row>
        <row r="718">
          <cell r="B718" t="str">
            <v>W10438</v>
          </cell>
          <cell r="C718" t="str">
            <v>R1</v>
          </cell>
          <cell r="D718" t="str">
            <v>R</v>
          </cell>
          <cell r="E718" t="str">
            <v xml:space="preserve">Mamatha Educational Society </v>
          </cell>
          <cell r="F718" t="str">
            <v>D . NO. 4-2-161, POLICE HOUSING COLONY, ROTARY NAGAR, KHAMMAM-507002</v>
          </cell>
          <cell r="I718" t="str">
            <v>South</v>
          </cell>
        </row>
        <row r="719">
          <cell r="B719" t="str">
            <v>W10439</v>
          </cell>
          <cell r="C719" t="str">
            <v>R1</v>
          </cell>
          <cell r="D719" t="str">
            <v>R</v>
          </cell>
          <cell r="E719" t="str">
            <v>Phisicare Healthcare &amp; Service Ltd-HOSMAT</v>
          </cell>
          <cell r="F719" t="str">
            <v>45, MAGRATH RAOD, BANGALORE-25</v>
          </cell>
          <cell r="I719" t="str">
            <v>South</v>
          </cell>
        </row>
        <row r="720">
          <cell r="B720" t="str">
            <v>W10440</v>
          </cell>
          <cell r="D720" t="str">
            <v>NA</v>
          </cell>
          <cell r="E720" t="str">
            <v>Lakeshore Hospital and Research Centre Limited - Dornier Medtech</v>
          </cell>
          <cell r="F720" t="str">
            <v>35/58, C-1,Pearl Complex, NH47 Road, Palarivattam, Cochin-682025</v>
          </cell>
          <cell r="I720" t="str">
            <v>South</v>
          </cell>
        </row>
        <row r="721">
          <cell r="B721" t="str">
            <v>W10441</v>
          </cell>
          <cell r="D721" t="str">
            <v>NA</v>
          </cell>
          <cell r="E721" t="str">
            <v>Lakeshore Hospital and Research Centre Limited - South India Surgicals Repayment</v>
          </cell>
          <cell r="F721" t="str">
            <v>35/58, C-1,Pearl Complex, NH47 Road, Palarivattam, Cochin-682025</v>
          </cell>
          <cell r="I721" t="str">
            <v>South</v>
          </cell>
        </row>
        <row r="722">
          <cell r="B722" t="str">
            <v>WGE- LEASE-2</v>
          </cell>
          <cell r="C722" t="str">
            <v>NA</v>
          </cell>
          <cell r="D722" t="str">
            <v>NA</v>
          </cell>
          <cell r="E722" t="str">
            <v>Wipro GE Medical Systems Ltd-LEASE-2</v>
          </cell>
          <cell r="F722" t="str">
            <v>Plot no. 4, Kadugodi Plantation Indl. Area, Sadarmangala, Bangalore</v>
          </cell>
          <cell r="I722" t="str">
            <v>Corporate</v>
          </cell>
        </row>
        <row r="723">
          <cell r="B723" t="str">
            <v>W10442</v>
          </cell>
          <cell r="C723" t="str">
            <v>R1</v>
          </cell>
          <cell r="D723" t="str">
            <v>R</v>
          </cell>
          <cell r="E723" t="str">
            <v>Priya Scanning Centre Pvt Ltd- Dr Deepak Gupta</v>
          </cell>
          <cell r="F723" t="str">
            <v>3/1, T B SAPRU MARG, ALLAHABAD-211001, UP</v>
          </cell>
          <cell r="I723" t="str">
            <v>North</v>
          </cell>
        </row>
        <row r="724">
          <cell r="B724" t="str">
            <v>W10443</v>
          </cell>
          <cell r="C724" t="str">
            <v>R1</v>
          </cell>
          <cell r="D724" t="str">
            <v>R</v>
          </cell>
          <cell r="E724" t="str">
            <v>Ramola Janet Diana</v>
          </cell>
          <cell r="F724" t="str">
            <v>38, MAIN ROAD, PAERUMALPURAM, TIRUNELVELI-627007</v>
          </cell>
          <cell r="I724" t="str">
            <v>South</v>
          </cell>
        </row>
        <row r="725">
          <cell r="B725" t="str">
            <v>W10444</v>
          </cell>
          <cell r="C725" t="str">
            <v>R1</v>
          </cell>
          <cell r="D725" t="str">
            <v>R</v>
          </cell>
          <cell r="E725" t="str">
            <v>Bharat Scans Pvt Ltd-7</v>
          </cell>
          <cell r="F725" t="str">
            <v>210, Periyar, Pathai, Chennai-600094</v>
          </cell>
          <cell r="I725" t="str">
            <v>South</v>
          </cell>
        </row>
        <row r="726">
          <cell r="B726" t="str">
            <v>W10445</v>
          </cell>
          <cell r="C726" t="str">
            <v>R1</v>
          </cell>
          <cell r="D726" t="str">
            <v>R</v>
          </cell>
          <cell r="E726" t="str">
            <v>Anirvan Diagnostic &amp; Research Centre Pvt Ltd-1</v>
          </cell>
          <cell r="F726" t="str">
            <v>BURDWAN TOWN, MIDNAPORE-721101</v>
          </cell>
          <cell r="I726" t="str">
            <v>East</v>
          </cell>
        </row>
        <row r="727">
          <cell r="B727" t="str">
            <v>W10446</v>
          </cell>
          <cell r="C727" t="str">
            <v>R1</v>
          </cell>
          <cell r="D727" t="str">
            <v>R</v>
          </cell>
          <cell r="E727" t="str">
            <v>Anirvan Diagnostic &amp; Research Centre Pvt Ltd-2</v>
          </cell>
          <cell r="F727" t="str">
            <v>BURDWAN TOWN, MIDNAPORE-721101</v>
          </cell>
          <cell r="I727" t="str">
            <v>East</v>
          </cell>
        </row>
        <row r="728">
          <cell r="B728" t="str">
            <v>W10447</v>
          </cell>
          <cell r="C728" t="str">
            <v>NA</v>
          </cell>
          <cell r="D728" t="str">
            <v>NA</v>
          </cell>
          <cell r="E728" t="str">
            <v>Lakeshore Hospital and Research Centre Limited - Advanced Medical Systems</v>
          </cell>
          <cell r="I728" t="str">
            <v>South</v>
          </cell>
        </row>
        <row r="729">
          <cell r="B729" t="str">
            <v>W10448</v>
          </cell>
          <cell r="C729" t="str">
            <v>R1</v>
          </cell>
          <cell r="D729" t="str">
            <v>R</v>
          </cell>
          <cell r="E729" t="str">
            <v>Nikit P Mehta-3</v>
          </cell>
          <cell r="F729" t="str">
            <v>Ashwani Prasad Hospital, Station Road, Miraj, Maharashtra-416416</v>
          </cell>
          <cell r="I729" t="str">
            <v>West</v>
          </cell>
        </row>
        <row r="730">
          <cell r="B730" t="str">
            <v>W10449</v>
          </cell>
          <cell r="C730" t="str">
            <v>R1</v>
          </cell>
          <cell r="D730" t="str">
            <v>R</v>
          </cell>
          <cell r="E730" t="str">
            <v>Sunil Mehta</v>
          </cell>
          <cell r="F730" t="str">
            <v>MEETHA SONOGRAPHY CENTRE &amp; COOR DOPPLER IMAGING, 755, UMMAID HOSPITAL, OPP, KOHINORR CINESMA, JODHPUR</v>
          </cell>
          <cell r="I730" t="str">
            <v>North</v>
          </cell>
        </row>
        <row r="731">
          <cell r="B731" t="str">
            <v>W10450</v>
          </cell>
          <cell r="C731" t="str">
            <v>R1</v>
          </cell>
          <cell r="D731" t="str">
            <v>R</v>
          </cell>
          <cell r="E731" t="str">
            <v>Kasturi Medical Research Centre Pvt Ltd</v>
          </cell>
          <cell r="F731" t="str">
            <v>DIAOMOND HARBOUR ROAD, 3A, BUS STAND, PO JOKA-743512, WB</v>
          </cell>
          <cell r="I731" t="str">
            <v>East</v>
          </cell>
        </row>
        <row r="732">
          <cell r="B732" t="str">
            <v>W10451</v>
          </cell>
          <cell r="C732" t="str">
            <v>R1</v>
          </cell>
          <cell r="D732" t="str">
            <v>R</v>
          </cell>
          <cell r="E732" t="str">
            <v>T. Devasigamani</v>
          </cell>
          <cell r="F732" t="str">
            <v>10A/10C, NAGASEESWARAR KOIL, ST B.G. KANCHANPURAM-631506, PH: 04112-232695</v>
          </cell>
          <cell r="I732" t="str">
            <v>South</v>
          </cell>
        </row>
        <row r="733">
          <cell r="B733" t="str">
            <v>W10452</v>
          </cell>
          <cell r="C733" t="str">
            <v>R1</v>
          </cell>
          <cell r="D733" t="str">
            <v>R</v>
          </cell>
          <cell r="E733" t="str">
            <v>V V Gangadhar</v>
          </cell>
          <cell r="F733" t="str">
            <v>58/3, RT VIJAY NAGAR COLONY, HYDERABAD-500057, PH: 040-3340911</v>
          </cell>
          <cell r="I733" t="str">
            <v>South</v>
          </cell>
        </row>
        <row r="734">
          <cell r="B734" t="str">
            <v>C Line no 1074</v>
          </cell>
        </row>
        <row r="735">
          <cell r="B735" t="str">
            <v>W10454</v>
          </cell>
          <cell r="C735" t="str">
            <v>R1</v>
          </cell>
          <cell r="D735" t="str">
            <v>R</v>
          </cell>
          <cell r="E735" t="str">
            <v>K&amp;S Healthcare Consulting Pvt Ltd-Dr Kushal Patil</v>
          </cell>
          <cell r="F735" t="str">
            <v>C/O ADVANCED CARDIOVASCULAR SPECILITIES PVT LTD, , H N HOSPITAL, RAJA RAMMOHAN ROI ROAD, MUMBAI-4</v>
          </cell>
          <cell r="I735" t="str">
            <v>West</v>
          </cell>
        </row>
        <row r="736">
          <cell r="B736" t="str">
            <v>W10455</v>
          </cell>
          <cell r="C736" t="str">
            <v>R1</v>
          </cell>
          <cell r="D736" t="str">
            <v>R</v>
          </cell>
          <cell r="E736" t="str">
            <v>Focus Imaging &amp; Research Centre Ltd</v>
          </cell>
          <cell r="F736" t="str">
            <v>47/3-4, YUSUF SARAI MARKET, AURBINDO MARG, NEW DELHI</v>
          </cell>
          <cell r="I736" t="str">
            <v>North</v>
          </cell>
        </row>
        <row r="737">
          <cell r="B737" t="str">
            <v>W10456</v>
          </cell>
          <cell r="C737" t="str">
            <v>R1</v>
          </cell>
          <cell r="D737" t="str">
            <v>R</v>
          </cell>
          <cell r="E737" t="str">
            <v>Vijaya Medical Centre-6</v>
          </cell>
          <cell r="F737" t="str">
            <v>Zilla Parishad Junction, Maharanipeta, Visakapatnam - 530 002, PH : 566709/576329</v>
          </cell>
          <cell r="I737" t="str">
            <v>South</v>
          </cell>
        </row>
        <row r="738">
          <cell r="B738" t="str">
            <v>W10457</v>
          </cell>
          <cell r="C738" t="str">
            <v>R1</v>
          </cell>
          <cell r="D738" t="str">
            <v>R</v>
          </cell>
          <cell r="E738" t="str">
            <v>Susheela Ruth Samuel</v>
          </cell>
          <cell r="F738" t="str">
            <v>ARTHUR NURSING HOME, MUDDANUR RAOD, JAMMALAMADUGU, CUDDPAH-516434, AP</v>
          </cell>
          <cell r="I738" t="str">
            <v>South</v>
          </cell>
        </row>
        <row r="739">
          <cell r="B739" t="str">
            <v>W10458</v>
          </cell>
          <cell r="C739" t="str">
            <v>R1</v>
          </cell>
          <cell r="D739" t="str">
            <v>R</v>
          </cell>
          <cell r="E739" t="str">
            <v>Sri Ganganagar CT Scan &amp; Heart Centre (P) Ltd-Dr  SS Tantia</v>
          </cell>
          <cell r="F739" t="str">
            <v>SUKHARIA NAGAR, SRIGANGANAGAR, RAJATHAN, PH-0154-431505/422724</v>
          </cell>
          <cell r="I739" t="str">
            <v>North</v>
          </cell>
        </row>
        <row r="740">
          <cell r="B740" t="str">
            <v>W10459</v>
          </cell>
          <cell r="C740" t="str">
            <v>R1</v>
          </cell>
          <cell r="D740" t="str">
            <v>R</v>
          </cell>
          <cell r="E740" t="str">
            <v>Bargabhima Diagnostic centre Pvt Ltd-Dr Subrata Kumar</v>
          </cell>
          <cell r="F740" t="str">
            <v>PARBATIPURA, TAMLUK TOWN, WARD NO. 10, PURBA MIDNAPORE, PHONE- 03228-66390</v>
          </cell>
          <cell r="I740" t="str">
            <v>East</v>
          </cell>
        </row>
        <row r="741">
          <cell r="B741" t="str">
            <v>W10460</v>
          </cell>
          <cell r="C741" t="str">
            <v>R1</v>
          </cell>
          <cell r="D741" t="str">
            <v>R</v>
          </cell>
          <cell r="E741" t="str">
            <v>North City Diagnostic &amp; Research Centre Pvt Ltd</v>
          </cell>
          <cell r="F741" t="str">
            <v>35A, CANAL WEST ROAD, GAURIBARI, ULTADANGA, CALCUTTA-700004, PH: 5546221/6225</v>
          </cell>
          <cell r="I741" t="str">
            <v>East</v>
          </cell>
        </row>
        <row r="742">
          <cell r="B742" t="str">
            <v>W10461</v>
          </cell>
          <cell r="C742" t="str">
            <v>R1</v>
          </cell>
          <cell r="D742" t="str">
            <v>R</v>
          </cell>
          <cell r="E742" t="str">
            <v>Amar Life Line Diagnostic Research Institute Pvt Ltd</v>
          </cell>
          <cell r="F742" t="str">
            <v>11, EAST HIGH COURT ROAD, RAMDASPETH NAGAR, NAGPUR-10</v>
          </cell>
          <cell r="I742" t="str">
            <v>West</v>
          </cell>
        </row>
        <row r="743">
          <cell r="B743" t="str">
            <v>W10462</v>
          </cell>
          <cell r="C743" t="str">
            <v>R1</v>
          </cell>
          <cell r="D743" t="str">
            <v>R</v>
          </cell>
          <cell r="E743" t="str">
            <v>Srinivasa Cardiology Centre Pvt LTd-1</v>
          </cell>
          <cell r="F743" t="str">
            <v>8, MILLERS TANK BUND ROAD, BANGALORE-560052, PH: 080-2286464/2286000</v>
          </cell>
          <cell r="I743" t="str">
            <v>South</v>
          </cell>
        </row>
        <row r="744">
          <cell r="B744" t="str">
            <v>W10463</v>
          </cell>
          <cell r="C744" t="str">
            <v>R1</v>
          </cell>
          <cell r="D744" t="str">
            <v>R</v>
          </cell>
          <cell r="E744" t="str">
            <v>Deepika Gupta-SK Gupta Diagnostic Centre</v>
          </cell>
          <cell r="F744" t="str">
            <v>B-30/71, A-4, SHIVAN COMPLEX, LANKA, VARANASI-5, UP</v>
          </cell>
          <cell r="I744" t="str">
            <v>North</v>
          </cell>
        </row>
        <row r="745">
          <cell r="B745" t="str">
            <v>W10464</v>
          </cell>
          <cell r="C745" t="str">
            <v>R1</v>
          </cell>
          <cell r="D745" t="str">
            <v>R</v>
          </cell>
          <cell r="E745" t="str">
            <v>Life Saving  Services -Dr KM Lakshmipathi</v>
          </cell>
          <cell r="F745" t="str">
            <v>175, NSK SALAI, VADALPANI, CHENNAI-600026</v>
          </cell>
          <cell r="I745" t="str">
            <v>South</v>
          </cell>
        </row>
        <row r="746">
          <cell r="B746" t="str">
            <v>WGE- LEASE-3</v>
          </cell>
          <cell r="C746" t="str">
            <v>NA</v>
          </cell>
          <cell r="D746" t="str">
            <v>NA</v>
          </cell>
          <cell r="E746" t="str">
            <v>Wipro GE Medical Systems Ltd-LEASE-3</v>
          </cell>
          <cell r="F746" t="str">
            <v>Plot no. 4, Kadugodi Plantation Indl. Area, Sadarmangala, Bangalore</v>
          </cell>
          <cell r="I746" t="str">
            <v>Corporate</v>
          </cell>
        </row>
        <row r="747">
          <cell r="B747" t="str">
            <v>W10465</v>
          </cell>
          <cell r="C747" t="str">
            <v>R1</v>
          </cell>
          <cell r="D747" t="str">
            <v>R</v>
          </cell>
          <cell r="E747" t="str">
            <v>Manika Biswas-Mediview kalyani</v>
          </cell>
          <cell r="F747" t="str">
            <v>B-8/7(CA), KALYANI-741235, NEAR GHOSHPURA STATION, PH: 5824218/9682/4204/1441</v>
          </cell>
          <cell r="I747" t="str">
            <v>East</v>
          </cell>
        </row>
        <row r="748">
          <cell r="B748" t="str">
            <v>W10466</v>
          </cell>
          <cell r="C748" t="str">
            <v>R1</v>
          </cell>
          <cell r="D748" t="str">
            <v>R</v>
          </cell>
          <cell r="E748" t="str">
            <v>Rameshwar Baheti</v>
          </cell>
          <cell r="F748" t="str">
            <v>AMIT CLINIC STATION RAOD, UDGIR-413517, MAHARASHTRA, PH " 098232-62068,02385-56267/56268</v>
          </cell>
          <cell r="I748" t="str">
            <v>West</v>
          </cell>
        </row>
        <row r="749">
          <cell r="B749" t="str">
            <v>W10467</v>
          </cell>
          <cell r="C749" t="str">
            <v>R1</v>
          </cell>
          <cell r="D749" t="str">
            <v>R</v>
          </cell>
          <cell r="E749" t="str">
            <v>Rajesh Laroiya</v>
          </cell>
          <cell r="F749" t="str">
            <v>THE CLINIC, 998, SECTOR-7C, FARIDABAD, HARYANA</v>
          </cell>
          <cell r="I749" t="str">
            <v>North</v>
          </cell>
        </row>
        <row r="750">
          <cell r="B750" t="str">
            <v>W10468</v>
          </cell>
          <cell r="C750" t="str">
            <v>R1</v>
          </cell>
          <cell r="D750" t="str">
            <v>R</v>
          </cell>
          <cell r="E750" t="str">
            <v>Prime Diagnostics &amp; Imaging Centre</v>
          </cell>
          <cell r="F750" t="str">
            <v>C-1/55, NEAR KONDLI MAIN ROAD, NEAR MAYUR VIHAR, PHASE-III, PH" 011-2611945/98115-7069</v>
          </cell>
          <cell r="I750" t="str">
            <v>North</v>
          </cell>
        </row>
        <row r="751">
          <cell r="B751" t="str">
            <v>W10469</v>
          </cell>
          <cell r="C751" t="str">
            <v>R1</v>
          </cell>
          <cell r="D751" t="str">
            <v>R</v>
          </cell>
          <cell r="E751" t="str">
            <v>YK Diagnostics</v>
          </cell>
          <cell r="F751" t="str">
            <v>15, HARGOVIND ENCLAVE, DELHI-110092, PH: 011-2167252/2167262/2167292</v>
          </cell>
          <cell r="I751" t="str">
            <v>North</v>
          </cell>
        </row>
        <row r="752">
          <cell r="B752" t="str">
            <v>W10470</v>
          </cell>
          <cell r="C752" t="str">
            <v>R1</v>
          </cell>
          <cell r="D752" t="str">
            <v>R</v>
          </cell>
          <cell r="E752" t="str">
            <v>Travancore Scans Pvt Ltd</v>
          </cell>
          <cell r="F752" t="str">
            <v>PAZHAYA ROAD, MEDICAL COLEGE, PO, TRIVANDRUM, 695011, PH: 0471-449070</v>
          </cell>
          <cell r="I752" t="str">
            <v>South</v>
          </cell>
        </row>
        <row r="753">
          <cell r="B753" t="str">
            <v>W10471</v>
          </cell>
          <cell r="C753" t="str">
            <v>R1</v>
          </cell>
          <cell r="D753" t="str">
            <v>R</v>
          </cell>
          <cell r="E753" t="str">
            <v>A Ramamurthy</v>
          </cell>
          <cell r="F753" t="str">
            <v>B G HOSPITAL 1/43 B, MAIN ROAD, VEERAPANDIPALLINAM, TIRUCHINADUR-628215</v>
          </cell>
          <cell r="I753" t="str">
            <v>South</v>
          </cell>
        </row>
        <row r="754">
          <cell r="B754" t="str">
            <v>W10472</v>
          </cell>
          <cell r="C754" t="str">
            <v>NA</v>
          </cell>
          <cell r="D754" t="str">
            <v>NA</v>
          </cell>
          <cell r="E754" t="str">
            <v>Lakeshore Hopsital &amp; Research Centre Ltd-1</v>
          </cell>
          <cell r="F754" t="str">
            <v>35/58, C-1,Pearl Complex, NH47 Road, Palarivattam, Cochin-682025</v>
          </cell>
          <cell r="I754" t="str">
            <v>South</v>
          </cell>
        </row>
        <row r="755">
          <cell r="B755" t="str">
            <v>W10473</v>
          </cell>
          <cell r="C755" t="str">
            <v>NOT YET RECD</v>
          </cell>
          <cell r="D755" t="str">
            <v>NA</v>
          </cell>
          <cell r="E755" t="str">
            <v>Lakeshore Hopsital &amp; Research Centre Ltd-2</v>
          </cell>
          <cell r="F755" t="str">
            <v>35/58, C-1,Pearl Complex, NH47 Road, Palarivattam, Cochin-682025</v>
          </cell>
          <cell r="I755" t="str">
            <v>South</v>
          </cell>
        </row>
        <row r="756">
          <cell r="B756" t="str">
            <v>W10474</v>
          </cell>
          <cell r="C756" t="str">
            <v>R1</v>
          </cell>
          <cell r="D756" t="str">
            <v>R</v>
          </cell>
          <cell r="E756" t="str">
            <v>K Satynarayanan</v>
          </cell>
          <cell r="F756" t="str">
            <v>17-3-388/E, ANKITH HOSPITAL, SAGAR ROAD, SANTOSH NAGAR, HYDERABAD-500059, PH: 4331950/4331765</v>
          </cell>
          <cell r="I756" t="str">
            <v>South</v>
          </cell>
        </row>
        <row r="757">
          <cell r="B757" t="str">
            <v>W10475</v>
          </cell>
          <cell r="C757" t="str">
            <v>R1</v>
          </cell>
          <cell r="D757" t="str">
            <v>R</v>
          </cell>
          <cell r="E757" t="str">
            <v>Sudharma Scan &amp; Research Centre Ltd</v>
          </cell>
          <cell r="F757" t="str">
            <v>PARAMEKKAVA DEVASOM BUILDING, PALACE ROAD, TRICHUR, KERALA-680001, PH: 0487-334178</v>
          </cell>
          <cell r="I757" t="str">
            <v>South</v>
          </cell>
        </row>
        <row r="758">
          <cell r="B758" t="str">
            <v>W10476</v>
          </cell>
          <cell r="C758" t="str">
            <v>R1</v>
          </cell>
          <cell r="D758" t="str">
            <v>R</v>
          </cell>
          <cell r="E758" t="str">
            <v>Abdul Salam - Ashirvad Hospital</v>
          </cell>
          <cell r="F758" t="str">
            <v>MADEENA MANZIL, MATTOOL NORTH, KANNUR DISTT. PH: 0497-700070/700076</v>
          </cell>
          <cell r="I758" t="str">
            <v>South</v>
          </cell>
        </row>
        <row r="759">
          <cell r="B759" t="str">
            <v>W10477</v>
          </cell>
          <cell r="C759" t="str">
            <v>R1</v>
          </cell>
          <cell r="D759" t="str">
            <v>R</v>
          </cell>
          <cell r="E759" t="str">
            <v>Pune Adventist Hospital</v>
          </cell>
          <cell r="F759" t="str">
            <v>PO BOX 1405, MARKET YARD, POST, SALISBURY PARK, PUNE-411037, PH : 4261619,4261926</v>
          </cell>
          <cell r="I759" t="str">
            <v>West</v>
          </cell>
        </row>
        <row r="760">
          <cell r="B760" t="str">
            <v>W10478</v>
          </cell>
          <cell r="C760" t="str">
            <v>R1</v>
          </cell>
          <cell r="D760" t="str">
            <v>R</v>
          </cell>
          <cell r="E760" t="str">
            <v>RK Tandon</v>
          </cell>
          <cell r="F760" t="str">
            <v>JANAK TONDON NURSING HOME, E-35, KAMLA NAGAR, AGRA-UP, PH: 0562-381382/380324</v>
          </cell>
          <cell r="I760" t="str">
            <v>North</v>
          </cell>
        </row>
        <row r="761">
          <cell r="B761" t="str">
            <v>W10479</v>
          </cell>
          <cell r="C761" t="str">
            <v>R1</v>
          </cell>
          <cell r="D761" t="str">
            <v>R</v>
          </cell>
          <cell r="E761" t="str">
            <v>Joy Varghese</v>
          </cell>
          <cell r="F761" t="str">
            <v>M G HOSPITA, EDAPPAL JN, EDAPPAL, MALLAPURAM, DISTT, KERALA, PH: 0494-681347/684047</v>
          </cell>
          <cell r="I761" t="str">
            <v>South</v>
          </cell>
        </row>
        <row r="762">
          <cell r="B762" t="str">
            <v>W10480</v>
          </cell>
          <cell r="D762" t="str">
            <v>NA</v>
          </cell>
          <cell r="E762" t="str">
            <v>Elbit International Medical Center Ltd</v>
          </cell>
          <cell r="F762" t="str">
            <v>1ST FLOOR, AKASH GANGA, PLOT NO. 144, SRINAGAR COLONY, HYD-500073, PH: 040-3756740</v>
          </cell>
          <cell r="I762" t="str">
            <v>South</v>
          </cell>
        </row>
        <row r="763">
          <cell r="B763" t="str">
            <v>W10481</v>
          </cell>
          <cell r="C763" t="str">
            <v>R1</v>
          </cell>
          <cell r="D763" t="str">
            <v>R</v>
          </cell>
          <cell r="E763" t="str">
            <v>Parag Prakash Amonkar</v>
          </cell>
          <cell r="F763" t="str">
            <v>778, HOMI VILLA, TILAK ROAD, PARSI COLONY, DADR WEST, MUMBAI-400014, PH: 022-4160358/4168585</v>
          </cell>
          <cell r="I763" t="str">
            <v>West</v>
          </cell>
        </row>
        <row r="764">
          <cell r="B764" t="str">
            <v>W10482</v>
          </cell>
          <cell r="C764" t="str">
            <v>R1</v>
          </cell>
          <cell r="D764" t="str">
            <v>R</v>
          </cell>
          <cell r="E764" t="str">
            <v>Lal Pathlabs-2</v>
          </cell>
          <cell r="F764" t="str">
            <v>ESKAY HOUSE, 54, HANUMAN ROAD, NEW DELHI-3341638</v>
          </cell>
          <cell r="I764" t="str">
            <v>North</v>
          </cell>
        </row>
        <row r="765">
          <cell r="B765" t="str">
            <v>W10483</v>
          </cell>
          <cell r="C765" t="str">
            <v>R1</v>
          </cell>
          <cell r="D765" t="str">
            <v>R</v>
          </cell>
          <cell r="E765" t="str">
            <v>Pradeep Baid</v>
          </cell>
          <cell r="F765" t="str">
            <v>Resi :FIRST PATTI, LODNU, DISTT NAGAUR, , Clinic:BAID X RAY CLINIC SAGAR MARG, NEAR GOVT HOSPITAL, SUJANGARH-331507, PH: 01581-24172/22626</v>
          </cell>
          <cell r="I765" t="str">
            <v>North</v>
          </cell>
        </row>
        <row r="766">
          <cell r="B766" t="str">
            <v>W10484</v>
          </cell>
          <cell r="C766" t="str">
            <v>R1</v>
          </cell>
          <cell r="D766" t="str">
            <v>R</v>
          </cell>
          <cell r="E766" t="str">
            <v>MK Surana</v>
          </cell>
          <cell r="F766" t="str">
            <v>B-18, VEER DURGADAS NAGAR, PALI, RAJATHAN, PH: 02932-25766/26866</v>
          </cell>
          <cell r="I766" t="str">
            <v>North</v>
          </cell>
        </row>
        <row r="767">
          <cell r="B767" t="str">
            <v>W10485</v>
          </cell>
          <cell r="C767" t="str">
            <v>R1</v>
          </cell>
          <cell r="D767" t="str">
            <v>R</v>
          </cell>
          <cell r="E767" t="str">
            <v>Tiwari Hospital &amp; Medical  Research Pvt Ltd</v>
          </cell>
          <cell r="F767" t="str">
            <v>AGRA ROAD, DAUSA, RAJASTHAN-303303, PH: 0427-30456</v>
          </cell>
          <cell r="I767" t="str">
            <v>North</v>
          </cell>
        </row>
        <row r="768">
          <cell r="B768" t="str">
            <v>W10486</v>
          </cell>
          <cell r="C768" t="str">
            <v>R1</v>
          </cell>
          <cell r="D768" t="str">
            <v>R</v>
          </cell>
          <cell r="E768" t="str">
            <v>PV Ramachandra Raju</v>
          </cell>
          <cell r="F768" t="str">
            <v>27-3-10B, DASANNAPETA, VIZIANAGRAM, AP, PH: 08922-25747</v>
          </cell>
          <cell r="I768" t="str">
            <v>South</v>
          </cell>
        </row>
        <row r="769">
          <cell r="B769" t="str">
            <v>W10487</v>
          </cell>
          <cell r="C769" t="str">
            <v>R1</v>
          </cell>
          <cell r="D769" t="str">
            <v>R</v>
          </cell>
          <cell r="E769" t="str">
            <v>Peter Aloysius Navamani</v>
          </cell>
          <cell r="F769" t="str">
            <v xml:space="preserve">MDS SCANS, OPP. LMS GIRLS HIGHER SR. SCHOOL,MAIN ROAD, MARTHANDAM, -629165, PH: 0465-671176 </v>
          </cell>
          <cell r="I769" t="str">
            <v>South</v>
          </cell>
        </row>
        <row r="770">
          <cell r="B770" t="str">
            <v>W10488</v>
          </cell>
          <cell r="C770" t="str">
            <v>R1</v>
          </cell>
          <cell r="D770" t="str">
            <v>R</v>
          </cell>
          <cell r="E770" t="str">
            <v>G Nagalakshmi</v>
          </cell>
          <cell r="F770" t="str">
            <v>1-9-351, NEAR OLD BUS STAND, MEDAK, SECUNDRABAD, PH: 040-7606913</v>
          </cell>
          <cell r="I770" t="str">
            <v>South</v>
          </cell>
        </row>
        <row r="771">
          <cell r="B771" t="str">
            <v>W10489</v>
          </cell>
          <cell r="C771" t="str">
            <v>NA</v>
          </cell>
          <cell r="D771" t="str">
            <v>NA</v>
          </cell>
          <cell r="E771" t="str">
            <v>Lakeshore Hopsital &amp; Research Centre Ltd-3</v>
          </cell>
          <cell r="F771" t="str">
            <v>35/58, C-1,Pearl Complex, NH47 Road, Palarivattam, Cochin-682025</v>
          </cell>
          <cell r="I771" t="str">
            <v>South</v>
          </cell>
        </row>
        <row r="772">
          <cell r="B772" t="str">
            <v>W10490</v>
          </cell>
          <cell r="C772" t="str">
            <v>R1</v>
          </cell>
          <cell r="D772" t="str">
            <v>R</v>
          </cell>
          <cell r="E772" t="str">
            <v>PRS Hospital</v>
          </cell>
          <cell r="F772" t="str">
            <v>KALLIPALAM, KARMANA, PO, THIRUANANTHAPURAM-695002, KERALA, PH: 0471-344443</v>
          </cell>
          <cell r="I772" t="str">
            <v>South</v>
          </cell>
        </row>
        <row r="773">
          <cell r="B773" t="str">
            <v>W10491</v>
          </cell>
          <cell r="C773" t="str">
            <v>R1</v>
          </cell>
          <cell r="D773" t="str">
            <v>R</v>
          </cell>
          <cell r="E773" t="str">
            <v>MNRI Scans Pvt Ltd</v>
          </cell>
          <cell r="F773" t="str">
            <v>45, 1ST MAIN ROAD, CIT NAGAR,NANDANAM, CHENNAI-35</v>
          </cell>
          <cell r="I773" t="str">
            <v>South</v>
          </cell>
        </row>
        <row r="774">
          <cell r="B774" t="str">
            <v>WGE- LEASE-4</v>
          </cell>
          <cell r="C774" t="str">
            <v>NA</v>
          </cell>
          <cell r="D774" t="str">
            <v>NA</v>
          </cell>
          <cell r="E774" t="str">
            <v>Wipro GE Medical Systems Ltd-LEASE-4</v>
          </cell>
          <cell r="F774" t="str">
            <v>Plot no. 4, Kadugodi Plantation Indl. Area, Sadarmangala, Bangalore</v>
          </cell>
          <cell r="I774" t="str">
            <v>Corporate</v>
          </cell>
        </row>
        <row r="775">
          <cell r="B775" t="str">
            <v>W10492</v>
          </cell>
          <cell r="C775" t="str">
            <v>R1</v>
          </cell>
          <cell r="D775" t="str">
            <v>R</v>
          </cell>
          <cell r="E775" t="str">
            <v>Citi Cardiac Research Centre Ltd</v>
          </cell>
          <cell r="F775" t="str">
            <v>RING ROAD, NEAR ITI COLLEGE, VIJAYWADA, AP-, PH: 0866-470283</v>
          </cell>
          <cell r="I775" t="str">
            <v>South</v>
          </cell>
        </row>
        <row r="776">
          <cell r="B776" t="str">
            <v>W10493</v>
          </cell>
          <cell r="C776" t="str">
            <v>R1</v>
          </cell>
          <cell r="D776" t="str">
            <v>R</v>
          </cell>
          <cell r="E776" t="str">
            <v>Prateek Mishra</v>
          </cell>
          <cell r="F776" t="str">
            <v>M-164, MADHAV NAGAR, JHANSI ROAD, GAWALIOR, MP, PH: 0751-324618/9827013508</v>
          </cell>
          <cell r="I776" t="str">
            <v>North</v>
          </cell>
        </row>
        <row r="777">
          <cell r="B777" t="str">
            <v>W10494</v>
          </cell>
          <cell r="C777" t="str">
            <v>R1</v>
          </cell>
          <cell r="D777" t="str">
            <v>R</v>
          </cell>
          <cell r="E777" t="str">
            <v>Lal Pathlabs Pvt Ltd</v>
          </cell>
          <cell r="F777" t="str">
            <v>ESKAY HOUSE, 54, HANUMAN ROAD, NEW DELHI-3341638</v>
          </cell>
          <cell r="I777" t="str">
            <v>North</v>
          </cell>
        </row>
        <row r="778">
          <cell r="B778" t="str">
            <v>W10495</v>
          </cell>
          <cell r="C778" t="str">
            <v>R1</v>
          </cell>
          <cell r="D778" t="str">
            <v>R</v>
          </cell>
          <cell r="E778" t="str">
            <v>Jayadeva Sinha</v>
          </cell>
          <cell r="F778" t="str">
            <v>C/ SUPER HOSPITAL, WEST RAMSAGAR TANK, GAYA-823001, BIHAR, PH: 0631-421994</v>
          </cell>
          <cell r="I778" t="str">
            <v>East</v>
          </cell>
        </row>
        <row r="779">
          <cell r="B779" t="str">
            <v>W10496</v>
          </cell>
          <cell r="C779" t="str">
            <v>R1</v>
          </cell>
          <cell r="D779" t="str">
            <v>R</v>
          </cell>
          <cell r="E779" t="str">
            <v>Medicave Diagnostic Centre Pvt Ltd</v>
          </cell>
          <cell r="F779" t="str">
            <v>48B, BT ROAD, SINTHI MORE, CALCUTTA-50,PH: 557-7455/9463,5580920</v>
          </cell>
          <cell r="I779" t="str">
            <v>East</v>
          </cell>
        </row>
        <row r="780">
          <cell r="B780" t="str">
            <v>W10497</v>
          </cell>
          <cell r="C780" t="str">
            <v>R1</v>
          </cell>
          <cell r="D780" t="str">
            <v>R</v>
          </cell>
          <cell r="E780" t="str">
            <v>SR Dinesh</v>
          </cell>
          <cell r="F780" t="str">
            <v>SSM HOSPITAL, SHANKAR MUTT ROAD, K R PURAM, HASSAN-573201, PH: 34412/34414/64484</v>
          </cell>
          <cell r="I780" t="str">
            <v>South</v>
          </cell>
        </row>
        <row r="781">
          <cell r="B781" t="str">
            <v>W10498</v>
          </cell>
          <cell r="C781" t="str">
            <v>R1</v>
          </cell>
          <cell r="D781" t="str">
            <v>R</v>
          </cell>
          <cell r="E781" t="str">
            <v>Brindavan Hospital &amp; Research Centre Pvt Ltd</v>
          </cell>
          <cell r="F781" t="str">
            <v>RANCHI ROAD, PO MARAR DISTT. HAZIRABAD, JHARKHAND, PH: 25554/22304/25330</v>
          </cell>
          <cell r="I781" t="str">
            <v>North</v>
          </cell>
        </row>
        <row r="782">
          <cell r="B782" t="str">
            <v>W10499</v>
          </cell>
          <cell r="C782" t="str">
            <v>R1</v>
          </cell>
          <cell r="D782" t="str">
            <v>R</v>
          </cell>
          <cell r="E782" t="str">
            <v>AP Velmurugan</v>
          </cell>
          <cell r="F782" t="str">
            <v>72-E, NEHRU NAGAR, NORTH UDAYPARPALAYAM, ATTUR-636102, ATTUR, PH: 04282-40617</v>
          </cell>
          <cell r="I782" t="str">
            <v>South</v>
          </cell>
        </row>
        <row r="783">
          <cell r="B783" t="str">
            <v>W10500</v>
          </cell>
          <cell r="C783" t="str">
            <v>R1</v>
          </cell>
          <cell r="D783" t="str">
            <v>R</v>
          </cell>
          <cell r="E783" t="str">
            <v>VV Subbarayadu</v>
          </cell>
          <cell r="F783" t="str">
            <v>FLAT NO. 302, SRI NILAYAM, S R NAGAR, NEAR VIJAYWADA , , HYDERABAD-500038, 040-3703530/3531</v>
          </cell>
          <cell r="I783" t="str">
            <v>South</v>
          </cell>
        </row>
        <row r="784">
          <cell r="B784" t="str">
            <v>W10501</v>
          </cell>
          <cell r="C784" t="str">
            <v>R1</v>
          </cell>
          <cell r="D784" t="str">
            <v>R</v>
          </cell>
          <cell r="E784" t="str">
            <v>K Rajshekar</v>
          </cell>
          <cell r="F784" t="str">
            <v>C N HOSPITAL, BIRLA GUEST HOUSE COMPOUND, GOOTY ROAD, KURNOOL, PH: 08518/33377/30677</v>
          </cell>
          <cell r="I784" t="str">
            <v>South</v>
          </cell>
        </row>
        <row r="785">
          <cell r="B785" t="str">
            <v>W10502</v>
          </cell>
          <cell r="C785" t="str">
            <v>R1</v>
          </cell>
          <cell r="D785" t="str">
            <v>R</v>
          </cell>
          <cell r="E785" t="str">
            <v>Brindavan Hospital &amp; Research Centre Pvt Ltd-2</v>
          </cell>
          <cell r="F785" t="str">
            <v>RANCHI ROAD, PO MARAR DISTT. HAZIRABAD, JHARKHAND, PH: 25554/22304/25330</v>
          </cell>
          <cell r="I785" t="str">
            <v>North</v>
          </cell>
        </row>
        <row r="786">
          <cell r="B786" t="str">
            <v>W10503</v>
          </cell>
          <cell r="C786" t="str">
            <v>R1</v>
          </cell>
          <cell r="D786" t="str">
            <v>R</v>
          </cell>
          <cell r="E786" t="str">
            <v>B Santhakumar</v>
          </cell>
          <cell r="F786" t="str">
            <v>30-19-5A, CHAPALWARI STREET, SEETHARAMPURAM, VIJAYWADA-520001, PH: 0866-439163</v>
          </cell>
          <cell r="I786" t="str">
            <v>South</v>
          </cell>
        </row>
        <row r="787">
          <cell r="B787" t="str">
            <v>W10504</v>
          </cell>
          <cell r="C787" t="str">
            <v>R1</v>
          </cell>
          <cell r="D787" t="str">
            <v>R</v>
          </cell>
          <cell r="E787" t="str">
            <v>Manoj Jain</v>
          </cell>
          <cell r="F787" t="str">
            <v>578, SHANTI NAGAR, JAIPUR-18, RAJASTHAN, PH: 0141-761662</v>
          </cell>
          <cell r="I787" t="str">
            <v>North</v>
          </cell>
        </row>
        <row r="788">
          <cell r="B788" t="str">
            <v>W10505</v>
          </cell>
          <cell r="C788" t="str">
            <v>R1</v>
          </cell>
          <cell r="D788" t="str">
            <v>R</v>
          </cell>
          <cell r="E788" t="str">
            <v>Rijo Mathew</v>
          </cell>
          <cell r="F788" t="str">
            <v>82, PAUL ABRO RDS RESIDENCY, KACHERIPADY,CHOITTOOR ROAD, COCHIN-682018, PH: 0484-396146</v>
          </cell>
          <cell r="I788" t="str">
            <v>South</v>
          </cell>
        </row>
        <row r="789">
          <cell r="B789" t="str">
            <v>W10506</v>
          </cell>
          <cell r="C789" t="str">
            <v>R1</v>
          </cell>
          <cell r="D789" t="str">
            <v>R</v>
          </cell>
          <cell r="E789" t="str">
            <v>Teresa Diagnostic Centre</v>
          </cell>
          <cell r="F789" t="str">
            <v>7, HOSPITAL ROAD, AGARTALA, TRIPURA-799001, PH: 0381-302717</v>
          </cell>
          <cell r="I789" t="str">
            <v>East</v>
          </cell>
        </row>
        <row r="790">
          <cell r="B790" t="str">
            <v>W10507</v>
          </cell>
          <cell r="C790" t="str">
            <v>R1</v>
          </cell>
          <cell r="D790" t="str">
            <v>R</v>
          </cell>
          <cell r="E790" t="str">
            <v>Shyam Baruah- EKO PATH CENTRE</v>
          </cell>
          <cell r="F790" t="str">
            <v>EKOPATH CENTRE , G S ROAD, CHRISTIAN BASTI, GUWAHATI-781005, ASSAM, PH: 0361-222595/592478, 98640-28536</v>
          </cell>
          <cell r="I790" t="str">
            <v>East</v>
          </cell>
        </row>
        <row r="791">
          <cell r="B791" t="str">
            <v>W10508</v>
          </cell>
          <cell r="C791" t="str">
            <v>R1</v>
          </cell>
          <cell r="D791" t="str">
            <v>R</v>
          </cell>
          <cell r="E791" t="str">
            <v>Rekha Medical &amp; Research Centre Pvt Ltd</v>
          </cell>
          <cell r="F791" t="str">
            <v>1ST 32/82, RASHMI NAGAR, LANKA, VARANASI-5, PH: 310264/313942</v>
          </cell>
          <cell r="I791" t="str">
            <v>North</v>
          </cell>
        </row>
        <row r="792">
          <cell r="B792" t="str">
            <v>W10509</v>
          </cell>
          <cell r="C792" t="str">
            <v>R1</v>
          </cell>
          <cell r="D792" t="str">
            <v>R</v>
          </cell>
          <cell r="E792" t="str">
            <v>Jayant H Wagh</v>
          </cell>
          <cell r="F792" t="str">
            <v>17, MIG ENCLAVE, OPP- CIDCO OFFICE, MUMBAI ROAD, AGRA ROAD, NASIK-422009, PH: 0253-390890,394383</v>
          </cell>
          <cell r="I792" t="str">
            <v>West</v>
          </cell>
        </row>
        <row r="793">
          <cell r="B793" t="str">
            <v>W10510</v>
          </cell>
          <cell r="C793" t="str">
            <v>R1</v>
          </cell>
          <cell r="D793" t="str">
            <v>R</v>
          </cell>
          <cell r="E793" t="str">
            <v>MIOT Hospitals Ltd-1</v>
          </cell>
          <cell r="F793" t="str">
            <v>4/112, MOUNT ROAD, POONAMALLE, ROAD, CHENNAI-600089, CHENNAI, PH: 044-2492288</v>
          </cell>
          <cell r="I793" t="str">
            <v>South</v>
          </cell>
        </row>
        <row r="794">
          <cell r="B794" t="str">
            <v>W10511</v>
          </cell>
          <cell r="C794" t="str">
            <v>R1</v>
          </cell>
          <cell r="D794" t="str">
            <v>R</v>
          </cell>
          <cell r="E794" t="str">
            <v>Ajit Singh Randhawa</v>
          </cell>
          <cell r="F794" t="str">
            <v>309, GREEN AVENUE, CIRCULAR ROAD, AMRITSAR, PH: 503624,503640/508877</v>
          </cell>
          <cell r="I794" t="str">
            <v>North</v>
          </cell>
        </row>
        <row r="795">
          <cell r="B795" t="str">
            <v>W10512</v>
          </cell>
          <cell r="C795" t="str">
            <v>R1</v>
          </cell>
          <cell r="D795" t="str">
            <v>R</v>
          </cell>
          <cell r="E795" t="str">
            <v>Sri Kavery Medical Care ( Trichy ) Pvt Ltd</v>
          </cell>
          <cell r="F795" t="str">
            <v>CARE( TRICHY) PVT LTD,1, K C ROAD, TANNUR, TRICHY-620017, PH: 9842463322</v>
          </cell>
          <cell r="I795" t="str">
            <v>South</v>
          </cell>
        </row>
        <row r="796">
          <cell r="B796" t="str">
            <v>W10513</v>
          </cell>
          <cell r="D796" t="str">
            <v>R</v>
          </cell>
          <cell r="E796" t="str">
            <v>Mahatma Gandhi Vidyapeeth Trust ( MGVT )- Sagar Apollo Hospital</v>
          </cell>
          <cell r="F796" t="str">
            <v>VIDYAPEETH TRUST, 39/2, BANNARGHATTA ROAD, BANGALORE, PH: 5521175</v>
          </cell>
          <cell r="I796" t="str">
            <v>South</v>
          </cell>
        </row>
        <row r="797">
          <cell r="B797" t="str">
            <v>W10514-A</v>
          </cell>
          <cell r="D797" t="str">
            <v>R</v>
          </cell>
          <cell r="E797" t="str">
            <v>Sapthagiri Digital Imaging Centre Pvt. Ltd. (Champak funding)</v>
          </cell>
          <cell r="F797" t="str">
            <v>MR CAHU  C/O CMH HOSPITAL, CMH ROAD, INDIRA NAGAR, BANGALORE, KARNATAKA</v>
          </cell>
          <cell r="I797" t="str">
            <v>South</v>
          </cell>
        </row>
        <row r="798">
          <cell r="B798" t="str">
            <v>W10514</v>
          </cell>
          <cell r="C798" t="str">
            <v>R1</v>
          </cell>
          <cell r="D798" t="str">
            <v>R</v>
          </cell>
          <cell r="E798" t="str">
            <v>AVM Associates Pvt. Ltd.</v>
          </cell>
          <cell r="F798" t="str">
            <v>135, PALAYAMKOTTAI ROAD, TUTICORIN-628003</v>
          </cell>
          <cell r="I798" t="str">
            <v>South</v>
          </cell>
        </row>
        <row r="799">
          <cell r="B799" t="str">
            <v>W10515</v>
          </cell>
          <cell r="C799" t="str">
            <v>R1</v>
          </cell>
          <cell r="D799" t="str">
            <v>R</v>
          </cell>
          <cell r="E799" t="str">
            <v>Bharat Vikas Parishad Seva Sansthan</v>
          </cell>
          <cell r="F799" t="str">
            <v>SEWA SANSTHAN -KOTA, PRATAP NAGAR, DAD BADI, KOTA-RAJASTHAN, PH: 422810/430544</v>
          </cell>
          <cell r="I799" t="str">
            <v>North</v>
          </cell>
        </row>
        <row r="800">
          <cell r="B800" t="str">
            <v>W10517</v>
          </cell>
          <cell r="C800" t="str">
            <v>R1</v>
          </cell>
          <cell r="D800" t="str">
            <v>R</v>
          </cell>
          <cell r="E800" t="str">
            <v>Calcutta Imaging</v>
          </cell>
          <cell r="F800" t="str">
            <v>54, JAWAHAR LAL NEHRU ROAD, CALCUTTA-700071, PH: 282-9246/8105/8106/8109</v>
          </cell>
          <cell r="I800" t="str">
            <v>East</v>
          </cell>
        </row>
        <row r="801">
          <cell r="B801" t="str">
            <v>W10516</v>
          </cell>
          <cell r="C801" t="str">
            <v>R1</v>
          </cell>
          <cell r="D801" t="str">
            <v>R</v>
          </cell>
          <cell r="E801" t="str">
            <v>Getwell Polyclinic &amp; Hospital</v>
          </cell>
          <cell r="F801" t="str">
            <v>JAWAHARLAL NEHRU MARG, JAIPUR-302004, PH: 0141-563743, 570560</v>
          </cell>
          <cell r="I801" t="str">
            <v>North</v>
          </cell>
        </row>
        <row r="802">
          <cell r="B802" t="str">
            <v>W10518</v>
          </cell>
          <cell r="C802" t="str">
            <v>R1</v>
          </cell>
          <cell r="D802" t="str">
            <v>R</v>
          </cell>
          <cell r="E802" t="str">
            <v>Poona Diagnostic Services Pvt Ltd</v>
          </cell>
          <cell r="F802" t="str">
            <v>POONA HOSPITAL COMPOUND, 27, SADASHIV PETH, PUNE-411030, PH: 4337313/4334661</v>
          </cell>
          <cell r="I802" t="str">
            <v>West</v>
          </cell>
        </row>
        <row r="803">
          <cell r="B803" t="str">
            <v>W10519</v>
          </cell>
          <cell r="C803" t="str">
            <v>R1</v>
          </cell>
          <cell r="D803" t="str">
            <v>R</v>
          </cell>
          <cell r="E803" t="str">
            <v>Nikit P Mehta-4</v>
          </cell>
          <cell r="F803" t="str">
            <v>Station Road,Misaj, Maharashtra-416410</v>
          </cell>
          <cell r="I803" t="str">
            <v>West</v>
          </cell>
        </row>
        <row r="804">
          <cell r="B804" t="str">
            <v>W10520</v>
          </cell>
          <cell r="C804" t="str">
            <v>R1</v>
          </cell>
          <cell r="D804" t="str">
            <v>R</v>
          </cell>
          <cell r="E804" t="str">
            <v>Ashok Sancheti</v>
          </cell>
          <cell r="F804" t="str">
            <v>2, SUPERSHASHWATH SOCIETY, YARD ROAD, PUNE-411037, PH: 4216378,4212496,9822093719</v>
          </cell>
          <cell r="I804" t="str">
            <v>West</v>
          </cell>
        </row>
        <row r="805">
          <cell r="B805" t="str">
            <v>W10521</v>
          </cell>
          <cell r="C805" t="str">
            <v>R1</v>
          </cell>
          <cell r="D805" t="str">
            <v>R</v>
          </cell>
          <cell r="E805" t="str">
            <v>Amrish K Dalal</v>
          </cell>
          <cell r="F805" t="str">
            <v>FLAT NO. 9,GEETA P RAMABAI ROAD,GAMADEVI MUMBAI, PH:022-3695344/3694191</v>
          </cell>
          <cell r="I805" t="str">
            <v>West</v>
          </cell>
        </row>
        <row r="806">
          <cell r="B806" t="str">
            <v>W10522</v>
          </cell>
          <cell r="C806" t="str">
            <v>R1</v>
          </cell>
          <cell r="D806" t="str">
            <v>R</v>
          </cell>
          <cell r="E806" t="str">
            <v>Ashok Khurana</v>
          </cell>
          <cell r="F806" t="str">
            <v>C584, DEFENCE COLONY, NEW DELHI-110024, PH: 011-632769</v>
          </cell>
          <cell r="I806" t="str">
            <v>North</v>
          </cell>
        </row>
        <row r="807">
          <cell r="B807" t="str">
            <v>W10523</v>
          </cell>
          <cell r="C807" t="str">
            <v>R1</v>
          </cell>
          <cell r="D807" t="str">
            <v>R</v>
          </cell>
          <cell r="E807" t="str">
            <v>Karnavati Hospital Pvt Ltd</v>
          </cell>
          <cell r="F807" t="str">
            <v>NEAR ELLIES BRIDGE, AHAMEDABAD, PH: 079-6575500</v>
          </cell>
          <cell r="I807" t="str">
            <v>West</v>
          </cell>
        </row>
        <row r="808">
          <cell r="B808" t="str">
            <v>W10524</v>
          </cell>
          <cell r="C808" t="str">
            <v>R1</v>
          </cell>
          <cell r="D808" t="str">
            <v>R</v>
          </cell>
          <cell r="E808" t="str">
            <v>Mohammad Niyaz</v>
          </cell>
          <cell r="F808" t="str">
            <v>SUNCITY HOSPITAL &amp; RESEARCH CENTRE, MAULANA ROAD, MAKRANA DISTT, NAGAUR, PH: 01588-44301/46399</v>
          </cell>
          <cell r="I808" t="str">
            <v>North</v>
          </cell>
        </row>
        <row r="809">
          <cell r="B809" t="str">
            <v>W10525</v>
          </cell>
          <cell r="C809" t="str">
            <v>R1</v>
          </cell>
          <cell r="D809" t="str">
            <v>R</v>
          </cell>
          <cell r="E809" t="str">
            <v>Kamakshi Bose</v>
          </cell>
          <cell r="F809" t="str">
            <v>VASANTHAM DIAGNOSTIC29, EAST VERI STREET, MADURAI-625001</v>
          </cell>
          <cell r="I809" t="str">
            <v>South</v>
          </cell>
        </row>
        <row r="810">
          <cell r="B810" t="str">
            <v>W10526</v>
          </cell>
          <cell r="C810" t="str">
            <v>R1</v>
          </cell>
          <cell r="D810" t="str">
            <v>R</v>
          </cell>
          <cell r="E810" t="str">
            <v>AR Shanthini</v>
          </cell>
          <cell r="F810" t="str">
            <v>ARUNA CLINIC. SENDURAI ROAD, NATHAM-624401, DINDIGUL</v>
          </cell>
          <cell r="I810" t="str">
            <v>South</v>
          </cell>
        </row>
        <row r="811">
          <cell r="B811" t="str">
            <v>W10527</v>
          </cell>
          <cell r="C811" t="str">
            <v>R1</v>
          </cell>
          <cell r="D811" t="str">
            <v>R</v>
          </cell>
          <cell r="E811" t="str">
            <v>Pankaj Scanning  Pathology Centre Pvt Ltd-2</v>
          </cell>
          <cell r="F811" t="str">
            <v>A-13, SHOPPING ARCADE, SADAR BAZAR, AGRA-282001, PH: 363731/368607/368606</v>
          </cell>
          <cell r="I811" t="str">
            <v>North</v>
          </cell>
        </row>
        <row r="812">
          <cell r="B812" t="str">
            <v>W10528</v>
          </cell>
          <cell r="C812" t="str">
            <v>R1</v>
          </cell>
          <cell r="D812" t="str">
            <v>R</v>
          </cell>
          <cell r="E812" t="str">
            <v>Pankaj Scanning  Pathology Centre Pvt Ltd-3</v>
          </cell>
          <cell r="F812" t="str">
            <v>A-13, SHOPPING ARCADE, SADAR BAZAR, AGRA-282001, PH: 363731/368607/368606</v>
          </cell>
          <cell r="I812" t="str">
            <v>North</v>
          </cell>
        </row>
        <row r="813">
          <cell r="B813" t="str">
            <v>W10529</v>
          </cell>
          <cell r="C813" t="str">
            <v>R1</v>
          </cell>
          <cell r="D813" t="str">
            <v>R</v>
          </cell>
          <cell r="E813" t="str">
            <v>Farah Naaz</v>
          </cell>
          <cell r="F813" t="str">
            <v>19-3-421/1/4, Charchaman, jahanuma, Hyderabad-2</v>
          </cell>
          <cell r="I813" t="str">
            <v>South</v>
          </cell>
        </row>
        <row r="814">
          <cell r="B814" t="str">
            <v>W10530</v>
          </cell>
          <cell r="C814" t="str">
            <v>R1</v>
          </cell>
          <cell r="D814" t="str">
            <v>R</v>
          </cell>
          <cell r="E814" t="str">
            <v>P Sudha Rani</v>
          </cell>
          <cell r="F814" t="str">
            <v>1-4-249/149, Sri Surya Nursing Home, K K Road, Suryaper Distt-508213, Ph : 08684-20389</v>
          </cell>
          <cell r="I814" t="str">
            <v>South</v>
          </cell>
        </row>
        <row r="815">
          <cell r="B815" t="str">
            <v>W10532</v>
          </cell>
          <cell r="C815" t="str">
            <v>R1</v>
          </cell>
          <cell r="D815" t="str">
            <v>R</v>
          </cell>
          <cell r="E815" t="str">
            <v>SR Trust -Meenakshi Mission Hospital</v>
          </cell>
          <cell r="F815" t="str">
            <v>Lake Area, Melur Road, madurai</v>
          </cell>
          <cell r="I815" t="str">
            <v>South</v>
          </cell>
        </row>
        <row r="816">
          <cell r="B816" t="str">
            <v>W10533</v>
          </cell>
          <cell r="C816" t="str">
            <v>R1</v>
          </cell>
          <cell r="D816" t="str">
            <v>R</v>
          </cell>
          <cell r="E816" t="str">
            <v>Okay Diagnostic Centre</v>
          </cell>
          <cell r="F816" t="str">
            <v>No. 4, Vivekanand Marg, Jaipur- Ph : 0141-367099</v>
          </cell>
          <cell r="I816" t="str">
            <v>North</v>
          </cell>
        </row>
        <row r="817">
          <cell r="B817" t="str">
            <v>W10534</v>
          </cell>
          <cell r="C817" t="str">
            <v>R1</v>
          </cell>
          <cell r="D817" t="str">
            <v>R</v>
          </cell>
          <cell r="E817" t="str">
            <v>Surendranath Reddy</v>
          </cell>
          <cell r="F817" t="str">
            <v>Vijaya Diag Centre, 3-6-20&lt; Tirumala Apartments. Skyline Theatre Lane, Hyderabad-16</v>
          </cell>
          <cell r="I817" t="str">
            <v>South</v>
          </cell>
        </row>
        <row r="818">
          <cell r="B818" t="str">
            <v>W10535</v>
          </cell>
          <cell r="C818" t="str">
            <v>R1</v>
          </cell>
          <cell r="D818" t="str">
            <v>NA</v>
          </cell>
          <cell r="E818" t="str">
            <v>Vijaya Medical Center</v>
          </cell>
          <cell r="I818" t="str">
            <v>South</v>
          </cell>
        </row>
        <row r="819">
          <cell r="B819" t="str">
            <v>W10536</v>
          </cell>
          <cell r="C819" t="str">
            <v>R1</v>
          </cell>
          <cell r="D819" t="str">
            <v>R</v>
          </cell>
          <cell r="E819" t="str">
            <v>Rajendra Sharma</v>
          </cell>
          <cell r="F819" t="str">
            <v>102, Milla Apartments, Next to Mandui Bank (Bawdi Stop), Marue Road, Oclem, Malad (W),Mumbai - 400064</v>
          </cell>
          <cell r="I819" t="str">
            <v>West</v>
          </cell>
        </row>
        <row r="820">
          <cell r="B820" t="str">
            <v>W10537</v>
          </cell>
          <cell r="C820" t="str">
            <v>R1</v>
          </cell>
          <cell r="D820" t="str">
            <v>R</v>
          </cell>
          <cell r="E820" t="str">
            <v>P Sunderbabu</v>
          </cell>
          <cell r="F820" t="str">
            <v>20-31, Beside Natraj Theatre, Miryalguda, Dist - Nalganda, Miryalguda</v>
          </cell>
          <cell r="I820" t="str">
            <v>South</v>
          </cell>
        </row>
        <row r="821">
          <cell r="B821" t="str">
            <v>W10538</v>
          </cell>
          <cell r="C821" t="str">
            <v>R1</v>
          </cell>
          <cell r="D821" t="str">
            <v>R</v>
          </cell>
          <cell r="E821" t="str">
            <v>T P Ravi</v>
          </cell>
          <cell r="F821" t="str">
            <v>Old No:114/7, New No:15, Periyar Patha, West, Choolamedu, Chennai - 600094</v>
          </cell>
          <cell r="I821" t="str">
            <v>South</v>
          </cell>
        </row>
        <row r="822">
          <cell r="B822" t="str">
            <v>W10539</v>
          </cell>
          <cell r="C822" t="str">
            <v>R1</v>
          </cell>
          <cell r="D822" t="str">
            <v>R</v>
          </cell>
          <cell r="E822" t="str">
            <v>Ravi Talla</v>
          </cell>
          <cell r="F822" t="str">
            <v>H.No. 15-4-1, Matwada, Warangal</v>
          </cell>
          <cell r="I822" t="str">
            <v>South</v>
          </cell>
        </row>
        <row r="823">
          <cell r="B823" t="str">
            <v>W10540</v>
          </cell>
          <cell r="C823" t="str">
            <v>R1</v>
          </cell>
          <cell r="D823" t="str">
            <v>R</v>
          </cell>
          <cell r="E823" t="str">
            <v>D Kandaswamy</v>
          </cell>
          <cell r="F823" t="str">
            <v>181, Perundurai Road, Erode- 638011, Erode</v>
          </cell>
          <cell r="I823" t="str">
            <v>South</v>
          </cell>
        </row>
        <row r="824">
          <cell r="B824" t="str">
            <v>W10541</v>
          </cell>
          <cell r="C824" t="str">
            <v>R1</v>
          </cell>
          <cell r="D824" t="str">
            <v>NA</v>
          </cell>
          <cell r="E824" t="str">
            <v>Anita Diagnostic Pvt Ltd</v>
          </cell>
          <cell r="F824" t="str">
            <v>Dr. Anita's Diagnostic Realm, Sigra, Varanasi - 221010</v>
          </cell>
          <cell r="I824" t="str">
            <v>North</v>
          </cell>
        </row>
        <row r="825">
          <cell r="B825" t="str">
            <v>W10542</v>
          </cell>
          <cell r="C825" t="str">
            <v>R1</v>
          </cell>
          <cell r="D825" t="str">
            <v>R</v>
          </cell>
          <cell r="E825" t="str">
            <v>AS Sandhu-ARK Diagnostics</v>
          </cell>
          <cell r="F825" t="str">
            <v>C/O-ARK Diagnostics, C2/17, Arjun Marg, DLF City Phase-I , Gurgaon - 122002</v>
          </cell>
          <cell r="I825" t="str">
            <v>North</v>
          </cell>
        </row>
        <row r="826">
          <cell r="B826" t="str">
            <v>W10543</v>
          </cell>
          <cell r="C826" t="str">
            <v>R1</v>
          </cell>
          <cell r="D826" t="str">
            <v>R</v>
          </cell>
          <cell r="E826" t="str">
            <v>HK Pant</v>
          </cell>
          <cell r="F826" t="str">
            <v>Pant Clinic &amp; Diagnostic Centre, Delhi Gate, NAHAN- 173001, Himachal Pradesh</v>
          </cell>
          <cell r="I826" t="str">
            <v>North</v>
          </cell>
        </row>
        <row r="827">
          <cell r="B827" t="str">
            <v>W10544</v>
          </cell>
          <cell r="C827" t="str">
            <v>R1</v>
          </cell>
          <cell r="D827" t="str">
            <v>R</v>
          </cell>
          <cell r="E827" t="str">
            <v>IV Krishna Reddy</v>
          </cell>
          <cell r="F827" t="str">
            <v>Sriniuasa Nursing Home, Sangam, Nellore-Dist</v>
          </cell>
          <cell r="I827" t="str">
            <v>South</v>
          </cell>
        </row>
        <row r="828">
          <cell r="B828" t="str">
            <v>W10545</v>
          </cell>
          <cell r="C828" t="str">
            <v>R1</v>
          </cell>
          <cell r="D828" t="str">
            <v>R</v>
          </cell>
          <cell r="E828" t="str">
            <v>Sheuli Chowdhury-Life Line</v>
          </cell>
          <cell r="F828" t="str">
            <v>C/O - Life Line, 5/4, R.N.Tagore Road, Laldighi, Beehampore, Murshidabad</v>
          </cell>
          <cell r="I828" t="str">
            <v>East</v>
          </cell>
        </row>
        <row r="829">
          <cell r="B829" t="str">
            <v>W10546</v>
          </cell>
          <cell r="C829" t="str">
            <v>R1</v>
          </cell>
          <cell r="D829" t="str">
            <v>R</v>
          </cell>
          <cell r="E829" t="str">
            <v>Devi Scans Pvt Ltd-2</v>
          </cell>
          <cell r="F829" t="str">
            <v>Opp. Medical College High School, Kumarapuram, Thiruvananthapuram - 695011</v>
          </cell>
          <cell r="I829" t="str">
            <v>South</v>
          </cell>
        </row>
        <row r="830">
          <cell r="B830" t="str">
            <v>W10547</v>
          </cell>
          <cell r="C830" t="str">
            <v>R1</v>
          </cell>
          <cell r="D830" t="str">
            <v>R</v>
          </cell>
          <cell r="E830" t="str">
            <v>Spectrum Diagnostics &amp; Research Pvt Ltd</v>
          </cell>
          <cell r="F830" t="str">
            <v>18/A, 3rd Floor, Ismail Building, 381 D.N.Road, Mumbai - 400001</v>
          </cell>
          <cell r="I830" t="str">
            <v>West</v>
          </cell>
        </row>
        <row r="831">
          <cell r="B831" t="str">
            <v>W10548</v>
          </cell>
          <cell r="C831" t="str">
            <v>R1</v>
          </cell>
          <cell r="D831" t="str">
            <v>R</v>
          </cell>
          <cell r="E831" t="str">
            <v>Travancore Scan Diagnostic Centre</v>
          </cell>
          <cell r="F831" t="str">
            <v>Opp. Municipal Stadium, College Road, Pathananthitta - 689645</v>
          </cell>
          <cell r="I831" t="str">
            <v>South</v>
          </cell>
        </row>
        <row r="832">
          <cell r="B832" t="str">
            <v>W10549</v>
          </cell>
          <cell r="C832" t="str">
            <v>R1</v>
          </cell>
          <cell r="D832" t="str">
            <v>R</v>
          </cell>
          <cell r="E832" t="str">
            <v>Ultrasound clinic</v>
          </cell>
          <cell r="F832" t="str">
            <v>Second Floor Abbas Ambers, Opp. Café Maha Naaf, Pune - 411001</v>
          </cell>
          <cell r="I832" t="str">
            <v>West</v>
          </cell>
        </row>
        <row r="833">
          <cell r="B833" t="str">
            <v>W10550</v>
          </cell>
          <cell r="C833" t="str">
            <v>R1</v>
          </cell>
          <cell r="D833" t="str">
            <v>R</v>
          </cell>
          <cell r="E833" t="str">
            <v>Siva Prasad</v>
          </cell>
          <cell r="F833" t="str">
            <v>Sree Lekha Mat.X Nursing Home, Gandhi Chowk. Paga Pulla Reddy, Bangalore, Gadwal</v>
          </cell>
          <cell r="I833" t="str">
            <v>South</v>
          </cell>
        </row>
        <row r="834">
          <cell r="B834" t="str">
            <v>W10551</v>
          </cell>
          <cell r="C834" t="str">
            <v>R1</v>
          </cell>
          <cell r="D834" t="str">
            <v>R</v>
          </cell>
          <cell r="E834" t="str">
            <v>Mahesh Sinnarkar</v>
          </cell>
          <cell r="F834" t="str">
            <v>Shrikrupa Hospital, Landge Building, NavaMaharashtra Chowk, Kasarwadi, Pune, Mumbai Road, Pune - 411034</v>
          </cell>
          <cell r="I834" t="str">
            <v>West</v>
          </cell>
        </row>
        <row r="835">
          <cell r="B835" t="str">
            <v>W10552</v>
          </cell>
          <cell r="C835" t="str">
            <v>R1</v>
          </cell>
          <cell r="D835" t="str">
            <v>R</v>
          </cell>
          <cell r="E835" t="str">
            <v>Suresh N Krishnan</v>
          </cell>
          <cell r="F835" t="str">
            <v>Suresh Scan Centre, Royal Hosp Complex, 1624, South Main St Thayavur, Thayavur</v>
          </cell>
          <cell r="I835" t="str">
            <v>South</v>
          </cell>
        </row>
        <row r="836">
          <cell r="B836" t="str">
            <v>W10553</v>
          </cell>
          <cell r="C836" t="str">
            <v>R1</v>
          </cell>
          <cell r="D836" t="str">
            <v>R</v>
          </cell>
          <cell r="E836" t="str">
            <v>S Sethurajan</v>
          </cell>
          <cell r="F836" t="str">
            <v xml:space="preserve">Sethu Scan Services, 72 South Car Street, Chidambaram - 608001, </v>
          </cell>
          <cell r="I836" t="str">
            <v>South</v>
          </cell>
        </row>
        <row r="837">
          <cell r="B837" t="str">
            <v>W10554</v>
          </cell>
          <cell r="C837" t="str">
            <v>R1</v>
          </cell>
          <cell r="D837" t="str">
            <v>R</v>
          </cell>
          <cell r="E837" t="str">
            <v>Prakash Patil</v>
          </cell>
          <cell r="F837" t="str">
            <v>Life Line Hospital, Amit Apartment,Shivaji Rd, Pamel - 410206</v>
          </cell>
          <cell r="I837" t="str">
            <v>West</v>
          </cell>
        </row>
        <row r="838">
          <cell r="B838" t="str">
            <v>W10555</v>
          </cell>
          <cell r="C838" t="str">
            <v>R1</v>
          </cell>
          <cell r="D838" t="str">
            <v>R</v>
          </cell>
          <cell r="E838" t="str">
            <v>AD Vora</v>
          </cell>
          <cell r="F838" t="str">
            <v>Nandini Hospital Aradhana, Baghwan Mahvir Path, Natepull, Dist-Sholapur</v>
          </cell>
          <cell r="I838" t="str">
            <v>West</v>
          </cell>
        </row>
        <row r="839">
          <cell r="B839" t="str">
            <v>W10556</v>
          </cell>
          <cell r="C839" t="str">
            <v>R1</v>
          </cell>
          <cell r="D839" t="str">
            <v>R</v>
          </cell>
          <cell r="E839" t="str">
            <v>T Kumarswamy</v>
          </cell>
          <cell r="F839" t="str">
            <v>Tejesoi Nursing Home, Opp. Ram Temple, Mahabubabad - 506101</v>
          </cell>
          <cell r="I839" t="str">
            <v>South</v>
          </cell>
        </row>
        <row r="840">
          <cell r="B840" t="str">
            <v>W10557</v>
          </cell>
          <cell r="C840" t="str">
            <v>R1</v>
          </cell>
          <cell r="D840" t="str">
            <v>R</v>
          </cell>
          <cell r="E840" t="str">
            <v>Arumugam</v>
          </cell>
          <cell r="F840" t="str">
            <v>Main Road, Pavurchatram - 627808</v>
          </cell>
          <cell r="I840" t="str">
            <v>South</v>
          </cell>
        </row>
        <row r="841">
          <cell r="B841" t="str">
            <v>W10558</v>
          </cell>
          <cell r="C841" t="str">
            <v>R1</v>
          </cell>
          <cell r="D841" t="str">
            <v>R</v>
          </cell>
          <cell r="E841" t="str">
            <v>Sri Bidhan Chandra Dutta-Drug House Diagnostic Centre-1</v>
          </cell>
          <cell r="F841" t="str">
            <v>C/O- Drug House Diagnostic Centre, 48A, Dey Street (Battala Crossing), Serampore, Hooghly, Uttarapara</v>
          </cell>
          <cell r="I841" t="str">
            <v>East</v>
          </cell>
        </row>
        <row r="842">
          <cell r="B842" t="str">
            <v>W10559</v>
          </cell>
          <cell r="C842" t="str">
            <v>R1</v>
          </cell>
          <cell r="D842" t="str">
            <v>R</v>
          </cell>
          <cell r="E842" t="str">
            <v>Sri Bidhan Chandra Dutta-Drug House Diagnostic Centre-2</v>
          </cell>
          <cell r="F842" t="str">
            <v>C/O- Drug House Diagnostic Centre (Tarakishnas), 48, Dey Street (Battala Crossing) - 712201</v>
          </cell>
          <cell r="I842" t="str">
            <v>East</v>
          </cell>
        </row>
        <row r="843">
          <cell r="B843" t="str">
            <v>W10531</v>
          </cell>
          <cell r="C843" t="str">
            <v>R1</v>
          </cell>
          <cell r="D843" t="str">
            <v>R</v>
          </cell>
          <cell r="E843" t="str">
            <v>CDR Healthcare Limited-5</v>
          </cell>
          <cell r="F843" t="str">
            <v>3-6-287, Hyderguda, Hyderabad - 500029</v>
          </cell>
          <cell r="I843" t="str">
            <v>South</v>
          </cell>
        </row>
        <row r="844">
          <cell r="B844" t="str">
            <v>W10560</v>
          </cell>
          <cell r="C844" t="str">
            <v>R1</v>
          </cell>
          <cell r="D844" t="str">
            <v>R</v>
          </cell>
          <cell r="E844" t="str">
            <v>Unity Ahmednagar Imaging Private Limited</v>
          </cell>
          <cell r="F844" t="str">
            <v>Imaging Private Limited, Shitu Building, Mahavir Nagar, Corner Savede Road, Ahmednagar</v>
          </cell>
          <cell r="I844" t="str">
            <v>West</v>
          </cell>
        </row>
        <row r="845">
          <cell r="B845" t="str">
            <v>W10561</v>
          </cell>
          <cell r="C845" t="str">
            <v>R1</v>
          </cell>
          <cell r="D845" t="str">
            <v>R</v>
          </cell>
          <cell r="E845" t="str">
            <v>Phisicare Healthcare &amp; Service Ltd-HOSMAT-1</v>
          </cell>
          <cell r="I845" t="str">
            <v>South</v>
          </cell>
        </row>
        <row r="846">
          <cell r="B846" t="str">
            <v>W10562</v>
          </cell>
          <cell r="C846" t="str">
            <v>R1</v>
          </cell>
          <cell r="D846" t="str">
            <v>R</v>
          </cell>
          <cell r="E846" t="str">
            <v>Eko Diagnostic Pvt Ltd</v>
          </cell>
          <cell r="F846" t="str">
            <v>54, Jawaharlal Nehru Road , Kolkata - 700071</v>
          </cell>
          <cell r="I846" t="str">
            <v>East</v>
          </cell>
        </row>
        <row r="847">
          <cell r="B847" t="str">
            <v>W10563</v>
          </cell>
          <cell r="C847" t="str">
            <v>R1</v>
          </cell>
          <cell r="D847" t="str">
            <v>R</v>
          </cell>
          <cell r="E847" t="str">
            <v>Narayanan Hrudalaya Pvt Ltd</v>
          </cell>
          <cell r="F847" t="str">
            <v>258/A, Bommasandra Industrial Area, Anikal Taluk, Bangalore - 58</v>
          </cell>
          <cell r="I847" t="str">
            <v>South</v>
          </cell>
        </row>
        <row r="848">
          <cell r="B848" t="str">
            <v>W10564</v>
          </cell>
          <cell r="C848" t="str">
            <v>R1</v>
          </cell>
          <cell r="D848" t="str">
            <v>R</v>
          </cell>
          <cell r="E848" t="str">
            <v>V  Damodar Reddy</v>
          </cell>
          <cell r="F848" t="str">
            <v>H NO. 16-2-147/64/6/D, Anitha Nursing Home, Anand Nagar, Malakpet, Hyderabad - 500036</v>
          </cell>
          <cell r="I848" t="str">
            <v>South</v>
          </cell>
        </row>
        <row r="849">
          <cell r="B849" t="str">
            <v>W10565</v>
          </cell>
          <cell r="C849" t="str">
            <v>R1</v>
          </cell>
          <cell r="D849" t="str">
            <v>R</v>
          </cell>
          <cell r="E849" t="str">
            <v>T Sivapackiam</v>
          </cell>
          <cell r="F849" t="str">
            <v>M.S. Clinic , A 1/16, Chinnappa Street , Chennai - 5</v>
          </cell>
          <cell r="I849" t="str">
            <v>South</v>
          </cell>
        </row>
        <row r="850">
          <cell r="B850" t="str">
            <v>W10566</v>
          </cell>
          <cell r="C850" t="str">
            <v>R1</v>
          </cell>
          <cell r="D850" t="str">
            <v>R</v>
          </cell>
          <cell r="E850" t="str">
            <v>V Thirupapathi Raja</v>
          </cell>
          <cell r="F850" t="str">
            <v>Sri Vignesh Clinic , Muthu Mudali Street, Vyasarpadi, Chennai - 600039</v>
          </cell>
          <cell r="I850" t="str">
            <v>South</v>
          </cell>
        </row>
        <row r="851">
          <cell r="B851" t="str">
            <v>W10567</v>
          </cell>
          <cell r="C851" t="str">
            <v>R1</v>
          </cell>
          <cell r="D851" t="str">
            <v>R</v>
          </cell>
          <cell r="E851" t="str">
            <v>MD Gopal</v>
          </cell>
          <cell r="F851" t="str">
            <v>Renu Clinic , Bismi Complex, 94, GNT Road, Red Hills, Chennai - 52</v>
          </cell>
          <cell r="I851" t="str">
            <v>South</v>
          </cell>
        </row>
        <row r="852">
          <cell r="B852" t="str">
            <v>W10568</v>
          </cell>
          <cell r="C852" t="str">
            <v>R1</v>
          </cell>
          <cell r="D852" t="str">
            <v>R</v>
          </cell>
          <cell r="E852" t="str">
            <v>Eastern Diagnostic &amp; Research Centre Ltd</v>
          </cell>
          <cell r="F852" t="str">
            <v>13C, Mirza Galib Street, Calcutta - 16</v>
          </cell>
          <cell r="I852" t="str">
            <v>East</v>
          </cell>
        </row>
        <row r="853">
          <cell r="B853" t="str">
            <v>W10569-A</v>
          </cell>
          <cell r="C853" t="str">
            <v>R1</v>
          </cell>
          <cell r="D853" t="str">
            <v>R</v>
          </cell>
          <cell r="E853" t="str">
            <v>Sewa Polyclinic &amp; Diagnostic Centre</v>
          </cell>
          <cell r="F853" t="str">
            <v>Top Khana, Rampura - 326917</v>
          </cell>
          <cell r="I853" t="str">
            <v>North</v>
          </cell>
        </row>
        <row r="854">
          <cell r="B854" t="str">
            <v>W10569</v>
          </cell>
          <cell r="C854" t="str">
            <v>R1</v>
          </cell>
          <cell r="D854" t="str">
            <v>R</v>
          </cell>
          <cell r="E854" t="str">
            <v>Eko Diagnostic Pvt Ltd-4</v>
          </cell>
          <cell r="F854" t="str">
            <v>54, Jawaharlal Nehru Road, Kolkata - 700071</v>
          </cell>
          <cell r="I854" t="str">
            <v>East</v>
          </cell>
        </row>
        <row r="855">
          <cell r="B855" t="str">
            <v>W10570</v>
          </cell>
          <cell r="C855" t="str">
            <v>R1</v>
          </cell>
          <cell r="D855" t="str">
            <v>R</v>
          </cell>
          <cell r="E855" t="str">
            <v>Eko Diagnostic Pvt Ltd-5</v>
          </cell>
          <cell r="F855" t="str">
            <v>54, Jawaharlal Nehru Road, Kolkata - 700071</v>
          </cell>
          <cell r="I855" t="str">
            <v>East</v>
          </cell>
        </row>
        <row r="856">
          <cell r="B856" t="str">
            <v>W10570-RESCH</v>
          </cell>
          <cell r="E856" t="str">
            <v>Eko Diagnostic Pvt Ltd</v>
          </cell>
          <cell r="I856" t="str">
            <v>East</v>
          </cell>
        </row>
        <row r="857">
          <cell r="B857" t="str">
            <v>W10571</v>
          </cell>
          <cell r="C857" t="str">
            <v>R1</v>
          </cell>
          <cell r="D857" t="str">
            <v>R</v>
          </cell>
          <cell r="E857" t="str">
            <v>AG Padmavati's Hospital</v>
          </cell>
          <cell r="F857" t="str">
            <v>No -12, Victoriya Nagar, Ellaipillaichavadi, Pondicherry - 605005</v>
          </cell>
          <cell r="I857" t="str">
            <v>South</v>
          </cell>
        </row>
        <row r="858">
          <cell r="B858" t="str">
            <v>W10572</v>
          </cell>
          <cell r="C858" t="str">
            <v>R1</v>
          </cell>
          <cell r="D858" t="str">
            <v>R</v>
          </cell>
          <cell r="E858" t="str">
            <v>Saumya Medicare International Ltd</v>
          </cell>
          <cell r="F858" t="str">
            <v>Sri Vani Bldg, 3rd Floor, 40-1-34, M. G. Road</v>
          </cell>
          <cell r="I858" t="str">
            <v>South</v>
          </cell>
        </row>
        <row r="859">
          <cell r="B859" t="str">
            <v>W10573</v>
          </cell>
          <cell r="C859" t="str">
            <v>R1</v>
          </cell>
          <cell r="D859" t="str">
            <v>R</v>
          </cell>
          <cell r="E859" t="str">
            <v>Arabinda Das-Dr Das's Nursing Home</v>
          </cell>
          <cell r="F859" t="str">
            <v>C/O - Dr. Das's Nursing Home, New Town, PO &amp; PS - Diamond Harbour, Dist- South  24 Parganas, West Bengal - 743331</v>
          </cell>
          <cell r="I859" t="str">
            <v>East</v>
          </cell>
        </row>
        <row r="860">
          <cell r="B860" t="str">
            <v>W10574</v>
          </cell>
          <cell r="C860" t="str">
            <v>R1</v>
          </cell>
          <cell r="D860" t="str">
            <v>R</v>
          </cell>
          <cell r="E860" t="str">
            <v>Saumabha Dasgupta</v>
          </cell>
          <cell r="F860" t="str">
            <v>Purbanjan , P.O - Subhasgram, Dist - 24 Parganas (South), W,B</v>
          </cell>
          <cell r="I860" t="str">
            <v>East</v>
          </cell>
        </row>
        <row r="861">
          <cell r="B861" t="str">
            <v>W10575</v>
          </cell>
          <cell r="C861" t="str">
            <v>R1</v>
          </cell>
          <cell r="D861" t="str">
            <v>R</v>
          </cell>
          <cell r="E861" t="str">
            <v>R K Gupta</v>
          </cell>
          <cell r="F861" t="str">
            <v>Rajasthan Medical Centre, Outside Jalori Gate, Near Exford School, Jodhpur - 342003</v>
          </cell>
          <cell r="I861" t="str">
            <v>North</v>
          </cell>
        </row>
        <row r="862">
          <cell r="B862" t="str">
            <v>W10576</v>
          </cell>
          <cell r="C862" t="str">
            <v>R1</v>
          </cell>
          <cell r="D862" t="str">
            <v>R</v>
          </cell>
          <cell r="E862" t="str">
            <v>Anil Bansal</v>
          </cell>
          <cell r="F862" t="str">
            <v xml:space="preserve">Meenakshi Mission, Madurai </v>
          </cell>
          <cell r="I862" t="str">
            <v>South</v>
          </cell>
        </row>
        <row r="863">
          <cell r="B863" t="str">
            <v>W10577</v>
          </cell>
          <cell r="C863" t="str">
            <v>R1</v>
          </cell>
          <cell r="D863" t="str">
            <v>R</v>
          </cell>
          <cell r="E863" t="str">
            <v>V Bhuvaneshwari</v>
          </cell>
          <cell r="F863" t="str">
            <v>Babu Narsing Home, Officers Lane</v>
          </cell>
          <cell r="I863" t="str">
            <v>South</v>
          </cell>
        </row>
        <row r="864">
          <cell r="B864" t="str">
            <v>W10578</v>
          </cell>
          <cell r="C864" t="str">
            <v>R1</v>
          </cell>
          <cell r="D864" t="str">
            <v>R</v>
          </cell>
          <cell r="E864" t="str">
            <v>Nizar Hospital</v>
          </cell>
          <cell r="F864" t="str">
            <v>Valancherry , Dist- Malappuram</v>
          </cell>
          <cell r="I864" t="str">
            <v>South</v>
          </cell>
        </row>
        <row r="865">
          <cell r="B865" t="str">
            <v>W10579</v>
          </cell>
          <cell r="C865" t="str">
            <v>R1</v>
          </cell>
          <cell r="D865" t="str">
            <v>R</v>
          </cell>
          <cell r="E865" t="str">
            <v>Sacred Heart Hospital</v>
          </cell>
          <cell r="F865" t="str">
            <v>Multispeuality Hospital, Palad</v>
          </cell>
          <cell r="I865" t="str">
            <v>South</v>
          </cell>
        </row>
        <row r="866">
          <cell r="B866" t="str">
            <v>W10580</v>
          </cell>
          <cell r="C866" t="str">
            <v>R1</v>
          </cell>
          <cell r="D866" t="str">
            <v>R</v>
          </cell>
          <cell r="E866" t="str">
            <v>St Joseph's Hospital</v>
          </cell>
          <cell r="F866" t="str">
            <v>Agastianmushi, Mokkam, Calicut - 673602</v>
          </cell>
          <cell r="I866" t="str">
            <v>South</v>
          </cell>
        </row>
        <row r="867">
          <cell r="B867" t="str">
            <v>W10581</v>
          </cell>
          <cell r="C867" t="str">
            <v>R1</v>
          </cell>
          <cell r="D867" t="str">
            <v>R</v>
          </cell>
          <cell r="E867" t="str">
            <v>Deepak Natrajan</v>
          </cell>
          <cell r="F867" t="str">
            <v>G - 164, Sector - 41, Noida</v>
          </cell>
          <cell r="I867" t="str">
            <v>North</v>
          </cell>
        </row>
        <row r="868">
          <cell r="B868" t="str">
            <v>W10582</v>
          </cell>
          <cell r="C868" t="str">
            <v>R1</v>
          </cell>
          <cell r="D868" t="str">
            <v>R</v>
          </cell>
          <cell r="E868" t="str">
            <v>Prime Diagnostics</v>
          </cell>
          <cell r="F868" t="str">
            <v>Kedy Shopping Accade, Nagpada Junction, Opp. Sagar Hotel, 233/234, Bellases Road, Mumbai - 400008</v>
          </cell>
          <cell r="I868" t="str">
            <v>West</v>
          </cell>
        </row>
        <row r="869">
          <cell r="B869" t="str">
            <v>W10531-A</v>
          </cell>
          <cell r="D869" t="str">
            <v>NA</v>
          </cell>
          <cell r="E869" t="str">
            <v>CDR Healthcare Limited-6</v>
          </cell>
          <cell r="I869" t="str">
            <v>South</v>
          </cell>
        </row>
        <row r="870">
          <cell r="B870" t="str">
            <v>W10583</v>
          </cell>
          <cell r="C870" t="str">
            <v>R1</v>
          </cell>
          <cell r="D870" t="str">
            <v>R</v>
          </cell>
          <cell r="E870" t="str">
            <v>Prakash Rao</v>
          </cell>
          <cell r="F870" t="str">
            <v>Balaji Hospital Heart Care Centre, 3166/A, Adarsha Accade, Khadi Bazaar, Belgaum</v>
          </cell>
          <cell r="I870" t="str">
            <v>South</v>
          </cell>
        </row>
        <row r="871">
          <cell r="B871" t="str">
            <v>W10584</v>
          </cell>
          <cell r="C871" t="str">
            <v>R1</v>
          </cell>
          <cell r="D871" t="str">
            <v>R</v>
          </cell>
          <cell r="E871" t="str">
            <v>Sri Vijaya Durga Cardiac Centre</v>
          </cell>
          <cell r="F871" t="str">
            <v>Opp. General Hospital, Rama Hotel Lane, Kurnool - 518002</v>
          </cell>
          <cell r="I871" t="str">
            <v>South</v>
          </cell>
        </row>
        <row r="872">
          <cell r="B872" t="str">
            <v>W10585</v>
          </cell>
          <cell r="C872" t="str">
            <v>R1</v>
          </cell>
          <cell r="D872" t="str">
            <v>R</v>
          </cell>
          <cell r="E872" t="str">
            <v>S Rama</v>
          </cell>
          <cell r="F872" t="str">
            <v>101, Choudry Nagar, 11th St., Valasarmakkam, Chennai - 600087</v>
          </cell>
          <cell r="I872" t="str">
            <v>South</v>
          </cell>
        </row>
        <row r="873">
          <cell r="B873" t="str">
            <v>W10586</v>
          </cell>
          <cell r="C873" t="str">
            <v>R1</v>
          </cell>
          <cell r="D873" t="str">
            <v>R</v>
          </cell>
          <cell r="E873" t="str">
            <v>Usha Devi</v>
          </cell>
          <cell r="F873" t="str">
            <v>Sri G.M.Hospital, 39, Sabari Salai, Madipakkam, Chennai - 600091</v>
          </cell>
          <cell r="I873" t="str">
            <v>South</v>
          </cell>
        </row>
        <row r="874">
          <cell r="B874" t="str">
            <v>W10587</v>
          </cell>
          <cell r="C874" t="str">
            <v>R1</v>
          </cell>
          <cell r="D874" t="str">
            <v>R</v>
          </cell>
          <cell r="E874" t="str">
            <v>C H Ranga Reddy</v>
          </cell>
          <cell r="F874" t="str">
            <v>R. R. Nursing Home, Giddaluru, Prakasam Dt.</v>
          </cell>
          <cell r="I874" t="str">
            <v>South</v>
          </cell>
        </row>
        <row r="875">
          <cell r="B875" t="str">
            <v>W10588</v>
          </cell>
          <cell r="C875" t="str">
            <v>R1</v>
          </cell>
          <cell r="D875" t="str">
            <v>R</v>
          </cell>
          <cell r="E875" t="str">
            <v>Infertility Institute &amp; Research Centre Pvt Ltd</v>
          </cell>
          <cell r="F875" t="str">
            <v>9-1-192, St. Mary's Road, (Opp. Prasant Theatre),  Secenderabad - 3</v>
          </cell>
          <cell r="I875" t="str">
            <v>South</v>
          </cell>
        </row>
        <row r="876">
          <cell r="B876" t="str">
            <v>W10589</v>
          </cell>
          <cell r="C876" t="str">
            <v>R1</v>
          </cell>
          <cell r="D876" t="str">
            <v>R</v>
          </cell>
          <cell r="E876" t="str">
            <v>Neelkanth Hospitals Pvt Ltd</v>
          </cell>
          <cell r="F876" t="str">
            <v>1, Nathpur Road, Phase -III, DLF Qutab Enclave, Gurgaon , Haryana</v>
          </cell>
          <cell r="I876" t="str">
            <v>North</v>
          </cell>
        </row>
        <row r="877">
          <cell r="B877" t="str">
            <v>W10531-B</v>
          </cell>
          <cell r="C877" t="str">
            <v>R1</v>
          </cell>
          <cell r="D877" t="str">
            <v>NA</v>
          </cell>
          <cell r="E877" t="str">
            <v>CDR Healthcare Limited-7</v>
          </cell>
          <cell r="F877" t="str">
            <v>3-6-287, Hyderguda, Hyderabad - 500029</v>
          </cell>
          <cell r="I877" t="str">
            <v>South</v>
          </cell>
        </row>
        <row r="878">
          <cell r="B878" t="str">
            <v>W10590</v>
          </cell>
          <cell r="C878" t="str">
            <v>R1</v>
          </cell>
          <cell r="D878" t="str">
            <v>R</v>
          </cell>
          <cell r="E878" t="str">
            <v>Dynamic Scan &amp; Research Centre Pvt Ltd</v>
          </cell>
          <cell r="F878" t="str">
            <v>Vijaya Health Centre, NSK Salai, Vadapalani, Chennai</v>
          </cell>
          <cell r="I878" t="str">
            <v>South</v>
          </cell>
        </row>
        <row r="879">
          <cell r="B879" t="str">
            <v>W10591</v>
          </cell>
          <cell r="C879" t="str">
            <v>R1</v>
          </cell>
          <cell r="D879" t="str">
            <v>R</v>
          </cell>
          <cell r="E879" t="str">
            <v>Dispur CT &amp; Imaging Centre Pvt Ltd</v>
          </cell>
          <cell r="F879" t="str">
            <v>Ganesh Gure, Guwahati - 781006, Assam</v>
          </cell>
          <cell r="I879" t="str">
            <v>East</v>
          </cell>
        </row>
        <row r="880">
          <cell r="B880" t="str">
            <v>W10592</v>
          </cell>
          <cell r="C880" t="str">
            <v>R1</v>
          </cell>
          <cell r="D880" t="str">
            <v>R</v>
          </cell>
          <cell r="E880" t="str">
            <v>Kanva Diagnostic Services Pvt Ltd</v>
          </cell>
          <cell r="F880" t="str">
            <v>68/B, 10th Main, (Ram Mandir Road), 4th Block, Rajaji Nagar, Bangalore - 560010</v>
          </cell>
          <cell r="I880" t="str">
            <v>South</v>
          </cell>
        </row>
        <row r="881">
          <cell r="B881" t="str">
            <v>W10593</v>
          </cell>
          <cell r="C881" t="str">
            <v>R1</v>
          </cell>
          <cell r="D881" t="str">
            <v>R</v>
          </cell>
          <cell r="E881" t="str">
            <v>Rajesh Phadkule</v>
          </cell>
          <cell r="F881" t="str">
            <v>Solapur Senography Centre, Solapur</v>
          </cell>
          <cell r="I881" t="str">
            <v>West</v>
          </cell>
        </row>
        <row r="882">
          <cell r="B882" t="str">
            <v>W10594</v>
          </cell>
          <cell r="C882" t="str">
            <v>R1</v>
          </cell>
          <cell r="D882" t="str">
            <v>R</v>
          </cell>
          <cell r="E882" t="str">
            <v>Mane V L</v>
          </cell>
          <cell r="F882" t="str">
            <v>Manisha Clinic, Govt Colony, Nr. Bldg No. B/134, Bandia (E), Mumbai - 400051</v>
          </cell>
          <cell r="I882" t="str">
            <v>West</v>
          </cell>
        </row>
        <row r="883">
          <cell r="B883" t="str">
            <v>W10595</v>
          </cell>
          <cell r="C883" t="str">
            <v>R1</v>
          </cell>
          <cell r="D883" t="str">
            <v>R</v>
          </cell>
          <cell r="E883" t="str">
            <v>Rani</v>
          </cell>
          <cell r="F883" t="str">
            <v>19 , Madhavaram High Road, Perambur, Semblum North, Chennai - 600011</v>
          </cell>
          <cell r="I883" t="str">
            <v>South</v>
          </cell>
        </row>
        <row r="884">
          <cell r="B884" t="str">
            <v>W10596</v>
          </cell>
          <cell r="C884" t="str">
            <v>R1</v>
          </cell>
          <cell r="D884" t="str">
            <v>R</v>
          </cell>
          <cell r="E884" t="str">
            <v>G Bakthavathsalam</v>
          </cell>
          <cell r="F884" t="str">
            <v>K.G.Hospital, Arts College Road, Coimbatore - 641018</v>
          </cell>
          <cell r="I884" t="str">
            <v>South</v>
          </cell>
        </row>
        <row r="885">
          <cell r="B885" t="str">
            <v>W10597</v>
          </cell>
          <cell r="C885" t="str">
            <v>R1</v>
          </cell>
          <cell r="D885" t="str">
            <v>R</v>
          </cell>
          <cell r="E885" t="str">
            <v>SR Trust</v>
          </cell>
          <cell r="F885" t="str">
            <v>Lake Area, Melur Road, Madurai - 625107</v>
          </cell>
          <cell r="I885" t="str">
            <v>South</v>
          </cell>
        </row>
        <row r="886">
          <cell r="B886" t="str">
            <v>W10598</v>
          </cell>
          <cell r="C886" t="str">
            <v>R1</v>
          </cell>
          <cell r="D886" t="str">
            <v>R</v>
          </cell>
          <cell r="E886" t="str">
            <v>The Life Line</v>
          </cell>
          <cell r="F886" t="str">
            <v>Hospital Para, Islampur, Uttar Dinajpur, West Bengal - 733202</v>
          </cell>
          <cell r="I886" t="str">
            <v>East</v>
          </cell>
        </row>
        <row r="887">
          <cell r="B887" t="str">
            <v>W10599</v>
          </cell>
          <cell r="C887" t="str">
            <v>R1</v>
          </cell>
          <cell r="D887" t="str">
            <v>R</v>
          </cell>
          <cell r="E887" t="str">
            <v>Calcutta Diagnostic Centre</v>
          </cell>
          <cell r="F887" t="str">
            <v>Sangam Cinema Building, Kalyani, Nadia - 741235</v>
          </cell>
          <cell r="I887" t="str">
            <v>East</v>
          </cell>
        </row>
        <row r="888">
          <cell r="B888" t="str">
            <v>W10600</v>
          </cell>
          <cell r="C888" t="str">
            <v>R1</v>
          </cell>
          <cell r="D888" t="str">
            <v>R</v>
          </cell>
          <cell r="E888" t="str">
            <v>Bhupinder Ahuja</v>
          </cell>
          <cell r="F888" t="str">
            <v>Dr. Ahuja Senography Centre, Dr. Sarkar's Market, Delhi Gate, Agra</v>
          </cell>
          <cell r="I888" t="str">
            <v>North</v>
          </cell>
        </row>
        <row r="889">
          <cell r="B889" t="str">
            <v>W10601</v>
          </cell>
          <cell r="C889" t="str">
            <v>R1</v>
          </cell>
          <cell r="D889" t="str">
            <v>R</v>
          </cell>
          <cell r="E889" t="str">
            <v>Manoj Malpani</v>
          </cell>
          <cell r="F889" t="str">
            <v>Malpani Maternity and Sonography Centre</v>
          </cell>
          <cell r="I889" t="str">
            <v>West</v>
          </cell>
        </row>
        <row r="890">
          <cell r="B890" t="str">
            <v>W10602</v>
          </cell>
          <cell r="C890" t="str">
            <v>R1</v>
          </cell>
          <cell r="D890" t="str">
            <v>R</v>
          </cell>
          <cell r="E890" t="str">
            <v>Philip Varghese</v>
          </cell>
          <cell r="F890" t="str">
            <v>Pelachirall, paltikal, P.O - Alleppey - 690503</v>
          </cell>
          <cell r="I890" t="str">
            <v>South</v>
          </cell>
        </row>
        <row r="891">
          <cell r="B891" t="str">
            <v>W10603</v>
          </cell>
          <cell r="C891" t="str">
            <v>R1</v>
          </cell>
          <cell r="D891" t="str">
            <v>R</v>
          </cell>
          <cell r="E891" t="str">
            <v>Arogya Diagnostic Centre</v>
          </cell>
          <cell r="F891" t="str">
            <v>A-9 X / 5(S), Kalyani, Nadia - 741235</v>
          </cell>
          <cell r="I891" t="str">
            <v>East</v>
          </cell>
        </row>
        <row r="892">
          <cell r="B892" t="str">
            <v>W10604</v>
          </cell>
          <cell r="C892" t="str">
            <v>R1</v>
          </cell>
          <cell r="D892" t="str">
            <v>R</v>
          </cell>
          <cell r="E892" t="str">
            <v>Advance Neuro Science Hospital &amp; Research Pvt Ltd</v>
          </cell>
          <cell r="F892" t="str">
            <v>Kahili Para Road, Ganesh Gure, Near Ganesh Mandir, Dispur, Guwahati - 781006</v>
          </cell>
          <cell r="I892" t="str">
            <v>East</v>
          </cell>
        </row>
        <row r="893">
          <cell r="B893" t="str">
            <v>W10605</v>
          </cell>
          <cell r="C893" t="str">
            <v>R1</v>
          </cell>
          <cell r="D893" t="str">
            <v>R</v>
          </cell>
          <cell r="E893" t="str">
            <v>BMH Scan &amp; Research Centre</v>
          </cell>
          <cell r="F893" t="str">
            <v>Indira Gandhi Road, Calicut - 673004</v>
          </cell>
          <cell r="I893" t="str">
            <v>South</v>
          </cell>
        </row>
        <row r="894">
          <cell r="B894" t="str">
            <v>W10606</v>
          </cell>
          <cell r="C894" t="str">
            <v>R1</v>
          </cell>
          <cell r="D894" t="str">
            <v>NA</v>
          </cell>
          <cell r="E894" t="str">
            <v>Vijaya Medical Centre- Dr. Suman (MR + Genset + AC)- Turnkey Portion-1</v>
          </cell>
          <cell r="F894" t="str">
            <v>Zilla Parishad Jn., Maharanipata, Visakhapatanam - 530002</v>
          </cell>
          <cell r="I894" t="str">
            <v>South</v>
          </cell>
        </row>
        <row r="895">
          <cell r="B895" t="str">
            <v>W10606-A</v>
          </cell>
          <cell r="D895" t="str">
            <v>NA</v>
          </cell>
          <cell r="E895" t="str">
            <v>Vijaya Medical Centre- Dr. Suman (MR + Genset + AC)- Turnkey Portion-2</v>
          </cell>
          <cell r="F895" t="str">
            <v>Zilla Parishad Jn., Maharanipata, Visakhapatanam - 530002</v>
          </cell>
          <cell r="I895" t="str">
            <v>South</v>
          </cell>
        </row>
        <row r="896">
          <cell r="B896" t="str">
            <v>W10607</v>
          </cell>
          <cell r="C896" t="str">
            <v>R1</v>
          </cell>
          <cell r="D896" t="str">
            <v>R</v>
          </cell>
          <cell r="E896" t="str">
            <v>Focus Imaging &amp; Research Centre Pvt Ltd</v>
          </cell>
          <cell r="F896" t="str">
            <v>47/1-2, &amp; 50/3, Main Yusuf Sarai Market, Aurobindo Marg, New Delhi - 110016</v>
          </cell>
          <cell r="I896" t="str">
            <v>North</v>
          </cell>
        </row>
        <row r="897">
          <cell r="B897" t="str">
            <v>W10608</v>
          </cell>
          <cell r="C897" t="str">
            <v>R1</v>
          </cell>
          <cell r="D897" t="str">
            <v>R</v>
          </cell>
          <cell r="E897" t="str">
            <v xml:space="preserve">P Surender </v>
          </cell>
          <cell r="F897" t="str">
            <v>1-9-7, Medak N. Home, M.G.Road, Medak</v>
          </cell>
          <cell r="I897" t="str">
            <v>South</v>
          </cell>
        </row>
        <row r="898">
          <cell r="B898" t="str">
            <v>W10609</v>
          </cell>
          <cell r="C898" t="str">
            <v>R1</v>
          </cell>
          <cell r="D898" t="str">
            <v>R</v>
          </cell>
          <cell r="E898" t="str">
            <v>Samir Patil</v>
          </cell>
          <cell r="F898" t="str">
            <v>6, Gulmohur Colony, Wadi Bhokar Naka, Deopur, Dhule - 424002</v>
          </cell>
          <cell r="I898" t="str">
            <v>West</v>
          </cell>
        </row>
        <row r="899">
          <cell r="B899" t="str">
            <v>W10610</v>
          </cell>
          <cell r="C899" t="str">
            <v>R1</v>
          </cell>
          <cell r="D899" t="str">
            <v>R</v>
          </cell>
          <cell r="E899" t="str">
            <v>AS Sandhu-ARK Diagnostics-2</v>
          </cell>
          <cell r="F899" t="str">
            <v>ARK Diagnostics, C 2/17,, Arjun Marg, DLF City, Phase 1, Gurgaon - 122002</v>
          </cell>
          <cell r="I899" t="str">
            <v>North</v>
          </cell>
        </row>
        <row r="900">
          <cell r="B900" t="str">
            <v>W10611</v>
          </cell>
          <cell r="C900" t="str">
            <v>R1</v>
          </cell>
          <cell r="D900" t="str">
            <v>R</v>
          </cell>
          <cell r="E900" t="str">
            <v>New Nightingale Nursing Home</v>
          </cell>
          <cell r="F900" t="str">
            <v>77, Vivekananda Road, (Golapbagh), Lalbagh, P.O &amp; Dist: Murshidabad - 742149</v>
          </cell>
          <cell r="I900" t="str">
            <v>East</v>
          </cell>
        </row>
        <row r="901">
          <cell r="B901" t="str">
            <v>W10612</v>
          </cell>
          <cell r="C901" t="str">
            <v>R1</v>
          </cell>
          <cell r="D901" t="str">
            <v>R</v>
          </cell>
          <cell r="E901" t="str">
            <v>Sethi Diagnostics Medicare Pvt Ltd</v>
          </cell>
          <cell r="F901" t="str">
            <v>69, Diamond Harbour Road, Calcutta-700038</v>
          </cell>
          <cell r="I901" t="str">
            <v>East</v>
          </cell>
        </row>
        <row r="902">
          <cell r="B902" t="str">
            <v>W10613</v>
          </cell>
          <cell r="C902" t="str">
            <v>R1</v>
          </cell>
          <cell r="D902" t="str">
            <v>R</v>
          </cell>
          <cell r="E902" t="str">
            <v>Vijay Chimote-1</v>
          </cell>
          <cell r="F902" t="str">
            <v>Shop No. 181-187, G Wing, Ground Floor, Mantri Market, Pune- Solapur Road, Pune - 28</v>
          </cell>
          <cell r="I902" t="str">
            <v>West</v>
          </cell>
        </row>
        <row r="903">
          <cell r="B903" t="str">
            <v>W10614</v>
          </cell>
          <cell r="C903" t="str">
            <v>R1</v>
          </cell>
          <cell r="D903" t="str">
            <v>R</v>
          </cell>
          <cell r="E903" t="str">
            <v>Sanjay Arora</v>
          </cell>
          <cell r="F903" t="str">
            <v>Sanjay Ultrasound Centre, K P Building (Opp. Radi Mill), Delhi Road, Meerut</v>
          </cell>
          <cell r="I903" t="str">
            <v>North</v>
          </cell>
        </row>
        <row r="904">
          <cell r="B904" t="str">
            <v>W10615</v>
          </cell>
          <cell r="C904" t="str">
            <v>R1</v>
          </cell>
          <cell r="D904" t="str">
            <v>R</v>
          </cell>
          <cell r="E904" t="str">
            <v>City X ray Ultrasound &amp; CT Scan Centre-3</v>
          </cell>
          <cell r="F904" t="str">
            <v>Jagdish Marg, patiala</v>
          </cell>
          <cell r="I904" t="str">
            <v>North</v>
          </cell>
        </row>
        <row r="905">
          <cell r="B905" t="str">
            <v>W10616</v>
          </cell>
          <cell r="C905" t="str">
            <v>R1</v>
          </cell>
          <cell r="D905" t="str">
            <v>R</v>
          </cell>
          <cell r="E905" t="str">
            <v>Manoj D Pritnani - Maitri Imaging Centre-2</v>
          </cell>
          <cell r="F905" t="str">
            <v>Maitri Imaging Centre, Maharaja Complex, Near Bhopal Park, Maya Cinems Road, Kuber Nagar, Ahamedabad</v>
          </cell>
          <cell r="I905" t="str">
            <v>West</v>
          </cell>
        </row>
        <row r="906">
          <cell r="B906" t="str">
            <v>W10617</v>
          </cell>
          <cell r="C906" t="str">
            <v>R1</v>
          </cell>
          <cell r="D906" t="str">
            <v>R</v>
          </cell>
          <cell r="E906" t="str">
            <v>Ajit Scanning &amp; Diagnostic Centre</v>
          </cell>
          <cell r="F906" t="str">
            <v>Ajit Chambers, Opp. P. N. B. Murbad Road, Kalyan-W- 421304</v>
          </cell>
          <cell r="I906" t="str">
            <v>West</v>
          </cell>
        </row>
        <row r="907">
          <cell r="B907" t="str">
            <v>W10618</v>
          </cell>
          <cell r="C907" t="str">
            <v>R1</v>
          </cell>
          <cell r="D907" t="str">
            <v>R</v>
          </cell>
          <cell r="E907" t="str">
            <v>Manoj Jain</v>
          </cell>
          <cell r="F907" t="str">
            <v>578, SHANTI NAGAR, JAIPUR-18, RAJASTHAN,  (302018)</v>
          </cell>
          <cell r="I907" t="str">
            <v>North</v>
          </cell>
        </row>
        <row r="908">
          <cell r="B908" t="str">
            <v>W10619</v>
          </cell>
          <cell r="C908" t="str">
            <v>R1</v>
          </cell>
          <cell r="D908" t="str">
            <v>R</v>
          </cell>
          <cell r="E908" t="str">
            <v>S Ramkrishnan</v>
          </cell>
          <cell r="F908" t="str">
            <v>Path 21, Thamilmani Nagar, Coimbatore Road, Pollachi - 642001, TN</v>
          </cell>
          <cell r="I908" t="str">
            <v>South</v>
          </cell>
        </row>
        <row r="909">
          <cell r="B909" t="str">
            <v>W10620</v>
          </cell>
          <cell r="C909" t="str">
            <v>R1</v>
          </cell>
          <cell r="D909" t="str">
            <v>R</v>
          </cell>
          <cell r="E909" t="str">
            <v>Mahatma Gandhi Vidyapeeth Trust</v>
          </cell>
          <cell r="F909" t="str">
            <v>Vidyapeeth Trust (MGVT), Sagar Apollo, 39/2, Bannerghatta Road, Bangalore</v>
          </cell>
          <cell r="I909" t="str">
            <v>South</v>
          </cell>
        </row>
        <row r="910">
          <cell r="B910" t="str">
            <v>W10621</v>
          </cell>
          <cell r="C910" t="str">
            <v>R1</v>
          </cell>
          <cell r="D910" t="str">
            <v>R</v>
          </cell>
          <cell r="E910" t="str">
            <v>Usmanpura CT Scan Centre</v>
          </cell>
          <cell r="F910" t="str">
            <v>30, Ambica Society, Opp Usmanpura Garden, Usmanpura, Ahmedabad - 380 013</v>
          </cell>
          <cell r="I910" t="str">
            <v>West</v>
          </cell>
        </row>
        <row r="911">
          <cell r="B911" t="str">
            <v>W10622</v>
          </cell>
          <cell r="C911" t="str">
            <v>R1</v>
          </cell>
          <cell r="D911" t="str">
            <v>R</v>
          </cell>
          <cell r="E911" t="str">
            <v>Mahatma Gandhi Mission</v>
          </cell>
          <cell r="F911" t="str">
            <v>Junction of NH - 4, &amp; Sion Pannel Expressway Sector 18, Khamote, New Mumbai - 410029</v>
          </cell>
          <cell r="I911" t="str">
            <v>West</v>
          </cell>
        </row>
        <row r="912">
          <cell r="B912" t="str">
            <v>W10623</v>
          </cell>
          <cell r="C912" t="str">
            <v>R1</v>
          </cell>
          <cell r="D912" t="str">
            <v>R</v>
          </cell>
          <cell r="E912" t="str">
            <v>P Shobha Devi</v>
          </cell>
          <cell r="F912" t="str">
            <v>Mayuri Centre, Venkateswara Hospital, Khammam</v>
          </cell>
          <cell r="I912" t="str">
            <v>South</v>
          </cell>
        </row>
        <row r="913">
          <cell r="B913" t="str">
            <v>W10624</v>
          </cell>
          <cell r="C913" t="str">
            <v>R1</v>
          </cell>
          <cell r="D913" t="str">
            <v>R</v>
          </cell>
          <cell r="E913" t="str">
            <v>VC Medical &amp; Educational Charitable Trust</v>
          </cell>
          <cell r="F913" t="str">
            <v>72B, Dindigul Road, Palani</v>
          </cell>
          <cell r="I913" t="str">
            <v>South</v>
          </cell>
        </row>
        <row r="914">
          <cell r="B914" t="str">
            <v>W10625</v>
          </cell>
          <cell r="C914" t="str">
            <v>R1</v>
          </cell>
          <cell r="D914" t="str">
            <v>R</v>
          </cell>
          <cell r="E914" t="str">
            <v>Animesh Baruah</v>
          </cell>
          <cell r="F914" t="str">
            <v>Baruah X-Ray &amp; Sonoscan Clinic, A.T. Road, Tarajan, Jorhat</v>
          </cell>
          <cell r="I914" t="str">
            <v>East</v>
          </cell>
        </row>
        <row r="915">
          <cell r="B915" t="str">
            <v>W10626</v>
          </cell>
          <cell r="C915" t="str">
            <v>R1</v>
          </cell>
          <cell r="D915" t="str">
            <v>R</v>
          </cell>
          <cell r="E915" t="str">
            <v>MIOT Hospitals Ltd-2</v>
          </cell>
          <cell r="F915" t="str">
            <v>4/112, Mount Poonamallee Road, Chennai - 600089</v>
          </cell>
          <cell r="I915" t="str">
            <v>South</v>
          </cell>
        </row>
        <row r="916">
          <cell r="B916" t="str">
            <v>W10627</v>
          </cell>
          <cell r="C916" t="str">
            <v>R1</v>
          </cell>
          <cell r="D916" t="str">
            <v>R</v>
          </cell>
          <cell r="E916" t="str">
            <v>Sunil Mehta</v>
          </cell>
          <cell r="F916" t="str">
            <v>Mehta Sonoghaphy Centre, 755, Umaid Hospital Road, Opp. Kohinoor Cinema, Jodhpur - 342003</v>
          </cell>
          <cell r="I916" t="str">
            <v>North</v>
          </cell>
        </row>
        <row r="917">
          <cell r="B917" t="str">
            <v>W10628</v>
          </cell>
          <cell r="C917" t="str">
            <v>R1</v>
          </cell>
          <cell r="D917" t="str">
            <v>R</v>
          </cell>
          <cell r="E917" t="str">
            <v>Travancore Scans Pvt Ltd</v>
          </cell>
          <cell r="F917" t="str">
            <v>Gemini Complex, Pazhaya Road, Medical College P O, Trivandrum - 695011</v>
          </cell>
          <cell r="I917" t="str">
            <v>South</v>
          </cell>
        </row>
        <row r="918">
          <cell r="B918" t="str">
            <v>W10629</v>
          </cell>
          <cell r="C918" t="str">
            <v>R1</v>
          </cell>
          <cell r="D918" t="str">
            <v>R</v>
          </cell>
          <cell r="E918" t="str">
            <v>Venus Diagnostics Ltd</v>
          </cell>
          <cell r="F918" t="str">
            <v>Medical College Road, Gandhi Nagar, Kottaym</v>
          </cell>
          <cell r="I918" t="str">
            <v>South</v>
          </cell>
        </row>
        <row r="919">
          <cell r="B919" t="str">
            <v>W10630</v>
          </cell>
          <cell r="C919" t="str">
            <v>R1</v>
          </cell>
          <cell r="D919" t="str">
            <v>R</v>
          </cell>
          <cell r="E919" t="str">
            <v>Father Muller's Charitable Institutions</v>
          </cell>
          <cell r="F919" t="str">
            <v>Fr. Mullers Rd, Kankanady, Mangalore</v>
          </cell>
          <cell r="I919" t="str">
            <v>South</v>
          </cell>
        </row>
        <row r="920">
          <cell r="B920" t="str">
            <v>W10631</v>
          </cell>
          <cell r="C920" t="str">
            <v>R1</v>
          </cell>
          <cell r="D920" t="str">
            <v>R</v>
          </cell>
          <cell r="E920" t="str">
            <v>Himanshu Shah</v>
          </cell>
          <cell r="F920" t="str">
            <v>B-200, Sumit Appts, 90 Feet Rd, Opp: Hotel Kshir Sagar</v>
          </cell>
          <cell r="I920" t="str">
            <v>West</v>
          </cell>
        </row>
        <row r="921">
          <cell r="B921" t="str">
            <v>W10632</v>
          </cell>
          <cell r="C921" t="str">
            <v>R1</v>
          </cell>
          <cell r="D921" t="str">
            <v>R</v>
          </cell>
          <cell r="E921" t="str">
            <v>Sonia Pawar</v>
          </cell>
          <cell r="F921" t="str">
            <v>Pawar Hospital, 49/22, Balaji Nagar, Behind Ellora Palace, Dhankanadi, Pune - 411043</v>
          </cell>
          <cell r="I921" t="str">
            <v>West</v>
          </cell>
        </row>
        <row r="922">
          <cell r="B922" t="str">
            <v>W10633</v>
          </cell>
          <cell r="C922" t="str">
            <v>R1</v>
          </cell>
          <cell r="D922" t="str">
            <v>R</v>
          </cell>
          <cell r="E922" t="str">
            <v>Shipa Bhosle</v>
          </cell>
          <cell r="F922" t="str">
            <v>Shubam Hospital, Charegaon Road, Umbraj - Tal Karad, Dist Satara</v>
          </cell>
          <cell r="I922" t="str">
            <v>West</v>
          </cell>
        </row>
        <row r="923">
          <cell r="B923" t="str">
            <v>W10634</v>
          </cell>
          <cell r="C923" t="str">
            <v>R1</v>
          </cell>
          <cell r="D923" t="str">
            <v>R</v>
          </cell>
          <cell r="E923" t="str">
            <v>UMKAL Hospital Pvt Ltd</v>
          </cell>
          <cell r="F923" t="str">
            <v>A-520, Sushant Lok -1, Gurgaon-122002, Haryana</v>
          </cell>
          <cell r="I923" t="str">
            <v>North</v>
          </cell>
        </row>
        <row r="924">
          <cell r="B924" t="str">
            <v>W10635</v>
          </cell>
          <cell r="C924" t="str">
            <v>R1</v>
          </cell>
          <cell r="D924" t="str">
            <v>R</v>
          </cell>
          <cell r="E924" t="str">
            <v>Palakkad Medical &amp; Research Centre Ltd</v>
          </cell>
          <cell r="F924" t="str">
            <v>25/331, Shoranur Road, Nurani, Palakkad - 678004</v>
          </cell>
          <cell r="I924" t="str">
            <v>South</v>
          </cell>
        </row>
        <row r="925">
          <cell r="B925" t="str">
            <v>W10636</v>
          </cell>
          <cell r="C925" t="str">
            <v>R1</v>
          </cell>
          <cell r="D925" t="str">
            <v>R</v>
          </cell>
          <cell r="E925" t="str">
            <v>K Indrasena</v>
          </cell>
          <cell r="F925" t="str">
            <v>Chandra X-Rays, No: 48/2 Mothilal Street, Thiruvallur - 602001</v>
          </cell>
          <cell r="I925" t="str">
            <v>South</v>
          </cell>
        </row>
        <row r="926">
          <cell r="B926" t="str">
            <v>W10637</v>
          </cell>
          <cell r="C926" t="str">
            <v>R1</v>
          </cell>
          <cell r="D926" t="str">
            <v>R</v>
          </cell>
          <cell r="E926" t="str">
            <v>N V Rammohan</v>
          </cell>
          <cell r="F926" t="str">
            <v>Nalamm Hospital, No: 10A/3, First Cross Street, Mahakavi Bharathi Nagar, Chennai - 600039</v>
          </cell>
          <cell r="I926" t="str">
            <v>South</v>
          </cell>
        </row>
        <row r="927">
          <cell r="B927" t="str">
            <v>W10638</v>
          </cell>
          <cell r="C927" t="str">
            <v>R1</v>
          </cell>
          <cell r="D927" t="str">
            <v>R</v>
          </cell>
          <cell r="E927" t="str">
            <v>M C Sridhar</v>
          </cell>
          <cell r="F927" t="str">
            <v>Shreyas Clinic, No: 35, S.S. Devar 6th Street, Ayanavaram, Chennai - 600023</v>
          </cell>
          <cell r="I927" t="str">
            <v>South</v>
          </cell>
        </row>
        <row r="928">
          <cell r="B928" t="str">
            <v>W10639</v>
          </cell>
          <cell r="C928" t="str">
            <v>R1</v>
          </cell>
          <cell r="D928" t="str">
            <v>R</v>
          </cell>
          <cell r="E928" t="str">
            <v>Mahatma Gandhi Vidyapeeth Trust ( MGVT )- Sagar Apollo Hospital</v>
          </cell>
          <cell r="F928" t="str">
            <v>39/2, Bannerghatta Road, Bagalore</v>
          </cell>
          <cell r="I928" t="str">
            <v>South</v>
          </cell>
        </row>
        <row r="929">
          <cell r="B929" t="str">
            <v>W10640</v>
          </cell>
          <cell r="C929" t="str">
            <v>R1</v>
          </cell>
          <cell r="D929" t="str">
            <v>R</v>
          </cell>
          <cell r="E929" t="str">
            <v>Harvey Health Care Ltd</v>
          </cell>
          <cell r="F929" t="str">
            <v>No. 20, Pycrofts Garden Rd., Nungambakkam, Chennai - 600006</v>
          </cell>
          <cell r="I929" t="str">
            <v>South</v>
          </cell>
        </row>
        <row r="930">
          <cell r="B930" t="str">
            <v>W10641</v>
          </cell>
          <cell r="C930" t="str">
            <v>R1</v>
          </cell>
          <cell r="D930" t="str">
            <v>R</v>
          </cell>
          <cell r="E930" t="str">
            <v>Metiaburj Medical Centre</v>
          </cell>
          <cell r="F930" t="str">
            <v>P - 2, Garden Reach Road, Calcutta - 700024</v>
          </cell>
          <cell r="I930" t="str">
            <v>East</v>
          </cell>
        </row>
        <row r="931">
          <cell r="B931" t="str">
            <v>W10642</v>
          </cell>
          <cell r="C931" t="str">
            <v>R1</v>
          </cell>
          <cell r="D931" t="str">
            <v>R</v>
          </cell>
          <cell r="E931" t="str">
            <v>Kalpana Alexander- Matrika Hospital</v>
          </cell>
          <cell r="F931" t="str">
            <v>6-3-1100/2, T. Nagar, SomajiGuda, Hyderabad - 500082</v>
          </cell>
          <cell r="I931" t="str">
            <v>South</v>
          </cell>
        </row>
        <row r="932">
          <cell r="B932" t="str">
            <v>W10643</v>
          </cell>
          <cell r="C932" t="str">
            <v>R1</v>
          </cell>
          <cell r="D932" t="str">
            <v>R</v>
          </cell>
          <cell r="E932" t="str">
            <v>Neelanchal Hospitals Pvt Ltd-1</v>
          </cell>
          <cell r="F932" t="str">
            <v>A - 84, Kharavel Nagar, Bhubaneshwar - 3</v>
          </cell>
          <cell r="I932" t="str">
            <v>East</v>
          </cell>
        </row>
        <row r="933">
          <cell r="B933" t="str">
            <v>W10644</v>
          </cell>
          <cell r="C933" t="str">
            <v>R1</v>
          </cell>
          <cell r="D933" t="str">
            <v>R</v>
          </cell>
          <cell r="E933" t="str">
            <v>Neelanchal Hospitals Pvt Ltd-2</v>
          </cell>
          <cell r="F933" t="str">
            <v>A - 84, Kharavel Nagar, Bhubaneshwar - 3</v>
          </cell>
          <cell r="I933" t="str">
            <v>East</v>
          </cell>
        </row>
        <row r="934">
          <cell r="B934" t="str">
            <v>W10645</v>
          </cell>
          <cell r="C934" t="str">
            <v>R1</v>
          </cell>
          <cell r="D934" t="str">
            <v>R</v>
          </cell>
          <cell r="E934" t="str">
            <v>Neelanchal Hospitals Pvt Ltd-3</v>
          </cell>
          <cell r="F934" t="str">
            <v>A - 84, Kharavel Nagar, Bhubaneshwar - 3</v>
          </cell>
          <cell r="I934" t="str">
            <v>East</v>
          </cell>
        </row>
        <row r="935">
          <cell r="B935" t="str">
            <v>W10646</v>
          </cell>
          <cell r="C935" t="str">
            <v>R1</v>
          </cell>
          <cell r="D935" t="str">
            <v>R</v>
          </cell>
          <cell r="E935" t="str">
            <v>Pradeep Rao</v>
          </cell>
          <cell r="F935" t="str">
            <v>Dr. Rao's Diagnostic Services, 199/3, Ramanashree Building (Next to State Bank of Hyderabad), 3rd Block, Rajaji Nagar, Bangalore - 10</v>
          </cell>
          <cell r="I935" t="str">
            <v>South</v>
          </cell>
        </row>
        <row r="936">
          <cell r="B936" t="str">
            <v>W10647</v>
          </cell>
          <cell r="C936" t="str">
            <v>R1</v>
          </cell>
          <cell r="D936" t="str">
            <v>R</v>
          </cell>
          <cell r="E936" t="str">
            <v>Rahul Sachdev-BR Diagnostics</v>
          </cell>
          <cell r="F936" t="str">
            <v>W - 15, Greater Kailash, New Delhi - 110049</v>
          </cell>
          <cell r="I936" t="str">
            <v>North</v>
          </cell>
        </row>
        <row r="937">
          <cell r="B937" t="str">
            <v>W10648</v>
          </cell>
          <cell r="C937" t="str">
            <v>R1</v>
          </cell>
          <cell r="D937" t="str">
            <v>R</v>
          </cell>
          <cell r="E937" t="str">
            <v>Baswaraj Puranik</v>
          </cell>
          <cell r="F937" t="str">
            <v>Rohini Hospital, Besides Market Yard X Rd., Tirumalgiri - 509223</v>
          </cell>
          <cell r="I937" t="str">
            <v>South</v>
          </cell>
        </row>
        <row r="938">
          <cell r="B938" t="str">
            <v>W10649</v>
          </cell>
          <cell r="C938" t="str">
            <v>R1</v>
          </cell>
          <cell r="D938" t="str">
            <v>R</v>
          </cell>
          <cell r="E938" t="str">
            <v>V H Joshi</v>
          </cell>
          <cell r="F938" t="str">
            <v>A - 3, Priyanka Residency, Solapur - 413001</v>
          </cell>
          <cell r="I938" t="str">
            <v>West</v>
          </cell>
        </row>
        <row r="939">
          <cell r="B939" t="str">
            <v>W10650</v>
          </cell>
          <cell r="C939" t="str">
            <v>R1</v>
          </cell>
          <cell r="D939" t="str">
            <v>R</v>
          </cell>
          <cell r="E939" t="str">
            <v>Ramesh Thakkar</v>
          </cell>
          <cell r="F939" t="str">
            <v>C/O- Hermes Medinova Diagnostic Centre, 1988, Convent Street, Hermes Elegance, Camp, Pune - 411001</v>
          </cell>
          <cell r="I939" t="str">
            <v>West</v>
          </cell>
        </row>
        <row r="940">
          <cell r="B940" t="str">
            <v>W10651</v>
          </cell>
          <cell r="C940" t="str">
            <v>R1</v>
          </cell>
          <cell r="D940" t="str">
            <v>R</v>
          </cell>
          <cell r="E940" t="str">
            <v>BI Jaffery</v>
          </cell>
          <cell r="F940" t="str">
            <v>2-293, 11 Avenue, Annanagar, Chennai - 600040</v>
          </cell>
          <cell r="I940" t="str">
            <v>South</v>
          </cell>
        </row>
        <row r="941">
          <cell r="B941" t="str">
            <v>W10652</v>
          </cell>
          <cell r="C941" t="str">
            <v>R1</v>
          </cell>
          <cell r="D941" t="str">
            <v>R</v>
          </cell>
          <cell r="E941" t="str">
            <v>SV Savant</v>
          </cell>
          <cell r="F941" t="str">
            <v>Main Road, Kaju Bang, Kanvar - 581301</v>
          </cell>
          <cell r="I941" t="str">
            <v>West</v>
          </cell>
        </row>
        <row r="942">
          <cell r="B942" t="str">
            <v>W10653</v>
          </cell>
          <cell r="C942" t="str">
            <v>R1</v>
          </cell>
          <cell r="D942" t="str">
            <v>R</v>
          </cell>
          <cell r="E942" t="str">
            <v>Ravi Kirloskar Memorial Hospital &amp; Research Centre</v>
          </cell>
          <cell r="F942" t="str">
            <v>19, 1st Phase, Peenya Industrial Area, Bangalore - 560068</v>
          </cell>
          <cell r="I942" t="str">
            <v>South</v>
          </cell>
        </row>
        <row r="943">
          <cell r="B943" t="str">
            <v>W10654</v>
          </cell>
          <cell r="C943" t="str">
            <v>R1</v>
          </cell>
          <cell r="D943" t="str">
            <v>R</v>
          </cell>
          <cell r="E943" t="str">
            <v>Kalpa Vacchani</v>
          </cell>
          <cell r="F943" t="str">
            <v>Unique X-Ray &amp; Sonography Clinic, Ground Flr., Doctor House, Opp. ST Station, Keshod- Dist Tunagadh</v>
          </cell>
          <cell r="I943" t="str">
            <v>West</v>
          </cell>
        </row>
        <row r="944">
          <cell r="B944" t="str">
            <v>W10655</v>
          </cell>
          <cell r="C944" t="str">
            <v>R1</v>
          </cell>
          <cell r="D944" t="str">
            <v>R</v>
          </cell>
          <cell r="E944" t="str">
            <v>Sayman Macwan</v>
          </cell>
          <cell r="F944" t="str">
            <v>Ashinad Nursing Home, A/201, Shrical Commercial Centre, Gujarat</v>
          </cell>
          <cell r="I944" t="str">
            <v>West</v>
          </cell>
        </row>
        <row r="945">
          <cell r="B945" t="str">
            <v>W10656</v>
          </cell>
          <cell r="C945" t="str">
            <v>R1</v>
          </cell>
          <cell r="D945" t="str">
            <v>R</v>
          </cell>
          <cell r="E945" t="str">
            <v>Samaj Seva Trust</v>
          </cell>
          <cell r="F945" t="str">
            <v>Opp Panchsheel Society Bareja, Ahmedabad</v>
          </cell>
          <cell r="I945" t="str">
            <v>West</v>
          </cell>
        </row>
        <row r="946">
          <cell r="B946" t="str">
            <v>W10657</v>
          </cell>
          <cell r="C946" t="str">
            <v>R1</v>
          </cell>
          <cell r="D946" t="str">
            <v>R</v>
          </cell>
          <cell r="E946" t="str">
            <v>Piyush Patel</v>
          </cell>
          <cell r="F946" t="str">
            <v>Opp Doctor House, A. V. Arcade, Halar Road, Valsad - 396001</v>
          </cell>
          <cell r="I946" t="str">
            <v>West</v>
          </cell>
        </row>
        <row r="947">
          <cell r="B947" t="str">
            <v>W10658</v>
          </cell>
          <cell r="C947" t="str">
            <v>R1</v>
          </cell>
          <cell r="D947" t="str">
            <v>R</v>
          </cell>
          <cell r="E947" t="str">
            <v>P Mannivannan</v>
          </cell>
          <cell r="F947" t="str">
            <v>Sri Sugam Hospital, 149 - E, Main Bazar Street, Omalur - 636455, Chennai</v>
          </cell>
          <cell r="I947" t="str">
            <v>South</v>
          </cell>
        </row>
        <row r="948">
          <cell r="B948" t="str">
            <v>W10613-A</v>
          </cell>
          <cell r="C948" t="str">
            <v>R1</v>
          </cell>
          <cell r="D948" t="str">
            <v>R</v>
          </cell>
          <cell r="E948" t="str">
            <v>Vijay Chimote-2</v>
          </cell>
          <cell r="F948" t="str">
            <v>Shop No: 181 - 187, G Wing, Ground Floor, Pune - 28</v>
          </cell>
          <cell r="I948" t="str">
            <v>West</v>
          </cell>
        </row>
        <row r="949">
          <cell r="B949" t="str">
            <v>W10659</v>
          </cell>
          <cell r="C949" t="str">
            <v>R1</v>
          </cell>
          <cell r="D949" t="str">
            <v>R</v>
          </cell>
          <cell r="E949" t="str">
            <v>Narayana Hrudalya Pvt Ltd-3</v>
          </cell>
          <cell r="F949" t="str">
            <v>NO: 258/A, Bommasandra Industrial Area, Anekal Taluk, Bangalore - 562158</v>
          </cell>
          <cell r="I949" t="str">
            <v>South</v>
          </cell>
        </row>
        <row r="950">
          <cell r="B950" t="str">
            <v>W10660</v>
          </cell>
          <cell r="C950" t="str">
            <v>R1</v>
          </cell>
          <cell r="D950" t="str">
            <v>R</v>
          </cell>
          <cell r="E950" t="str">
            <v>Renuka Diagnostics Pvt Ltd</v>
          </cell>
          <cell r="F950" t="str">
            <v>9, Cinema House Lane, Krishnanagar, Nadia - 741101</v>
          </cell>
          <cell r="I950" t="str">
            <v>East</v>
          </cell>
        </row>
        <row r="951">
          <cell r="B951" t="str">
            <v>W10661</v>
          </cell>
          <cell r="C951" t="str">
            <v>R1</v>
          </cell>
          <cell r="D951" t="str">
            <v>R</v>
          </cell>
          <cell r="E951" t="str">
            <v>KK Hans</v>
          </cell>
          <cell r="F951" t="str">
            <v>Hans Ultrasound Centre, Shop No. 108, 1st Flr, Vardhman Plaza, C-Block, Yamuna Vihar, Delhi - 110053</v>
          </cell>
          <cell r="I951" t="str">
            <v>North</v>
          </cell>
        </row>
        <row r="952">
          <cell r="B952" t="str">
            <v>W10662</v>
          </cell>
          <cell r="C952" t="str">
            <v>R1</v>
          </cell>
          <cell r="D952" t="str">
            <v>R</v>
          </cell>
          <cell r="E952" t="str">
            <v>Anita Saini</v>
          </cell>
          <cell r="F952" t="str">
            <v>40, Sarweshwar Nagar, Ajmer, Rajasthan</v>
          </cell>
          <cell r="I952" t="str">
            <v>North</v>
          </cell>
        </row>
        <row r="953">
          <cell r="B953" t="str">
            <v>W10663</v>
          </cell>
          <cell r="C953" t="str">
            <v>R1</v>
          </cell>
          <cell r="D953" t="str">
            <v>R</v>
          </cell>
          <cell r="E953" t="str">
            <v>Mangalam Hospitals</v>
          </cell>
          <cell r="F953" t="str">
            <v>Mangalam Plaza, Baker Junction, Kottayam - 686001, Kerala</v>
          </cell>
          <cell r="I953" t="str">
            <v>South</v>
          </cell>
        </row>
        <row r="954">
          <cell r="B954" t="str">
            <v>W10664</v>
          </cell>
          <cell r="D954" t="str">
            <v>R</v>
          </cell>
          <cell r="E954" t="str">
            <v>Advanced Healthcare Resources India Pvt Ltd</v>
          </cell>
          <cell r="F954" t="str">
            <v>St. John's Hospital Complex, Bangalore</v>
          </cell>
          <cell r="I954" t="str">
            <v>South</v>
          </cell>
        </row>
        <row r="955">
          <cell r="B955" t="str">
            <v>W10665</v>
          </cell>
          <cell r="C955" t="str">
            <v>R1</v>
          </cell>
          <cell r="D955" t="str">
            <v>R</v>
          </cell>
          <cell r="E955" t="str">
            <v>Saral Advanced Diagnostic (P) Ltd-2</v>
          </cell>
          <cell r="F955" t="str">
            <v>E - 1073, Saraswati Vihar, Near E - Block Bus Stand, Pitampura, Delhi - 110034</v>
          </cell>
          <cell r="I955" t="str">
            <v>North</v>
          </cell>
        </row>
        <row r="956">
          <cell r="B956" t="str">
            <v>W10666</v>
          </cell>
          <cell r="C956" t="str">
            <v>R1</v>
          </cell>
          <cell r="D956" t="str">
            <v>R</v>
          </cell>
          <cell r="E956" t="str">
            <v>Mahajan Diagnostics-1</v>
          </cell>
          <cell r="F956" t="str">
            <v>B - 2/80, Safdarjung Enclave, New Delhi</v>
          </cell>
          <cell r="I956" t="str">
            <v>North</v>
          </cell>
        </row>
        <row r="957">
          <cell r="B957" t="str">
            <v>W10667</v>
          </cell>
          <cell r="C957" t="str">
            <v>R1</v>
          </cell>
          <cell r="D957" t="str">
            <v>R</v>
          </cell>
          <cell r="E957" t="str">
            <v>Mahajan Diagnostics-2</v>
          </cell>
          <cell r="F957" t="str">
            <v>B - 2/80, Safdarjung Enclave, New Delhi</v>
          </cell>
          <cell r="I957" t="str">
            <v>North</v>
          </cell>
        </row>
        <row r="958">
          <cell r="B958" t="str">
            <v>W10668</v>
          </cell>
          <cell r="C958" t="str">
            <v>R1</v>
          </cell>
          <cell r="D958" t="str">
            <v>R</v>
          </cell>
          <cell r="E958" t="str">
            <v>Modern CT Scan &amp; Diagnostic Center</v>
          </cell>
          <cell r="F958" t="str">
            <v>21, Bungow Road, Kamla Nagar, New Delhi</v>
          </cell>
          <cell r="I958" t="str">
            <v>North</v>
          </cell>
        </row>
        <row r="959">
          <cell r="B959" t="str">
            <v>W10669</v>
          </cell>
          <cell r="C959" t="str">
            <v>R1</v>
          </cell>
          <cell r="D959" t="str">
            <v>R</v>
          </cell>
          <cell r="E959" t="str">
            <v>Om Sai Diagnostics Centre Pvt Ltd-1</v>
          </cell>
          <cell r="I959" t="str">
            <v>West</v>
          </cell>
        </row>
        <row r="960">
          <cell r="B960" t="str">
            <v>W10670</v>
          </cell>
          <cell r="C960" t="str">
            <v>R1</v>
          </cell>
          <cell r="D960" t="str">
            <v>R</v>
          </cell>
          <cell r="E960" t="str">
            <v>Om Sai Diagnostics Centre Pvt Ltd-2</v>
          </cell>
          <cell r="I960" t="str">
            <v>West</v>
          </cell>
        </row>
        <row r="961">
          <cell r="B961" t="str">
            <v>W10671</v>
          </cell>
          <cell r="C961" t="str">
            <v>R1</v>
          </cell>
          <cell r="D961" t="str">
            <v>R</v>
          </cell>
          <cell r="E961" t="str">
            <v>TLN Praveen</v>
          </cell>
          <cell r="F961" t="str">
            <v>Abhishek Scan Centre, House No. 1-8-370, Opp. Satyam GE SoftwARE Services, Secunderabad-3</v>
          </cell>
          <cell r="I961" t="str">
            <v>South</v>
          </cell>
        </row>
        <row r="962">
          <cell r="B962" t="str">
            <v>W10672</v>
          </cell>
          <cell r="C962" t="str">
            <v>R1</v>
          </cell>
          <cell r="D962" t="str">
            <v>R</v>
          </cell>
          <cell r="E962" t="str">
            <v>Shobha Verma</v>
          </cell>
          <cell r="F962" t="str">
            <v>D/O: Shri Kishan Singh, Near Govt. Hospital, Bali, Distt. Pali</v>
          </cell>
          <cell r="I962" t="str">
            <v>North</v>
          </cell>
        </row>
        <row r="963">
          <cell r="B963" t="str">
            <v>W10673</v>
          </cell>
          <cell r="C963" t="str">
            <v>R1</v>
          </cell>
          <cell r="D963" t="str">
            <v>R</v>
          </cell>
          <cell r="E963" t="str">
            <v>AMA Medical Cemtre</v>
          </cell>
          <cell r="F963" t="str">
            <v>62, Kachcha Dhata, Aminabad, Lucknow, Uttar Pradesh</v>
          </cell>
          <cell r="I963" t="str">
            <v>North</v>
          </cell>
        </row>
        <row r="964">
          <cell r="B964" t="str">
            <v>W10674</v>
          </cell>
          <cell r="C964" t="str">
            <v>R1</v>
          </cell>
          <cell r="D964" t="str">
            <v>R</v>
          </cell>
          <cell r="E964" t="str">
            <v>P Gandhi</v>
          </cell>
          <cell r="F964" t="str">
            <v>Gandhi Polyclinic, Gandhi Chowk</v>
          </cell>
          <cell r="I964" t="str">
            <v>West</v>
          </cell>
        </row>
        <row r="965">
          <cell r="B965" t="str">
            <v>W10675</v>
          </cell>
          <cell r="C965" t="str">
            <v>R1</v>
          </cell>
          <cell r="D965" t="str">
            <v>R</v>
          </cell>
          <cell r="E965" t="str">
            <v>William Bensam</v>
          </cell>
          <cell r="F965" t="str">
            <v>Beosan Hospital, Kallian Caud, Nagercoil</v>
          </cell>
          <cell r="I965" t="str">
            <v>South</v>
          </cell>
        </row>
        <row r="966">
          <cell r="B966" t="str">
            <v>W10676</v>
          </cell>
          <cell r="C966" t="str">
            <v>R1</v>
          </cell>
          <cell r="D966" t="str">
            <v>R</v>
          </cell>
          <cell r="E966" t="str">
            <v>Christuraj Hospital</v>
          </cell>
          <cell r="F966" t="str">
            <v>Thokkilangadi, Nilmalagiri P O - 670701</v>
          </cell>
          <cell r="I966" t="str">
            <v>South</v>
          </cell>
        </row>
        <row r="967">
          <cell r="B967" t="str">
            <v>W10677</v>
          </cell>
          <cell r="C967" t="str">
            <v>R1</v>
          </cell>
          <cell r="D967" t="str">
            <v>R</v>
          </cell>
          <cell r="E967" t="str">
            <v>Lal Pathlabs Pvt Ltd-4</v>
          </cell>
          <cell r="F967" t="str">
            <v>Eskay House, 54 Hanuman Road, New Delhi</v>
          </cell>
          <cell r="I967" t="str">
            <v>North</v>
          </cell>
        </row>
        <row r="968">
          <cell r="B968" t="str">
            <v>W10678</v>
          </cell>
          <cell r="C968" t="str">
            <v>R1</v>
          </cell>
          <cell r="D968" t="str">
            <v>R</v>
          </cell>
          <cell r="E968" t="str">
            <v>MS Naved</v>
          </cell>
          <cell r="F968" t="str">
            <v>Hasmi Towers 1 Floor, Lohapura Chowk Near Agrasen Square Gandhi Bagh, Nagpur</v>
          </cell>
          <cell r="I968" t="str">
            <v>West</v>
          </cell>
        </row>
        <row r="969">
          <cell r="B969" t="str">
            <v>W10679</v>
          </cell>
          <cell r="C969" t="str">
            <v>R1</v>
          </cell>
          <cell r="D969" t="str">
            <v>R</v>
          </cell>
          <cell r="E969" t="str">
            <v>Sunil Mallik</v>
          </cell>
          <cell r="F969" t="str">
            <v>108, Lasmi Nagar</v>
          </cell>
          <cell r="I969" t="str">
            <v>North</v>
          </cell>
        </row>
        <row r="970">
          <cell r="B970" t="str">
            <v>W10680</v>
          </cell>
          <cell r="C970" t="str">
            <v>R1</v>
          </cell>
          <cell r="D970" t="str">
            <v>R</v>
          </cell>
          <cell r="E970" t="str">
            <v>Anjali Anand</v>
          </cell>
          <cell r="F970" t="str">
            <v>144, Sector 15-A, Faridabad - 121007</v>
          </cell>
          <cell r="I970" t="str">
            <v>North</v>
          </cell>
        </row>
        <row r="971">
          <cell r="B971" t="str">
            <v>W10681</v>
          </cell>
          <cell r="C971" t="str">
            <v>R1</v>
          </cell>
          <cell r="D971" t="str">
            <v>R</v>
          </cell>
          <cell r="E971" t="str">
            <v>KR Prakasam</v>
          </cell>
          <cell r="F971" t="str">
            <v>67 N/1, Veeranam Main Road, Anna Nagar, Ponnama, Salem - 636001</v>
          </cell>
          <cell r="I971" t="str">
            <v>South</v>
          </cell>
        </row>
        <row r="972">
          <cell r="B972" t="str">
            <v>W10682</v>
          </cell>
          <cell r="C972" t="str">
            <v>R1</v>
          </cell>
          <cell r="D972" t="str">
            <v>R</v>
          </cell>
          <cell r="E972" t="str">
            <v>KG Shah</v>
          </cell>
          <cell r="F972" t="str">
            <v>Pushpavati Imaging Centre, Opp. T. V. Centre, Pusad</v>
          </cell>
          <cell r="I972" t="str">
            <v>West</v>
          </cell>
        </row>
        <row r="973">
          <cell r="B973" t="str">
            <v>W10683</v>
          </cell>
          <cell r="C973" t="str">
            <v>R1</v>
          </cell>
          <cell r="D973" t="str">
            <v>R</v>
          </cell>
          <cell r="E973" t="str">
            <v>Damayanti Health Care Pvt Ltd</v>
          </cell>
          <cell r="F973" t="str">
            <v>Sumati, Gr.,Floor, Behind Saraswati Co- Op Bank, MG Road</v>
          </cell>
          <cell r="I973" t="str">
            <v>West</v>
          </cell>
        </row>
        <row r="974">
          <cell r="B974" t="str">
            <v>W10684</v>
          </cell>
          <cell r="C974" t="str">
            <v>R1</v>
          </cell>
          <cell r="D974" t="str">
            <v>R</v>
          </cell>
          <cell r="E974" t="str">
            <v>Jalgaon CT Scan &amp; Research Centre Pvt LTd</v>
          </cell>
          <cell r="F974" t="str">
            <v>MM Chambers GPO Road, Opp Main Telephone Exchange, Eng Ngr, Jalgaon - 425001</v>
          </cell>
          <cell r="I974" t="str">
            <v>West</v>
          </cell>
        </row>
        <row r="975">
          <cell r="B975" t="str">
            <v>W10685</v>
          </cell>
          <cell r="C975" t="str">
            <v>R1</v>
          </cell>
          <cell r="D975" t="str">
            <v>R</v>
          </cell>
          <cell r="E975" t="str">
            <v>City Scan Centre</v>
          </cell>
          <cell r="F975" t="str">
            <v>17, Hosur Road, Opp. Park Area, Wilson Garden, Bangalore  - 560027</v>
          </cell>
          <cell r="I975" t="str">
            <v>South</v>
          </cell>
        </row>
        <row r="976">
          <cell r="B976" t="str">
            <v>W10686</v>
          </cell>
          <cell r="C976" t="str">
            <v>R1</v>
          </cell>
          <cell r="D976" t="str">
            <v>R</v>
          </cell>
          <cell r="E976" t="str">
            <v>Dr. Lal Pathlabs Pvt Ltd</v>
          </cell>
          <cell r="F976" t="str">
            <v>Eskay House, 54 Hanuman Road, New Delhi</v>
          </cell>
          <cell r="I976" t="str">
            <v>North</v>
          </cell>
        </row>
        <row r="977">
          <cell r="B977" t="str">
            <v>W10687</v>
          </cell>
          <cell r="C977" t="str">
            <v>R1</v>
          </cell>
          <cell r="D977" t="str">
            <v>R</v>
          </cell>
          <cell r="E977" t="str">
            <v>BC Patricia</v>
          </cell>
          <cell r="F977" t="str">
            <v>Popular Clinic Gandhi Road, Nadanapalle</v>
          </cell>
          <cell r="I977" t="str">
            <v>South</v>
          </cell>
        </row>
        <row r="978">
          <cell r="B978" t="str">
            <v>W10688</v>
          </cell>
          <cell r="C978" t="str">
            <v>R1</v>
          </cell>
          <cell r="D978" t="str">
            <v>R</v>
          </cell>
          <cell r="E978" t="str">
            <v>Sreeram Neeraja</v>
          </cell>
          <cell r="F978" t="str">
            <v>10-18, Porumamilla Road Badvel, Cuddapah</v>
          </cell>
          <cell r="I978" t="str">
            <v>South</v>
          </cell>
        </row>
        <row r="979">
          <cell r="B979" t="str">
            <v>W10689</v>
          </cell>
          <cell r="C979" t="str">
            <v>R1</v>
          </cell>
          <cell r="D979" t="str">
            <v>R</v>
          </cell>
          <cell r="E979" t="str">
            <v>Modern Hospital Kodungullar Ltd</v>
          </cell>
          <cell r="F979" t="str">
            <v>Post Box No.  22, Kodungullar - 680664, Kerala</v>
          </cell>
          <cell r="I979" t="str">
            <v>South</v>
          </cell>
        </row>
        <row r="980">
          <cell r="B980" t="str">
            <v>W10690</v>
          </cell>
          <cell r="C980" t="str">
            <v>R1</v>
          </cell>
          <cell r="D980" t="str">
            <v>R</v>
          </cell>
          <cell r="E980" t="str">
            <v>Sirohi Medical Centre Pvt Ltd</v>
          </cell>
          <cell r="F980" t="str">
            <v>Clinic Plot No. 5, (Near Aggarwal Public School), Sector 3, Faridabad - 121004</v>
          </cell>
          <cell r="I980" t="str">
            <v>North</v>
          </cell>
        </row>
        <row r="981">
          <cell r="B981" t="str">
            <v>W10691</v>
          </cell>
          <cell r="C981" t="str">
            <v>R1</v>
          </cell>
          <cell r="D981" t="str">
            <v>R</v>
          </cell>
          <cell r="E981" t="str">
            <v>Aziz Khatri</v>
          </cell>
          <cell r="F981" t="str">
            <v>Khatri Diagnostic Centre, 41, Merchant Bldg, 3rd , Sankli Station, Opp. Ashalaen, Mumbai - 400008</v>
          </cell>
          <cell r="I981" t="str">
            <v>West</v>
          </cell>
        </row>
        <row r="982">
          <cell r="B982" t="str">
            <v>W10692</v>
          </cell>
          <cell r="C982" t="str">
            <v>R1</v>
          </cell>
          <cell r="D982" t="str">
            <v>R</v>
          </cell>
          <cell r="E982" t="str">
            <v>Protap Memorial Hospital Pvt Ltd</v>
          </cell>
          <cell r="F982" t="str">
            <v>Kutchery Road, Ajmeer - 305001</v>
          </cell>
          <cell r="I982" t="str">
            <v>North</v>
          </cell>
        </row>
        <row r="983">
          <cell r="B983" t="str">
            <v>W10693</v>
          </cell>
          <cell r="C983" t="str">
            <v>R1</v>
          </cell>
          <cell r="D983" t="str">
            <v>R</v>
          </cell>
          <cell r="E983" t="str">
            <v>R Gopalakrishnan</v>
          </cell>
          <cell r="F983" t="str">
            <v>3/48, New Scheme Road, Papanailkerpalayam , Coimbatore - 641037, Coimbatore</v>
          </cell>
          <cell r="I983" t="str">
            <v>South</v>
          </cell>
        </row>
        <row r="984">
          <cell r="B984" t="str">
            <v>W10694</v>
          </cell>
          <cell r="C984" t="str">
            <v>R1</v>
          </cell>
          <cell r="D984" t="str">
            <v>R</v>
          </cell>
          <cell r="E984" t="str">
            <v>Margatham Swaminathan</v>
          </cell>
          <cell r="F984" t="str">
            <v>Chander Nursing Home, Gandhi Nagar - 641603, Tirpur</v>
          </cell>
          <cell r="I984" t="str">
            <v>South</v>
          </cell>
        </row>
        <row r="985">
          <cell r="B985" t="str">
            <v>W10695</v>
          </cell>
          <cell r="C985" t="str">
            <v>R1</v>
          </cell>
          <cell r="D985" t="str">
            <v>R</v>
          </cell>
          <cell r="E985" t="str">
            <v>Devi Scans Pvt Ltd</v>
          </cell>
          <cell r="F985" t="str">
            <v>Opp. Medical College High School, Thrivananthapuram - 695011</v>
          </cell>
          <cell r="I985" t="str">
            <v>South</v>
          </cell>
        </row>
        <row r="986">
          <cell r="B986" t="str">
            <v>W10696</v>
          </cell>
          <cell r="C986" t="str">
            <v>R1</v>
          </cell>
          <cell r="D986" t="str">
            <v>R</v>
          </cell>
          <cell r="E986" t="str">
            <v>Sanjeev Kumar</v>
          </cell>
          <cell r="F986" t="str">
            <v>Bangalore Super Speciality Hospital, Opp. STBC College ------- Kurnool - A</v>
          </cell>
          <cell r="I986" t="str">
            <v>South</v>
          </cell>
        </row>
        <row r="987">
          <cell r="B987" t="str">
            <v>W10697</v>
          </cell>
          <cell r="C987" t="str">
            <v>R1</v>
          </cell>
          <cell r="D987" t="str">
            <v>R</v>
          </cell>
          <cell r="E987" t="str">
            <v>YK Diagnostics</v>
          </cell>
          <cell r="F987" t="str">
            <v>15, Hargovind Enclave, Vikas Marg Extention, New Delhi - 110092</v>
          </cell>
          <cell r="I987" t="str">
            <v>North</v>
          </cell>
        </row>
        <row r="988">
          <cell r="B988" t="str">
            <v>W10698</v>
          </cell>
          <cell r="C988" t="str">
            <v>R1</v>
          </cell>
          <cell r="D988" t="str">
            <v>R</v>
          </cell>
          <cell r="E988" t="str">
            <v>Narendra Jain</v>
          </cell>
          <cell r="F988" t="str">
            <v>MM Medical Centre &amp; Diagnostics, 2 Ankur Bldg, Near Mary School, LM Road, Bouvati West Mumbai</v>
          </cell>
          <cell r="I988" t="str">
            <v>West</v>
          </cell>
        </row>
        <row r="989">
          <cell r="B989" t="str">
            <v>W10699</v>
          </cell>
          <cell r="C989" t="str">
            <v>R1</v>
          </cell>
          <cell r="D989" t="str">
            <v>R</v>
          </cell>
          <cell r="E989" t="str">
            <v>P A Duraiswamy</v>
          </cell>
          <cell r="F989" t="str">
            <v>Arunachalam Memorial Hospital, Punjai, Puliampatti - 638459, Punjai Puliampatti</v>
          </cell>
          <cell r="I989" t="str">
            <v>South</v>
          </cell>
        </row>
        <row r="990">
          <cell r="B990" t="str">
            <v>W10700</v>
          </cell>
          <cell r="C990" t="str">
            <v>R1</v>
          </cell>
          <cell r="D990" t="str">
            <v>R</v>
          </cell>
          <cell r="E990" t="str">
            <v>M Nagarajan</v>
          </cell>
          <cell r="F990" t="str">
            <v>22, Chatram Street, Dharmapuri - 636701</v>
          </cell>
          <cell r="I990" t="str">
            <v>South</v>
          </cell>
        </row>
        <row r="991">
          <cell r="B991" t="str">
            <v>W10701</v>
          </cell>
          <cell r="C991" t="str">
            <v>R1</v>
          </cell>
          <cell r="D991" t="str">
            <v>R</v>
          </cell>
          <cell r="E991" t="str">
            <v>Nollai Scan &amp; Diagnostics Centre</v>
          </cell>
          <cell r="F991" t="str">
            <v>103 / 2A/ , Opp Church Trivandrum Road, Murugankurich, Tirunelveli - 623002</v>
          </cell>
          <cell r="I991" t="str">
            <v>South</v>
          </cell>
        </row>
        <row r="992">
          <cell r="B992" t="str">
            <v>W10702</v>
          </cell>
          <cell r="C992" t="str">
            <v>R1</v>
          </cell>
          <cell r="D992" t="str">
            <v>R</v>
          </cell>
          <cell r="E992" t="str">
            <v>Ramesh Kamath</v>
          </cell>
          <cell r="F992" t="str">
            <v>D - 12A, Hauz Khas, New Delhi</v>
          </cell>
          <cell r="I992" t="str">
            <v>North</v>
          </cell>
        </row>
        <row r="993">
          <cell r="B993" t="str">
            <v>W10703</v>
          </cell>
          <cell r="C993" t="str">
            <v>R1</v>
          </cell>
          <cell r="D993" t="str">
            <v>R</v>
          </cell>
          <cell r="E993" t="str">
            <v>Clarity Scan Centre</v>
          </cell>
          <cell r="F993" t="str">
            <v>No. 39, Burkit Road, I Nagar, Chennai - 600017</v>
          </cell>
          <cell r="I993" t="str">
            <v>South</v>
          </cell>
        </row>
        <row r="994">
          <cell r="B994" t="str">
            <v>W10704</v>
          </cell>
          <cell r="D994" t="str">
            <v>NA</v>
          </cell>
          <cell r="E994" t="str">
            <v>CDR Healthcare Ltd-8</v>
          </cell>
          <cell r="I994" t="str">
            <v>South</v>
          </cell>
        </row>
        <row r="995">
          <cell r="B995" t="str">
            <v>W10705</v>
          </cell>
          <cell r="C995" t="str">
            <v>R1</v>
          </cell>
          <cell r="D995" t="str">
            <v>R</v>
          </cell>
          <cell r="E995" t="str">
            <v>Orugallu Medicare Pvt Ltd</v>
          </cell>
          <cell r="F995" t="str">
            <v>2-4-152, Old Bus Stand Road, Ramnagar, Hanamkonda - 506001</v>
          </cell>
          <cell r="I995" t="str">
            <v>South</v>
          </cell>
        </row>
        <row r="996">
          <cell r="B996" t="str">
            <v>W10706</v>
          </cell>
          <cell r="C996" t="str">
            <v>R1</v>
          </cell>
          <cell r="D996" t="str">
            <v>R</v>
          </cell>
          <cell r="E996" t="str">
            <v>Ajit Singh</v>
          </cell>
          <cell r="F996" t="str">
            <v>3, Akashdeep Complex, 3rd Road, Sardarpura, Jodhpur - 342001</v>
          </cell>
          <cell r="I996" t="str">
            <v>North</v>
          </cell>
        </row>
        <row r="997">
          <cell r="B997" t="str">
            <v>W10707</v>
          </cell>
          <cell r="C997" t="str">
            <v>R1</v>
          </cell>
          <cell r="D997" t="str">
            <v>R</v>
          </cell>
          <cell r="E997" t="str">
            <v>Care (Visakha Hospital)</v>
          </cell>
          <cell r="F997" t="str">
            <v>15-2-9, Gokhla Road, Maharampata, Visakhapatanam - 530002</v>
          </cell>
          <cell r="I997" t="str">
            <v>South</v>
          </cell>
        </row>
        <row r="998">
          <cell r="B998" t="str">
            <v>W10707-A</v>
          </cell>
          <cell r="C998" t="str">
            <v>R1</v>
          </cell>
          <cell r="D998" t="str">
            <v>R</v>
          </cell>
          <cell r="E998" t="str">
            <v>Care (Visakha Hospital)</v>
          </cell>
          <cell r="F998" t="str">
            <v>15-2-9, Gokhla Road, Maharampata, Visakhapatanam - 530002</v>
          </cell>
          <cell r="I998" t="str">
            <v>South</v>
          </cell>
        </row>
        <row r="999">
          <cell r="B999" t="str">
            <v>W10708</v>
          </cell>
          <cell r="C999" t="str">
            <v>R1</v>
          </cell>
          <cell r="D999" t="str">
            <v>R</v>
          </cell>
          <cell r="E999" t="str">
            <v xml:space="preserve">Indira Gandhi Co-operative Hospital </v>
          </cell>
          <cell r="F999" t="str">
            <v>Manjodi, Thaissery, Kannur - 670103</v>
          </cell>
          <cell r="I999" t="str">
            <v>South</v>
          </cell>
        </row>
        <row r="1000">
          <cell r="B1000" t="str">
            <v>W10709</v>
          </cell>
          <cell r="C1000" t="str">
            <v>R1</v>
          </cell>
          <cell r="D1000" t="str">
            <v>R</v>
          </cell>
          <cell r="E1000" t="str">
            <v>Gautam Laboratories Imaging &amp; Research Center</v>
          </cell>
          <cell r="I1000" t="str">
            <v>East</v>
          </cell>
        </row>
        <row r="1001">
          <cell r="B1001" t="str">
            <v>W10710</v>
          </cell>
          <cell r="C1001" t="str">
            <v>R1</v>
          </cell>
          <cell r="D1001" t="str">
            <v>R</v>
          </cell>
          <cell r="E1001" t="str">
            <v>Lal Pathlabs Pvt Ltd</v>
          </cell>
          <cell r="F1001" t="str">
            <v>Eskay House, 54 Hanuman Road, New Delhi</v>
          </cell>
          <cell r="I1001" t="str">
            <v>North</v>
          </cell>
        </row>
        <row r="1002">
          <cell r="B1002" t="str">
            <v>W10711</v>
          </cell>
          <cell r="C1002" t="str">
            <v>R1</v>
          </cell>
          <cell r="D1002" t="str">
            <v>R</v>
          </cell>
          <cell r="E1002" t="str">
            <v>Meditech Health Services Bhimavaram</v>
          </cell>
          <cell r="F1002" t="str">
            <v>2-9-2, Sivaraopat, Bhimavaram - 534202</v>
          </cell>
          <cell r="I1002" t="str">
            <v>South</v>
          </cell>
        </row>
        <row r="1003">
          <cell r="B1003" t="str">
            <v>W10712</v>
          </cell>
          <cell r="C1003" t="str">
            <v>R1</v>
          </cell>
          <cell r="D1003" t="str">
            <v>R</v>
          </cell>
          <cell r="E1003" t="str">
            <v>K Punithavathy</v>
          </cell>
          <cell r="F1003" t="str">
            <v>Shri Shellapha Hospital. No. 239, Rajaram Nagar, Salem - 638007</v>
          </cell>
          <cell r="I1003" t="str">
            <v>South</v>
          </cell>
        </row>
        <row r="1004">
          <cell r="B1004" t="str">
            <v>W10713</v>
          </cell>
          <cell r="C1004" t="str">
            <v>R1</v>
          </cell>
          <cell r="D1004" t="str">
            <v>R</v>
          </cell>
          <cell r="E1004" t="str">
            <v>Srinivasa Cardiology Centre Pvt Ltd</v>
          </cell>
          <cell r="F1004" t="str">
            <v>Miller Bund Road, Bangalore - 560052</v>
          </cell>
          <cell r="I1004" t="str">
            <v>South</v>
          </cell>
        </row>
        <row r="1005">
          <cell r="B1005" t="str">
            <v>W10714</v>
          </cell>
          <cell r="C1005" t="str">
            <v>R1</v>
          </cell>
          <cell r="D1005" t="str">
            <v>R</v>
          </cell>
          <cell r="E1005" t="str">
            <v>Diagnostic Services-Dr Rasappan</v>
          </cell>
          <cell r="F1005" t="str">
            <v>N0. 37, Burkit Road, T, Nagar, Chennai - 600017</v>
          </cell>
          <cell r="I1005" t="str">
            <v>South</v>
          </cell>
        </row>
        <row r="1006">
          <cell r="B1006" t="str">
            <v>W10715</v>
          </cell>
          <cell r="C1006" t="str">
            <v>R1</v>
          </cell>
          <cell r="D1006" t="str">
            <v>R</v>
          </cell>
          <cell r="E1006" t="str">
            <v>G Fayyaz Kamal</v>
          </cell>
          <cell r="F1006" t="str">
            <v>No. 2, Cutchery Road, Variyambadi , Pin - 635751</v>
          </cell>
          <cell r="I1006" t="str">
            <v>South</v>
          </cell>
        </row>
        <row r="1007">
          <cell r="B1007" t="str">
            <v>W10716</v>
          </cell>
          <cell r="C1007" t="str">
            <v>R1</v>
          </cell>
          <cell r="D1007" t="str">
            <v>R</v>
          </cell>
          <cell r="E1007" t="str">
            <v>CH Ranga Reddy</v>
          </cell>
          <cell r="F1007" t="str">
            <v>R. R. Nursing Home, Giddaluru, Prailasam - Dt.</v>
          </cell>
          <cell r="I1007" t="str">
            <v>South</v>
          </cell>
        </row>
        <row r="1008">
          <cell r="B1008" t="str">
            <v>W10717</v>
          </cell>
          <cell r="C1008" t="str">
            <v>R1</v>
          </cell>
          <cell r="D1008" t="str">
            <v>R</v>
          </cell>
          <cell r="E1008" t="str">
            <v>Total Diagnosis Pvt Ltd</v>
          </cell>
          <cell r="F1008" t="str">
            <v>203, Ganga Jamuna Complex, Basement Zone - 1, MP Ngr, Bhopal</v>
          </cell>
          <cell r="I1008" t="str">
            <v>North</v>
          </cell>
        </row>
        <row r="1009">
          <cell r="B1009" t="str">
            <v>W10718</v>
          </cell>
          <cell r="C1009" t="str">
            <v>R1</v>
          </cell>
          <cell r="D1009" t="str">
            <v>R</v>
          </cell>
          <cell r="E1009" t="str">
            <v>Jitendra S Rana</v>
          </cell>
          <cell r="I1009" t="str">
            <v>West</v>
          </cell>
        </row>
        <row r="1010">
          <cell r="B1010" t="str">
            <v>W10719</v>
          </cell>
          <cell r="C1010" t="str">
            <v>R1</v>
          </cell>
          <cell r="D1010" t="str">
            <v>R</v>
          </cell>
          <cell r="E1010" t="str">
            <v>Lokmanya Medical Foundation</v>
          </cell>
          <cell r="I1010" t="str">
            <v>West</v>
          </cell>
        </row>
        <row r="1011">
          <cell r="B1011" t="str">
            <v>W10720</v>
          </cell>
          <cell r="C1011" t="str">
            <v>R1</v>
          </cell>
          <cell r="D1011" t="str">
            <v>R</v>
          </cell>
          <cell r="E1011" t="str">
            <v>Chanie Sibo</v>
          </cell>
          <cell r="I1011" t="str">
            <v>East</v>
          </cell>
        </row>
        <row r="1012">
          <cell r="B1012" t="str">
            <v>W10721</v>
          </cell>
          <cell r="C1012" t="str">
            <v>R1</v>
          </cell>
          <cell r="D1012" t="str">
            <v>R</v>
          </cell>
          <cell r="E1012" t="str">
            <v>Ravi Srivastava</v>
          </cell>
          <cell r="I1012" t="str">
            <v>North</v>
          </cell>
        </row>
        <row r="1013">
          <cell r="B1013" t="str">
            <v>W10722</v>
          </cell>
          <cell r="C1013" t="str">
            <v>R1</v>
          </cell>
          <cell r="D1013" t="str">
            <v>R</v>
          </cell>
          <cell r="E1013" t="str">
            <v>Pratap Memorial Hospital &amp; Research Center</v>
          </cell>
          <cell r="I1013" t="str">
            <v>North</v>
          </cell>
        </row>
        <row r="1014">
          <cell r="B1014" t="str">
            <v>W10723</v>
          </cell>
          <cell r="C1014" t="str">
            <v>R1</v>
          </cell>
          <cell r="D1014" t="str">
            <v>R</v>
          </cell>
          <cell r="E1014" t="str">
            <v>Anandaloke Sono Scan Center Pvt Ltd</v>
          </cell>
          <cell r="F1014" t="str">
            <v>3/3, Hill Cart Road, Near Mahananda Bridge, SiliGuri - 3</v>
          </cell>
          <cell r="I1014" t="str">
            <v>East</v>
          </cell>
        </row>
        <row r="1015">
          <cell r="B1015" t="str">
            <v>W10724</v>
          </cell>
          <cell r="C1015" t="str">
            <v>R1</v>
          </cell>
          <cell r="D1015" t="str">
            <v>R</v>
          </cell>
          <cell r="E1015" t="str">
            <v>TU Joy</v>
          </cell>
          <cell r="I1015" t="str">
            <v>South</v>
          </cell>
        </row>
        <row r="1016">
          <cell r="B1016" t="str">
            <v>W10725</v>
          </cell>
          <cell r="C1016" t="str">
            <v>R1</v>
          </cell>
          <cell r="D1016" t="str">
            <v>R</v>
          </cell>
          <cell r="E1016" t="str">
            <v>Suprena Bhatt</v>
          </cell>
          <cell r="F1016" t="str">
            <v>403, Garuashish Behind Bank of Goa, Margaon, Goa - 403601</v>
          </cell>
          <cell r="I1016" t="str">
            <v>West</v>
          </cell>
        </row>
        <row r="1017">
          <cell r="B1017" t="str">
            <v>W10726</v>
          </cell>
          <cell r="C1017" t="str">
            <v>R1</v>
          </cell>
          <cell r="D1017" t="str">
            <v>R</v>
          </cell>
          <cell r="E1017" t="str">
            <v>Sachin Patil</v>
          </cell>
          <cell r="I1017" t="str">
            <v>West</v>
          </cell>
        </row>
        <row r="1018">
          <cell r="B1018" t="str">
            <v>W10727</v>
          </cell>
          <cell r="C1018" t="str">
            <v>R1</v>
          </cell>
          <cell r="D1018" t="str">
            <v>R</v>
          </cell>
          <cell r="E1018" t="str">
            <v>Medicos Daignostics</v>
          </cell>
          <cell r="F1018" t="str">
            <v>1/1580, Pankaj Towers, Pazha Road, Medical College</v>
          </cell>
          <cell r="I1018" t="str">
            <v>South</v>
          </cell>
        </row>
        <row r="1019">
          <cell r="B1019" t="str">
            <v>W10728</v>
          </cell>
          <cell r="C1019" t="str">
            <v>R1</v>
          </cell>
          <cell r="D1019" t="str">
            <v>R</v>
          </cell>
          <cell r="E1019" t="str">
            <v>Kaushik Shah</v>
          </cell>
          <cell r="F1019" t="str">
            <v>Manthan XR &amp; Sonography Centre, $ Shivnandan Complex, Opp. Radha Vallab Temple, Sai Hind Char rasta, Ahmd- 8</v>
          </cell>
          <cell r="I1019" t="str">
            <v>West</v>
          </cell>
        </row>
        <row r="1020">
          <cell r="B1020" t="str">
            <v>W10729</v>
          </cell>
          <cell r="C1020" t="str">
            <v>R1</v>
          </cell>
          <cell r="D1020" t="str">
            <v>R</v>
          </cell>
          <cell r="E1020" t="str">
            <v>Modern CT Scan &amp; Diagnostic Center</v>
          </cell>
          <cell r="F1020" t="str">
            <v>21, Bunglow Road, Kamla Nagar, New Delhi</v>
          </cell>
          <cell r="I1020" t="str">
            <v>North</v>
          </cell>
        </row>
        <row r="1021">
          <cell r="B1021" t="str">
            <v>W10730</v>
          </cell>
          <cell r="C1021" t="str">
            <v>R1</v>
          </cell>
          <cell r="D1021" t="str">
            <v>R</v>
          </cell>
          <cell r="E1021" t="str">
            <v>P Kalaivanan</v>
          </cell>
          <cell r="F1021" t="str">
            <v>Sri Sakthi Nursing Home, CO- Operative Nagar, Thuraiyur - 621010</v>
          </cell>
          <cell r="I1021" t="str">
            <v>South</v>
          </cell>
        </row>
        <row r="1022">
          <cell r="B1022" t="str">
            <v>W10731</v>
          </cell>
          <cell r="C1022" t="str">
            <v>R1</v>
          </cell>
          <cell r="D1022" t="str">
            <v>R</v>
          </cell>
          <cell r="E1022" t="str">
            <v>Mohammed Niyaz</v>
          </cell>
          <cell r="F1022" t="str">
            <v>Suncity Hospital &amp; Research Centre, Monlara Rd., Makrana Distt., Nagaur</v>
          </cell>
          <cell r="I1022" t="str">
            <v>North</v>
          </cell>
        </row>
        <row r="1023">
          <cell r="B1023" t="str">
            <v>W10732</v>
          </cell>
          <cell r="C1023" t="str">
            <v>R1</v>
          </cell>
          <cell r="D1023" t="str">
            <v>R</v>
          </cell>
          <cell r="E1023" t="str">
            <v>Syed Sirajudin</v>
          </cell>
          <cell r="F1023" t="str">
            <v>Faruqi Nursing Home, 23-1-987/1, Mogulpury, Hyd - 500002</v>
          </cell>
          <cell r="I1023" t="str">
            <v>South</v>
          </cell>
        </row>
        <row r="1024">
          <cell r="B1024" t="str">
            <v>W10733</v>
          </cell>
          <cell r="C1024" t="str">
            <v>R1</v>
          </cell>
          <cell r="D1024" t="str">
            <v>R</v>
          </cell>
          <cell r="E1024" t="str">
            <v>Chandni Verma</v>
          </cell>
          <cell r="I1024" t="str">
            <v>South</v>
          </cell>
        </row>
        <row r="1025">
          <cell r="B1025" t="str">
            <v>W10734</v>
          </cell>
          <cell r="C1025" t="str">
            <v>R1</v>
          </cell>
          <cell r="D1025" t="str">
            <v>R</v>
          </cell>
          <cell r="E1025" t="str">
            <v>Nakshatra Bijoy Choudhary (Ultralab)</v>
          </cell>
          <cell r="I1025" t="str">
            <v>East</v>
          </cell>
        </row>
        <row r="1026">
          <cell r="B1026" t="str">
            <v>W10735</v>
          </cell>
          <cell r="C1026" t="str">
            <v>R1</v>
          </cell>
          <cell r="D1026" t="str">
            <v>R</v>
          </cell>
          <cell r="E1026" t="str">
            <v>Rajeshwari Rajendran</v>
          </cell>
          <cell r="F1026" t="str">
            <v>194, M. P. S. Bala, Tiruttani - 631209</v>
          </cell>
          <cell r="I1026" t="str">
            <v>South</v>
          </cell>
        </row>
        <row r="1027">
          <cell r="B1027" t="str">
            <v>W10736</v>
          </cell>
          <cell r="C1027" t="str">
            <v>R1</v>
          </cell>
          <cell r="D1027" t="str">
            <v>R</v>
          </cell>
          <cell r="E1027" t="str">
            <v>RN Bharath Singh</v>
          </cell>
          <cell r="F1027" t="str">
            <v>Anu Nursing Home, Kantayapal Road, Thorrur, Warangal Dist (AP)</v>
          </cell>
          <cell r="I1027" t="str">
            <v>South</v>
          </cell>
        </row>
        <row r="1028">
          <cell r="B1028" t="str">
            <v>W10737</v>
          </cell>
          <cell r="C1028" t="str">
            <v>R1</v>
          </cell>
          <cell r="D1028" t="str">
            <v>R</v>
          </cell>
          <cell r="E1028" t="str">
            <v>Mayflower Healthcare Pvt Ltd</v>
          </cell>
          <cell r="F1028" t="str">
            <v>Mathgaria, 200 - Narangi Road, Guwahati</v>
          </cell>
          <cell r="I1028" t="str">
            <v>East</v>
          </cell>
        </row>
        <row r="1029">
          <cell r="B1029" t="str">
            <v>W10738</v>
          </cell>
          <cell r="C1029" t="str">
            <v>R1</v>
          </cell>
          <cell r="D1029" t="str">
            <v>R</v>
          </cell>
          <cell r="E1029" t="str">
            <v>K R Prakasam</v>
          </cell>
          <cell r="F1029" t="str">
            <v>140, Anna Nagar, Pannammapat, Salem - 636001</v>
          </cell>
          <cell r="I1029" t="str">
            <v>South</v>
          </cell>
        </row>
        <row r="1030">
          <cell r="B1030" t="str">
            <v>W10739</v>
          </cell>
          <cell r="C1030" t="str">
            <v>R1</v>
          </cell>
          <cell r="D1030" t="str">
            <v>R</v>
          </cell>
          <cell r="E1030" t="str">
            <v>Rigid Hospitals Pvt Ltd</v>
          </cell>
          <cell r="F1030" t="str">
            <v>47/3, New Avadi Road, Kilpauk, chennai - 600010</v>
          </cell>
          <cell r="I1030" t="str">
            <v>South</v>
          </cell>
        </row>
        <row r="1031">
          <cell r="B1031" t="str">
            <v>W10740</v>
          </cell>
          <cell r="C1031" t="str">
            <v>R1</v>
          </cell>
          <cell r="D1031" t="str">
            <v>R</v>
          </cell>
          <cell r="E1031" t="str">
            <v>Gautam Laboratories</v>
          </cell>
          <cell r="F1031" t="str">
            <v>7, Kali Krishna Tagore Street, Calcutta - 700007</v>
          </cell>
          <cell r="I1031" t="str">
            <v>East</v>
          </cell>
        </row>
        <row r="1032">
          <cell r="B1032" t="str">
            <v>W10741</v>
          </cell>
          <cell r="C1032" t="str">
            <v>R1</v>
          </cell>
          <cell r="D1032" t="str">
            <v>NA</v>
          </cell>
          <cell r="E1032" t="str">
            <v>Manipal Academy of Higher Education</v>
          </cell>
          <cell r="F1032" t="str">
            <v>Medical Relif Society of South Canara, A/C Manipal Hospital, Airport Road, Bangalore - 560017</v>
          </cell>
          <cell r="I1032" t="str">
            <v>South</v>
          </cell>
        </row>
        <row r="1033">
          <cell r="B1033" t="str">
            <v>W10742</v>
          </cell>
          <cell r="C1033" t="str">
            <v>R1</v>
          </cell>
          <cell r="D1033" t="str">
            <v>R</v>
          </cell>
          <cell r="E1033" t="str">
            <v>Astha Medical Services Pvt Ltd</v>
          </cell>
          <cell r="F1033" t="str">
            <v>Sinthi More, Calcutta</v>
          </cell>
          <cell r="I1033" t="str">
            <v>East</v>
          </cell>
        </row>
        <row r="1034">
          <cell r="B1034" t="str">
            <v>W10743</v>
          </cell>
          <cell r="C1034" t="str">
            <v>R1</v>
          </cell>
          <cell r="D1034" t="str">
            <v>R</v>
          </cell>
          <cell r="E1034" t="str">
            <v>Vijaya Medical &amp; Educational Trust</v>
          </cell>
          <cell r="F1034" t="str">
            <v>180, NSK Road, Chennai - 600026</v>
          </cell>
          <cell r="I1034" t="str">
            <v>South</v>
          </cell>
        </row>
        <row r="1035">
          <cell r="B1035" t="str">
            <v>W10163-Resch</v>
          </cell>
          <cell r="C1035" t="str">
            <v>R1</v>
          </cell>
          <cell r="D1035" t="str">
            <v>R</v>
          </cell>
          <cell r="E1035" t="str">
            <v>Sai Medical Imaging</v>
          </cell>
          <cell r="F1035" t="str">
            <v>75-1-38, Prakash Nagar, BVR Complex, Rajamundri, Andhra Pradesh</v>
          </cell>
          <cell r="H1035" t="str">
            <v>SAIMED</v>
          </cell>
          <cell r="I1035" t="str">
            <v>South</v>
          </cell>
        </row>
        <row r="1036">
          <cell r="B1036" t="str">
            <v>W10744</v>
          </cell>
          <cell r="C1036" t="str">
            <v>R1</v>
          </cell>
          <cell r="D1036" t="str">
            <v>R</v>
          </cell>
          <cell r="E1036" t="str">
            <v>Ahmednagar Cathlab (India) Pvt Ltd</v>
          </cell>
          <cell r="F1036" t="str">
            <v>43/46, Mahavir Nagar, Savedi, Ahmednagar</v>
          </cell>
          <cell r="I1036" t="str">
            <v>West</v>
          </cell>
        </row>
        <row r="1037">
          <cell r="B1037" t="str">
            <v>W10745</v>
          </cell>
          <cell r="C1037" t="str">
            <v>R1</v>
          </cell>
          <cell r="D1037" t="str">
            <v>R</v>
          </cell>
          <cell r="E1037" t="str">
            <v>Lotus Whole Body Scanning Center Pvt Ltd</v>
          </cell>
          <cell r="F1037" t="str">
            <v>Lotus Apollo Hospital Bldg Complex, 90, Thagrimanava Sundaram St. Kollampalayam, Erode - 638022</v>
          </cell>
          <cell r="I1037" t="str">
            <v>South</v>
          </cell>
        </row>
        <row r="1038">
          <cell r="B1038" t="str">
            <v>W10746</v>
          </cell>
          <cell r="C1038" t="str">
            <v>R1</v>
          </cell>
          <cell r="D1038" t="str">
            <v>R</v>
          </cell>
          <cell r="E1038" t="str">
            <v>Orugallu Medicare Pvt Ltd-1</v>
          </cell>
          <cell r="F1038" t="str">
            <v>2-4-152, Old Bus Stand Road, Ramnagar, Hanamkonda - 506001</v>
          </cell>
          <cell r="I1038" t="str">
            <v>South</v>
          </cell>
        </row>
        <row r="1039">
          <cell r="B1039" t="str">
            <v>W10747</v>
          </cell>
          <cell r="C1039" t="str">
            <v>R1</v>
          </cell>
          <cell r="D1039" t="str">
            <v>R</v>
          </cell>
          <cell r="E1039" t="str">
            <v>Asia Heart Foundation (Dr Devi Prasad Shetty)</v>
          </cell>
          <cell r="F1039" t="str">
            <v>Narayana Hrudayalaya (P) Ltd, Boommasandra Ind. Area, Bangalore</v>
          </cell>
          <cell r="I1039" t="str">
            <v>South</v>
          </cell>
        </row>
        <row r="1040">
          <cell r="B1040" t="str">
            <v>W10748</v>
          </cell>
          <cell r="C1040" t="str">
            <v>R1</v>
          </cell>
          <cell r="D1040" t="str">
            <v>R</v>
          </cell>
          <cell r="E1040" t="str">
            <v>Mukesh Sirohia</v>
          </cell>
          <cell r="F1040" t="str">
            <v>7/23, Purbachal Block GA Sec, Solt Lake</v>
          </cell>
          <cell r="I1040" t="str">
            <v>East</v>
          </cell>
        </row>
        <row r="1041">
          <cell r="B1041" t="str">
            <v>W10749</v>
          </cell>
          <cell r="C1041" t="str">
            <v>R1</v>
          </cell>
          <cell r="D1041" t="str">
            <v>R</v>
          </cell>
          <cell r="E1041" t="str">
            <v>The Chotanagpur Regional Handloom Weavers Cooperative Union Ltd (Apollo Ranchi)</v>
          </cell>
          <cell r="F1041" t="str">
            <v>Ranchi - 835238</v>
          </cell>
          <cell r="I1041" t="str">
            <v>East</v>
          </cell>
        </row>
        <row r="1042">
          <cell r="B1042" t="str">
            <v>W10750</v>
          </cell>
          <cell r="C1042" t="str">
            <v>R1</v>
          </cell>
          <cell r="D1042" t="str">
            <v>R</v>
          </cell>
          <cell r="E1042" t="str">
            <v>The Chotanagpur Regional Handloom Weavers Cooperative Union Ltd (Apollo Ranchi)</v>
          </cell>
          <cell r="F1042" t="str">
            <v>Ranchi - 835238</v>
          </cell>
          <cell r="I1042" t="str">
            <v>East</v>
          </cell>
        </row>
        <row r="1043">
          <cell r="B1043" t="str">
            <v>W10751</v>
          </cell>
          <cell r="C1043" t="str">
            <v>R1</v>
          </cell>
          <cell r="D1043" t="str">
            <v>R</v>
          </cell>
          <cell r="E1043" t="str">
            <v>Modern Diagnostic Center &amp; Hospital (Babu Chacko)</v>
          </cell>
          <cell r="F1043" t="str">
            <v>Kottayam, Kerala</v>
          </cell>
          <cell r="I1043" t="str">
            <v>South</v>
          </cell>
        </row>
        <row r="1044">
          <cell r="B1044" t="str">
            <v>W10752</v>
          </cell>
          <cell r="C1044" t="str">
            <v>R1</v>
          </cell>
          <cell r="D1044" t="str">
            <v>R</v>
          </cell>
          <cell r="E1044" t="str">
            <v>Eko Diagnostic Pvt Ltd</v>
          </cell>
          <cell r="F1044" t="str">
            <v>54, Jawaharlal Nehru Road, Kolkata - 700071</v>
          </cell>
          <cell r="I1044" t="str">
            <v>East</v>
          </cell>
        </row>
        <row r="1045">
          <cell r="B1045" t="str">
            <v>W10753</v>
          </cell>
          <cell r="C1045" t="str">
            <v>R1</v>
          </cell>
          <cell r="D1045" t="str">
            <v>NA</v>
          </cell>
          <cell r="E1045" t="str">
            <v>Cardio Vascular Imaging &amp; Research Center</v>
          </cell>
          <cell r="F1045" t="str">
            <v>54, Jawaharlal Nehru Road, Kolkata - 700071</v>
          </cell>
          <cell r="I1045" t="str">
            <v>East</v>
          </cell>
        </row>
        <row r="1046">
          <cell r="B1046" t="str">
            <v>W10754</v>
          </cell>
          <cell r="C1046" t="str">
            <v>R1</v>
          </cell>
          <cell r="D1046" t="str">
            <v>R</v>
          </cell>
          <cell r="E1046" t="str">
            <v>Hisamuddin Papa</v>
          </cell>
          <cell r="F1046" t="str">
            <v xml:space="preserve">424, Anna Salai, Nandanam Ch - 35, Chennai </v>
          </cell>
          <cell r="I1046" t="str">
            <v>South</v>
          </cell>
        </row>
        <row r="1047">
          <cell r="B1047" t="str">
            <v>W10755</v>
          </cell>
          <cell r="C1047" t="str">
            <v>R1</v>
          </cell>
          <cell r="D1047" t="str">
            <v>R</v>
          </cell>
          <cell r="E1047" t="str">
            <v>Hisamuddin Papa</v>
          </cell>
          <cell r="F1047" t="str">
            <v xml:space="preserve">424, Anna Salai, Nandanam Ch - 35, Chennai </v>
          </cell>
          <cell r="I1047" t="str">
            <v>South</v>
          </cell>
        </row>
        <row r="1048">
          <cell r="B1048" t="str">
            <v>W10756</v>
          </cell>
          <cell r="C1048" t="str">
            <v>R1</v>
          </cell>
          <cell r="D1048" t="str">
            <v>R</v>
          </cell>
          <cell r="E1048" t="str">
            <v>Anil Sachdeva</v>
          </cell>
          <cell r="F1048" t="str">
            <v>Ambedkar Chowk, Rewari - 123401</v>
          </cell>
          <cell r="I1048" t="str">
            <v>North</v>
          </cell>
        </row>
        <row r="1049">
          <cell r="B1049" t="str">
            <v>W10757</v>
          </cell>
          <cell r="C1049" t="str">
            <v>R1</v>
          </cell>
          <cell r="E1049" t="str">
            <v>Eastern Diagnostics &amp; Research Centre Pvt. Ltd.</v>
          </cell>
          <cell r="F1049" t="str">
            <v>13C, Mirza Ghalib Street, Kolkata - 700016</v>
          </cell>
          <cell r="I1049" t="str">
            <v>East</v>
          </cell>
        </row>
        <row r="1050">
          <cell r="B1050" t="str">
            <v>W10758</v>
          </cell>
          <cell r="C1050" t="str">
            <v>R1</v>
          </cell>
          <cell r="D1050" t="str">
            <v>R</v>
          </cell>
          <cell r="E1050" t="str">
            <v>Oriental Scans</v>
          </cell>
          <cell r="F1050" t="str">
            <v>Mavelikara, Thitarambalan, P.O: Kandiyoor, Mavelikara, Alleppey, Kerala - 690103</v>
          </cell>
          <cell r="I1050" t="str">
            <v>South</v>
          </cell>
        </row>
        <row r="1051">
          <cell r="B1051" t="str">
            <v>W10759</v>
          </cell>
          <cell r="C1051" t="str">
            <v>R1</v>
          </cell>
          <cell r="D1051" t="str">
            <v>NA</v>
          </cell>
          <cell r="E1051" t="str">
            <v>GK Diagnostic Pvt Ltd</v>
          </cell>
          <cell r="F1051" t="str">
            <v>Sahid Khudiram Sarani City Centre, Durgapur - 713201</v>
          </cell>
          <cell r="I1051" t="str">
            <v>East</v>
          </cell>
        </row>
        <row r="1052">
          <cell r="B1052" t="str">
            <v>W10760</v>
          </cell>
          <cell r="C1052" t="str">
            <v>R1</v>
          </cell>
          <cell r="D1052" t="str">
            <v>R</v>
          </cell>
          <cell r="E1052" t="str">
            <v>Suraksha Diagnostic &amp; Eye Research Pvt Ltd</v>
          </cell>
          <cell r="F1052" t="str">
            <v>P-118, C.I.T. Road Scheme VIM, Phulbagan, Kolkata - 700054</v>
          </cell>
          <cell r="I1052" t="str">
            <v>East</v>
          </cell>
        </row>
        <row r="1053">
          <cell r="B1053" t="str">
            <v>W10761</v>
          </cell>
          <cell r="C1053" t="str">
            <v>R1</v>
          </cell>
          <cell r="D1053" t="str">
            <v>R</v>
          </cell>
          <cell r="E1053" t="str">
            <v>P Gunasekharan</v>
          </cell>
          <cell r="F1053" t="str">
            <v>No. 12, Maruthi Salai, Tajmahal Nagar, Trichy - 620020</v>
          </cell>
          <cell r="I1053" t="str">
            <v>South</v>
          </cell>
        </row>
        <row r="1054">
          <cell r="B1054" t="str">
            <v>W10762</v>
          </cell>
          <cell r="C1054" t="str">
            <v>R1</v>
          </cell>
          <cell r="D1054" t="str">
            <v>R</v>
          </cell>
          <cell r="E1054" t="str">
            <v>Diagnostic Services</v>
          </cell>
          <cell r="F1054" t="str">
            <v>No. 37, Burkit Road, T. Nagar, Chennai - 600017</v>
          </cell>
          <cell r="I1054" t="str">
            <v>South</v>
          </cell>
        </row>
        <row r="1055">
          <cell r="B1055" t="str">
            <v>W10763</v>
          </cell>
          <cell r="C1055" t="str">
            <v>R1</v>
          </cell>
          <cell r="D1055" t="str">
            <v>R</v>
          </cell>
          <cell r="E1055" t="str">
            <v xml:space="preserve">Tuticorin CT Scan and Research Institute Ltd. </v>
          </cell>
          <cell r="F1055" t="str">
            <v>145/CB, Jayaraj Road, Tuticoria - 628002</v>
          </cell>
          <cell r="I1055" t="str">
            <v>South</v>
          </cell>
        </row>
        <row r="1056">
          <cell r="B1056" t="str">
            <v>W10764</v>
          </cell>
          <cell r="C1056" t="str">
            <v>R1</v>
          </cell>
          <cell r="D1056" t="str">
            <v>R</v>
          </cell>
          <cell r="E1056" t="str">
            <v>Pankaj Ranjan</v>
          </cell>
          <cell r="F1056" t="str">
            <v>Dr. Ranjan Diagnostic Resim, Rashmi Palace, Sultanganj, Agra - 280004</v>
          </cell>
          <cell r="I1056" t="str">
            <v>North</v>
          </cell>
        </row>
        <row r="1057">
          <cell r="B1057" t="str">
            <v>W10765</v>
          </cell>
          <cell r="C1057" t="str">
            <v>R1</v>
          </cell>
          <cell r="D1057" t="str">
            <v>R</v>
          </cell>
          <cell r="E1057" t="str">
            <v>Pankaj Ranjan</v>
          </cell>
          <cell r="F1057" t="str">
            <v>Dr. Ranjan Diagnostic Resim, Rashmi Palace, Sultanganj, Bypass Road, Agra - 280004</v>
          </cell>
          <cell r="I1057" t="str">
            <v>North</v>
          </cell>
        </row>
        <row r="1058">
          <cell r="B1058" t="str">
            <v>W10766</v>
          </cell>
          <cell r="C1058" t="str">
            <v>R1</v>
          </cell>
          <cell r="D1058" t="str">
            <v>R</v>
          </cell>
          <cell r="E1058" t="str">
            <v>Medicare Diagnostics</v>
          </cell>
          <cell r="F1058" t="str">
            <v>17, R. B Ghosh Road, Kheshbogan, Burdawan - 713101</v>
          </cell>
          <cell r="I1058" t="str">
            <v>East</v>
          </cell>
        </row>
        <row r="1059">
          <cell r="B1059" t="str">
            <v>W10767</v>
          </cell>
          <cell r="C1059" t="str">
            <v>R1</v>
          </cell>
          <cell r="D1059" t="str">
            <v>R</v>
          </cell>
          <cell r="E1059" t="str">
            <v>Gautam Laboratories Imaging &amp; Research Center-1</v>
          </cell>
          <cell r="F1059" t="str">
            <v>7, Kali Krishna Tagore Street, Calcutta - 700007</v>
          </cell>
          <cell r="I1059" t="str">
            <v>East</v>
          </cell>
        </row>
        <row r="1060">
          <cell r="B1060" t="str">
            <v>W10768</v>
          </cell>
          <cell r="C1060" t="str">
            <v>R1</v>
          </cell>
          <cell r="D1060" t="str">
            <v>R</v>
          </cell>
          <cell r="E1060" t="str">
            <v>Amit MRI Center</v>
          </cell>
          <cell r="F1060" t="str">
            <v>Kanth House, Barasari, Moradabad</v>
          </cell>
          <cell r="I1060" t="str">
            <v>North</v>
          </cell>
        </row>
        <row r="1061">
          <cell r="B1061" t="str">
            <v>W10769</v>
          </cell>
          <cell r="C1061" t="str">
            <v>R1</v>
          </cell>
          <cell r="D1061" t="str">
            <v>R</v>
          </cell>
          <cell r="E1061" t="str">
            <v>W Kharsiing (Woodland Hospital)</v>
          </cell>
          <cell r="F1061" t="str">
            <v>C/O- Woodland Hospital, Dhankheti, Shillong - 793003</v>
          </cell>
          <cell r="I1061" t="str">
            <v>East</v>
          </cell>
        </row>
        <row r="1062">
          <cell r="B1062" t="str">
            <v>W10770</v>
          </cell>
          <cell r="C1062" t="str">
            <v>R1</v>
          </cell>
          <cell r="D1062" t="str">
            <v>R</v>
          </cell>
          <cell r="E1062" t="str">
            <v>Yashwant Barhate</v>
          </cell>
          <cell r="F1062" t="str">
            <v>Shree Sonography Clinic, Shop No. 6, Mata Market, Samarthanagar, New Sangri, Pune - 411027</v>
          </cell>
          <cell r="I1062" t="str">
            <v>West</v>
          </cell>
        </row>
        <row r="1063">
          <cell r="B1063" t="str">
            <v>W10771</v>
          </cell>
          <cell r="C1063" t="str">
            <v>R1</v>
          </cell>
          <cell r="D1063" t="str">
            <v>R</v>
          </cell>
          <cell r="E1063" t="str">
            <v>Rohini Devi</v>
          </cell>
          <cell r="F1063" t="str">
            <v>Manthani Nursing Home, Opp. Hanuman Tample, Pinjeru Katta, karummagar Dist</v>
          </cell>
          <cell r="I1063" t="str">
            <v>South</v>
          </cell>
        </row>
        <row r="1064">
          <cell r="B1064" t="str">
            <v>W10772</v>
          </cell>
          <cell r="C1064" t="str">
            <v>R1</v>
          </cell>
          <cell r="D1064" t="str">
            <v>R</v>
          </cell>
          <cell r="E1064" t="str">
            <v>Siva Mohan Reddy</v>
          </cell>
          <cell r="F1064" t="str">
            <v>Sri Shiva Nursing Home</v>
          </cell>
          <cell r="I1064" t="str">
            <v>South</v>
          </cell>
        </row>
        <row r="1065">
          <cell r="B1065" t="str">
            <v>W10773</v>
          </cell>
          <cell r="C1065" t="str">
            <v>R1</v>
          </cell>
          <cell r="D1065" t="str">
            <v>R</v>
          </cell>
          <cell r="E1065" t="str">
            <v xml:space="preserve">J Kalpana </v>
          </cell>
          <cell r="F1065" t="str">
            <v>2-6-255/4, Vishwadeep, Nallakunta, Hyderabad - 500044</v>
          </cell>
          <cell r="I1065" t="str">
            <v>South</v>
          </cell>
        </row>
        <row r="1066">
          <cell r="B1066" t="str">
            <v>W10664</v>
          </cell>
          <cell r="C1066" t="str">
            <v>R1</v>
          </cell>
          <cell r="D1066" t="str">
            <v>R</v>
          </cell>
          <cell r="E1066" t="str">
            <v>Advanced Healthcare Resources India Pvt Ltd</v>
          </cell>
          <cell r="I1066" t="str">
            <v>South</v>
          </cell>
        </row>
        <row r="1067">
          <cell r="B1067" t="str">
            <v>W10774</v>
          </cell>
          <cell r="C1067" t="str">
            <v>R1</v>
          </cell>
          <cell r="D1067" t="str">
            <v>R</v>
          </cell>
          <cell r="E1067" t="str">
            <v>Shirsath D S</v>
          </cell>
          <cell r="I1067" t="str">
            <v>West</v>
          </cell>
        </row>
        <row r="1068">
          <cell r="B1068" t="str">
            <v>W10775</v>
          </cell>
          <cell r="C1068" t="str">
            <v>R1</v>
          </cell>
          <cell r="D1068" t="str">
            <v>R</v>
          </cell>
          <cell r="E1068" t="str">
            <v>Subbarayudu K</v>
          </cell>
          <cell r="F1068" t="str">
            <v>No. 4, Gurreddy Complex, Banagana Palli</v>
          </cell>
          <cell r="I1068" t="str">
            <v>South</v>
          </cell>
        </row>
        <row r="1069">
          <cell r="B1069" t="str">
            <v>W10776</v>
          </cell>
          <cell r="C1069" t="str">
            <v>R1</v>
          </cell>
          <cell r="D1069" t="str">
            <v>R</v>
          </cell>
          <cell r="E1069" t="str">
            <v>Pranab Das</v>
          </cell>
          <cell r="F1069" t="str">
            <v>Evergreen Pathlogical Laboratory, Netaji Road, Lunding, Assam, Ph No. 03674- 65129</v>
          </cell>
          <cell r="I1069" t="str">
            <v>East</v>
          </cell>
        </row>
        <row r="1070">
          <cell r="B1070" t="str">
            <v>W10777</v>
          </cell>
          <cell r="C1070" t="str">
            <v>R1</v>
          </cell>
          <cell r="D1070" t="str">
            <v>R</v>
          </cell>
          <cell r="E1070" t="str">
            <v>Chidambaranathan</v>
          </cell>
          <cell r="F1070" t="str">
            <v>Nathan Bone and Joint Hospital, 53/3, Ammapet main Roa, Salem - 636001</v>
          </cell>
          <cell r="I1070" t="str">
            <v>South</v>
          </cell>
        </row>
        <row r="1071">
          <cell r="B1071" t="str">
            <v>W10778</v>
          </cell>
          <cell r="C1071" t="str">
            <v>R1</v>
          </cell>
          <cell r="D1071" t="str">
            <v>R</v>
          </cell>
          <cell r="E1071" t="str">
            <v>Meditech Health Services-Bhimavaram-1</v>
          </cell>
          <cell r="F1071" t="str">
            <v>2-9-2, Sivaraopat, Bhimavaram - 534202</v>
          </cell>
          <cell r="I1071" t="str">
            <v>South</v>
          </cell>
        </row>
        <row r="1072">
          <cell r="B1072" t="str">
            <v>W10779</v>
          </cell>
          <cell r="C1072" t="str">
            <v>R1</v>
          </cell>
          <cell r="D1072" t="str">
            <v>R</v>
          </cell>
          <cell r="E1072" t="str">
            <v>Meditech Health Services-Bhimavaram-2</v>
          </cell>
          <cell r="F1072" t="str">
            <v>2-9-2, Sivaraopat, Bhimavaram - 534202</v>
          </cell>
          <cell r="I1072" t="str">
            <v>South</v>
          </cell>
        </row>
        <row r="1073">
          <cell r="B1073" t="str">
            <v>W10780</v>
          </cell>
          <cell r="C1073" t="str">
            <v>R1</v>
          </cell>
          <cell r="D1073" t="str">
            <v>R</v>
          </cell>
          <cell r="E1073" t="str">
            <v>V Geetha</v>
          </cell>
          <cell r="F1073" t="str">
            <v>No. 34, Balakrishna Nagar, Mannargudi - 614001</v>
          </cell>
          <cell r="I1073" t="str">
            <v>South</v>
          </cell>
        </row>
        <row r="1074">
          <cell r="B1074" t="str">
            <v>W10781</v>
          </cell>
          <cell r="C1074" t="str">
            <v>R1</v>
          </cell>
          <cell r="D1074" t="str">
            <v>R</v>
          </cell>
          <cell r="E1074" t="str">
            <v>Vinayak CT Scan Center</v>
          </cell>
          <cell r="F1074" t="str">
            <v>NH  , Sector - 27, Vinayak Hospital, Noida - 201301, Uttar Pradesh</v>
          </cell>
          <cell r="I1074" t="str">
            <v>North</v>
          </cell>
        </row>
        <row r="1075">
          <cell r="B1075" t="str">
            <v>W10453</v>
          </cell>
          <cell r="C1075" t="str">
            <v>R1</v>
          </cell>
          <cell r="D1075" t="str">
            <v>R</v>
          </cell>
          <cell r="E1075" t="str">
            <v>MIOT Hospitals Ltd</v>
          </cell>
          <cell r="I1075" t="str">
            <v>South</v>
          </cell>
        </row>
        <row r="1076">
          <cell r="B1076" t="str">
            <v>W10782</v>
          </cell>
          <cell r="D1076" t="str">
            <v>R</v>
          </cell>
          <cell r="E1076" t="str">
            <v>Rainbow Medical Institute</v>
          </cell>
          <cell r="F1076" t="str">
            <v>1st Floor, Jal Towers, Khopatpada, Thane (West) - 400006</v>
          </cell>
          <cell r="I1076" t="str">
            <v>North</v>
          </cell>
        </row>
        <row r="1077">
          <cell r="B1077" t="str">
            <v>W10783</v>
          </cell>
          <cell r="D1077" t="str">
            <v>R</v>
          </cell>
          <cell r="E1077" t="str">
            <v>Sushrut CT Scan Services Pvt. Ltd.</v>
          </cell>
          <cell r="F1077" t="str">
            <v>"Gururaj", 4/4 Vidynagar, Behind Civil Hospital, Solapur-3., Maharashtra</v>
          </cell>
          <cell r="I1077" t="str">
            <v>West</v>
          </cell>
        </row>
        <row r="1078">
          <cell r="B1078" t="str">
            <v>W10784</v>
          </cell>
          <cell r="D1078" t="str">
            <v>R</v>
          </cell>
          <cell r="E1078" t="str">
            <v>D Nagamani</v>
          </cell>
          <cell r="F1078" t="str">
            <v>Shilpa Nursing Home, Flat No. 1, Block No. 1, Sri Kalyan's Apts., Miyapur, Hyderabad-500 050.</v>
          </cell>
          <cell r="I1078" t="str">
            <v>South</v>
          </cell>
        </row>
        <row r="1079">
          <cell r="B1079" t="str">
            <v>W10785</v>
          </cell>
          <cell r="D1079" t="str">
            <v>R</v>
          </cell>
          <cell r="E1079" t="str">
            <v>Sun Scans</v>
          </cell>
          <cell r="F1079" t="str">
            <v>"Sundarbans", 70/16, 2nd Floor, First Avenue, Ashok Nagar, Chennai-600 083.</v>
          </cell>
          <cell r="I1079" t="str">
            <v>South</v>
          </cell>
        </row>
        <row r="1080">
          <cell r="B1080" t="str">
            <v>W10786</v>
          </cell>
          <cell r="D1080" t="str">
            <v>R</v>
          </cell>
          <cell r="E1080" t="str">
            <v>Kamala Shanmugam</v>
          </cell>
          <cell r="F1080" t="str">
            <v>Super Scans, Kaliappa Pillai Street, Tuticorin-628 001, Tamil Nadu.</v>
          </cell>
          <cell r="I1080" t="str">
            <v>South</v>
          </cell>
        </row>
        <row r="1081">
          <cell r="B1081" t="str">
            <v>W10787</v>
          </cell>
          <cell r="D1081" t="str">
            <v>R</v>
          </cell>
          <cell r="E1081" t="str">
            <v>Sarbani Malik</v>
          </cell>
          <cell r="F1081" t="str">
            <v>7/3, Rifle Range, Flat-2C, Kolkata, West Bengal.</v>
          </cell>
          <cell r="I1081" t="str">
            <v>East</v>
          </cell>
        </row>
        <row r="1082">
          <cell r="B1082" t="str">
            <v>W10788</v>
          </cell>
          <cell r="D1082" t="str">
            <v>R</v>
          </cell>
          <cell r="E1082" t="str">
            <v>Alam Nursing Home</v>
          </cell>
          <cell r="F1082" t="str">
            <v>Teenpool, Islampur, Uttar Dinajpur, West Bengal.</v>
          </cell>
          <cell r="I1082" t="str">
            <v>East</v>
          </cell>
        </row>
        <row r="1083">
          <cell r="B1083" t="str">
            <v>W10789</v>
          </cell>
          <cell r="D1083" t="str">
            <v>R</v>
          </cell>
          <cell r="E1083" t="str">
            <v>Liffath J</v>
          </cell>
          <cell r="F1083" t="str">
            <v>Dr. S Jamal Mohammed, Peravurani, 205, A M A Nagar, Peravuri-614804, Tamil Nadu.</v>
          </cell>
          <cell r="I1083" t="str">
            <v>South</v>
          </cell>
        </row>
        <row r="1084">
          <cell r="B1084" t="str">
            <v>W10790</v>
          </cell>
          <cell r="D1084" t="str">
            <v>R</v>
          </cell>
          <cell r="E1084" t="str">
            <v>Bajrang Lal Agarwal</v>
          </cell>
          <cell r="F1084" t="str">
            <v>Mehi Diagnostic &amp; Research Centre, 14, G T Road, Opp Shatabdi Park, Asansol-713304.</v>
          </cell>
          <cell r="I1084" t="str">
            <v>East</v>
          </cell>
        </row>
        <row r="1085">
          <cell r="B1085" t="str">
            <v>W10791</v>
          </cell>
          <cell r="D1085" t="str">
            <v>R</v>
          </cell>
          <cell r="E1085" t="str">
            <v>Moyin Kutty K</v>
          </cell>
          <cell r="F1085" t="str">
            <v>K M Polyclinic, Kalikavu-676525, Malappuram Dist., Kerala</v>
          </cell>
          <cell r="I1085" t="str">
            <v>South</v>
          </cell>
        </row>
        <row r="1086">
          <cell r="B1086" t="str">
            <v>W10792</v>
          </cell>
          <cell r="D1086" t="str">
            <v>R</v>
          </cell>
          <cell r="E1086" t="str">
            <v>Madan Mohan</v>
          </cell>
          <cell r="F1086" t="str">
            <v>Karuna Hospital, Vatanappally-630500, Thrissur Dist., Kerala</v>
          </cell>
          <cell r="I1086" t="str">
            <v>South</v>
          </cell>
        </row>
        <row r="1087">
          <cell r="B1087" t="str">
            <v>W10793</v>
          </cell>
          <cell r="D1087" t="str">
            <v>R</v>
          </cell>
          <cell r="E1087" t="str">
            <v>Senthil Kumar T R</v>
          </cell>
          <cell r="F1087" t="str">
            <v>Annamalai Hospital, 178, Rajapalayam Road, Sankarakoil-627756.</v>
          </cell>
          <cell r="I1087" t="str">
            <v>South</v>
          </cell>
        </row>
        <row r="1088">
          <cell r="B1088" t="str">
            <v>W10794</v>
          </cell>
          <cell r="D1088" t="str">
            <v>R</v>
          </cell>
          <cell r="E1088" t="str">
            <v>Quadra Medical Services</v>
          </cell>
          <cell r="F1088" t="str">
            <v xml:space="preserve">41, Hazra Road, Calcutta-700 019. </v>
          </cell>
          <cell r="I1088" t="str">
            <v>East</v>
          </cell>
        </row>
        <row r="1089">
          <cell r="B1089" t="str">
            <v>W10795</v>
          </cell>
          <cell r="D1089" t="str">
            <v>R</v>
          </cell>
          <cell r="E1089" t="str">
            <v>MGM Hospital</v>
          </cell>
          <cell r="F1089" t="str">
            <v>Junction of NH-4 and Sion Panvel, Expressway, Sector-18, Kamothe, New Mumbai-410 209.</v>
          </cell>
          <cell r="I1089" t="str">
            <v>West</v>
          </cell>
        </row>
        <row r="1090">
          <cell r="B1090" t="str">
            <v>W10796</v>
          </cell>
          <cell r="D1090" t="str">
            <v>R</v>
          </cell>
          <cell r="E1090" t="str">
            <v>SMS Beed-1</v>
          </cell>
          <cell r="F1090" t="str">
            <v>Plot No. 67, C3, Town Centre,  CIDCO, Aurangabad-431003, Maharashtra.</v>
          </cell>
          <cell r="I1090" t="str">
            <v>West</v>
          </cell>
        </row>
        <row r="1091">
          <cell r="B1091" t="str">
            <v>W10796-A</v>
          </cell>
          <cell r="D1091" t="str">
            <v>R</v>
          </cell>
          <cell r="E1091" t="str">
            <v>SMS Beed-2</v>
          </cell>
          <cell r="F1091" t="str">
            <v>Plot No. 67, C3, Town Centre,  CIDCO, Aurangabad-431003, Maharashtra.</v>
          </cell>
          <cell r="I1091" t="str">
            <v>West</v>
          </cell>
        </row>
        <row r="1092">
          <cell r="B1092" t="str">
            <v>W10797</v>
          </cell>
          <cell r="D1092" t="str">
            <v>R</v>
          </cell>
          <cell r="E1092" t="str">
            <v>Bhanumathi B S</v>
          </cell>
          <cell r="F1092" t="str">
            <v>23/3RT, Main Road,Vijayanagar Colony,Hyderabad -500057,Ph.040-2229220</v>
          </cell>
          <cell r="I1092" t="str">
            <v>South</v>
          </cell>
        </row>
        <row r="1093">
          <cell r="B1093" t="str">
            <v>W10798</v>
          </cell>
          <cell r="D1093" t="str">
            <v>R</v>
          </cell>
          <cell r="E1093" t="str">
            <v>Subhash Chandra</v>
          </cell>
          <cell r="F1093" t="str">
            <v>205, Surya Apartments, Rustom Bagh, Off Airport Road, Bangalore-17.</v>
          </cell>
          <cell r="I1093" t="str">
            <v>South</v>
          </cell>
        </row>
        <row r="1094">
          <cell r="B1094" t="str">
            <v>W10799</v>
          </cell>
          <cell r="D1094" t="str">
            <v>R</v>
          </cell>
          <cell r="E1094" t="str">
            <v>Life Saving Services</v>
          </cell>
          <cell r="F1094" t="str">
            <v>175, NSK Salai, Vadapalani, Chennai-600 026.</v>
          </cell>
          <cell r="I1094" t="str">
            <v>South</v>
          </cell>
        </row>
        <row r="1095">
          <cell r="B1095" t="str">
            <v>W10800</v>
          </cell>
          <cell r="D1095" t="str">
            <v>R</v>
          </cell>
          <cell r="E1095" t="str">
            <v>Padmaja</v>
          </cell>
          <cell r="F1095" t="str">
            <v>Dr. Padmaja's Institute for Fertility, Opp Govt. Girls Jr. College, Osmanpura, Karimnagar-505 001, Andhra Pradesh.</v>
          </cell>
          <cell r="I1095" t="str">
            <v>South</v>
          </cell>
        </row>
        <row r="1096">
          <cell r="B1096" t="str">
            <v>W10801</v>
          </cell>
          <cell r="D1096" t="str">
            <v>R</v>
          </cell>
          <cell r="E1096" t="str">
            <v>Benny Varghese</v>
          </cell>
          <cell r="F1096" t="str">
            <v>Modern Laboratory X-Ray &amp; ECG, 135, Collector Nagar, Chennai-600101.</v>
          </cell>
          <cell r="I1096" t="str">
            <v>South</v>
          </cell>
        </row>
        <row r="1097">
          <cell r="B1097" t="str">
            <v>W10802</v>
          </cell>
          <cell r="D1097" t="str">
            <v>R</v>
          </cell>
          <cell r="E1097" t="str">
            <v>Mahesh Babu</v>
          </cell>
          <cell r="F1097" t="str">
            <v>Lakshmi Hospital, Near BNB Lodge, K M Road, Kadur-577548.</v>
          </cell>
          <cell r="I1097" t="str">
            <v>South</v>
          </cell>
        </row>
        <row r="1098">
          <cell r="B1098" t="str">
            <v>W10803</v>
          </cell>
          <cell r="D1098" t="str">
            <v>R</v>
          </cell>
          <cell r="E1098" t="str">
            <v>Subrata Saha</v>
          </cell>
          <cell r="F1098" t="str">
            <v>Swasti Diagnostic Centre, HJ/3 &amp; HJ/6, VIP Road Jora Mandir Crossing (Baguiati), Kolkata-700 059.</v>
          </cell>
          <cell r="I1098" t="str">
            <v>East</v>
          </cell>
        </row>
        <row r="1099">
          <cell r="B1099" t="str">
            <v>W10804</v>
          </cell>
          <cell r="D1099" t="str">
            <v>R</v>
          </cell>
          <cell r="E1099" t="str">
            <v>Selvi Kumudham V</v>
          </cell>
          <cell r="F1099" t="str">
            <v>319, Cuddalore Main Road, Attur-636 102, Salem Dist.</v>
          </cell>
          <cell r="I1099" t="str">
            <v>South</v>
          </cell>
        </row>
        <row r="1100">
          <cell r="B1100" t="str">
            <v>W10805</v>
          </cell>
          <cell r="D1100" t="str">
            <v>R</v>
          </cell>
          <cell r="E1100" t="str">
            <v>Mani Muthu</v>
          </cell>
          <cell r="F1100" t="str">
            <v>Bethesda Clinical Laboratory, 49-A, Teppakulam Street, Tuticorin-628 002.</v>
          </cell>
          <cell r="I1100" t="str">
            <v>South</v>
          </cell>
        </row>
        <row r="1101">
          <cell r="B1101" t="str">
            <v>W10806</v>
          </cell>
          <cell r="D1101" t="str">
            <v>R</v>
          </cell>
          <cell r="E1101" t="str">
            <v>Suriya Scan Centre</v>
          </cell>
          <cell r="F1101" t="str">
            <v>21/1, College Road, Karaikudi-630 001.</v>
          </cell>
          <cell r="I1101" t="str">
            <v>South</v>
          </cell>
        </row>
        <row r="1102">
          <cell r="B1102" t="str">
            <v>W10807</v>
          </cell>
          <cell r="D1102" t="str">
            <v>R</v>
          </cell>
          <cell r="E1102" t="str">
            <v>Nitya Diagnostic Centre</v>
          </cell>
          <cell r="F1102" t="str">
            <v>288, Pink Building, Lane opp to Hanuman Temple &amp; SBI Training Centre, Red Hills, Hyderabad-500 004.</v>
          </cell>
          <cell r="I1102" t="str">
            <v>South</v>
          </cell>
        </row>
        <row r="1103">
          <cell r="B1103" t="str">
            <v>W10808</v>
          </cell>
          <cell r="D1103" t="str">
            <v>R</v>
          </cell>
          <cell r="E1103" t="str">
            <v>Rameswarudu V</v>
          </cell>
          <cell r="F1103" t="str">
            <v>Swapna Nursing Home, Main Road, Jammalamadugu, Cuddapah Dist, AP.</v>
          </cell>
          <cell r="I1103" t="str">
            <v>South</v>
          </cell>
        </row>
        <row r="1104">
          <cell r="B1104" t="str">
            <v>W10809</v>
          </cell>
          <cell r="D1104" t="str">
            <v>R</v>
          </cell>
          <cell r="E1104" t="str">
            <v>Namrata Diagnostic Services</v>
          </cell>
          <cell r="F1104" t="str">
            <v>Beside Girls Jr. College, Karimnagar, AP.</v>
          </cell>
          <cell r="I1104" t="str">
            <v>South</v>
          </cell>
        </row>
        <row r="1105">
          <cell r="B1105" t="str">
            <v>W10810</v>
          </cell>
          <cell r="D1105" t="str">
            <v>R</v>
          </cell>
          <cell r="E1105" t="str">
            <v>Modern Diagnostics ( Babu Chacko )</v>
          </cell>
          <cell r="F1105" t="str">
            <v>Mangad Building, Baker Junction, Kottayam-686 001, Kerala.</v>
          </cell>
          <cell r="I1105" t="str">
            <v>South</v>
          </cell>
        </row>
        <row r="1106">
          <cell r="B1106" t="str">
            <v>W10811</v>
          </cell>
          <cell r="D1106" t="str">
            <v>R</v>
          </cell>
          <cell r="E1106" t="str">
            <v>Chennai NMRI Scans Pvt. Ltd.</v>
          </cell>
          <cell r="F1106" t="str">
            <v>45, CIT Nagar, Ist Main Road, Nandanam, Chennai-600 035.</v>
          </cell>
          <cell r="I1106" t="str">
            <v>South</v>
          </cell>
        </row>
        <row r="1107">
          <cell r="B1107" t="str">
            <v>W10812</v>
          </cell>
          <cell r="D1107" t="str">
            <v>R</v>
          </cell>
          <cell r="E1107" t="str">
            <v>Debabrata N Das</v>
          </cell>
          <cell r="F1107" t="str">
            <v>Ultra Care, 47-48 Cowley Brown Road, R S Puram, Coimbatore-641 002.</v>
          </cell>
          <cell r="I1107" t="str">
            <v>South</v>
          </cell>
        </row>
        <row r="1108">
          <cell r="B1108" t="str">
            <v>W10813</v>
          </cell>
          <cell r="D1108" t="str">
            <v>R</v>
          </cell>
          <cell r="E1108" t="str">
            <v>Mahesh Bose</v>
          </cell>
          <cell r="F1108" t="str">
            <v>Vasantham Diagnostic, 29, East Veli Veethi, Madurai-625001</v>
          </cell>
          <cell r="I1108" t="str">
            <v>South</v>
          </cell>
        </row>
        <row r="1109">
          <cell r="B1109" t="str">
            <v>W10814</v>
          </cell>
          <cell r="D1109" t="str">
            <v>R</v>
          </cell>
          <cell r="E1109" t="str">
            <v>Elite Mission</v>
          </cell>
          <cell r="F1109" t="str">
            <v>P B No. 1414, P.O. Koorkkenchery, Thrissur-680 007, Kerala.</v>
          </cell>
          <cell r="I1109" t="str">
            <v>South</v>
          </cell>
        </row>
        <row r="1110">
          <cell r="B1110" t="str">
            <v>W10815</v>
          </cell>
          <cell r="D1110" t="str">
            <v>R</v>
          </cell>
          <cell r="E1110" t="str">
            <v>Focus Imaging &amp; Research Centre Ltd</v>
          </cell>
          <cell r="F1110" t="str">
            <v>50/3, LGF, Yusuf Sarai Market, Aurobindo Marg, New Delhi-110 016.</v>
          </cell>
          <cell r="I1110" t="str">
            <v>North</v>
          </cell>
        </row>
        <row r="1111">
          <cell r="B1111" t="str">
            <v>W10816</v>
          </cell>
          <cell r="D1111" t="str">
            <v>R</v>
          </cell>
          <cell r="E1111" t="str">
            <v>Delhi Institute of Functional Imaging(Chaitanya Diagnostics)</v>
          </cell>
          <cell r="F1111" t="str">
            <v>383, Airforce &amp; Naval Officers Enclave, Sector VII, Plot II, New Delhi.</v>
          </cell>
          <cell r="I1111" t="str">
            <v>North</v>
          </cell>
        </row>
        <row r="1112">
          <cell r="B1112" t="str">
            <v>W10817</v>
          </cell>
          <cell r="D1112" t="str">
            <v>R</v>
          </cell>
          <cell r="E1112" t="str">
            <v>Mediview MRI Scans Pvt Ltd</v>
          </cell>
          <cell r="F1112" t="str">
            <v>B-8/7, (CA) Kalyani, Nadia-741235, West Bengal.</v>
          </cell>
          <cell r="I1112" t="str">
            <v>East</v>
          </cell>
        </row>
        <row r="1113">
          <cell r="B1113" t="str">
            <v>W10818</v>
          </cell>
          <cell r="D1113" t="str">
            <v>R</v>
          </cell>
          <cell r="E1113" t="str">
            <v>Remedy Medical Research Institute (P) Ltd.</v>
          </cell>
          <cell r="F1113" t="str">
            <v>Tribeni Apartment, Garia Main Road, Kolkata-700 084.</v>
          </cell>
          <cell r="I1113" t="str">
            <v>East</v>
          </cell>
        </row>
        <row r="1114">
          <cell r="B1114" t="str">
            <v>W10819</v>
          </cell>
          <cell r="D1114" t="str">
            <v>R</v>
          </cell>
          <cell r="E1114" t="str">
            <v>Selvaraj</v>
          </cell>
          <cell r="F1114" t="str">
            <v>S R R A Hospital, S R R Colony, Ettayapuram Road, Tuticorin-628 002.</v>
          </cell>
          <cell r="I1114" t="str">
            <v>South</v>
          </cell>
        </row>
        <row r="1115">
          <cell r="B1115" t="str">
            <v>W10820</v>
          </cell>
          <cell r="D1115" t="str">
            <v>R</v>
          </cell>
          <cell r="E1115" t="str">
            <v>David Soloman</v>
          </cell>
          <cell r="F1115" t="str">
            <v>Gilead Hospital, 17/18, Vanakarakollai 2nd Street, Ambur-635 802.</v>
          </cell>
          <cell r="I1115" t="str">
            <v>South</v>
          </cell>
        </row>
        <row r="1116">
          <cell r="B1116" t="str">
            <v>W10821</v>
          </cell>
          <cell r="D1116" t="str">
            <v>R</v>
          </cell>
          <cell r="E1116" t="str">
            <v>Modern Diagnostic Centre ( Babu Chacko )-1</v>
          </cell>
          <cell r="F1116" t="str">
            <v>Mangad Building, Baker Junction, Kottayam-686001, Kerala</v>
          </cell>
          <cell r="I1116" t="str">
            <v>South</v>
          </cell>
        </row>
        <row r="1117">
          <cell r="B1117" t="str">
            <v>W10822</v>
          </cell>
          <cell r="D1117" t="str">
            <v>R</v>
          </cell>
          <cell r="E1117" t="str">
            <v>Marthandam CT Scans</v>
          </cell>
          <cell r="F1117" t="str">
            <v>Smilin Complex, 6/68-2, Main Road, Marthandam-629165.</v>
          </cell>
          <cell r="I1117" t="str">
            <v>South</v>
          </cell>
        </row>
        <row r="1118">
          <cell r="B1118" t="str">
            <v>W10823</v>
          </cell>
          <cell r="D1118" t="str">
            <v>R</v>
          </cell>
          <cell r="E1118" t="str">
            <v>Modern Diagnostic Centre ( Babu Chacko )-2</v>
          </cell>
          <cell r="F1118" t="str">
            <v>Mangad Building, Baker Junction, Kottayam-686001, Kerala</v>
          </cell>
          <cell r="I1118" t="str">
            <v>South</v>
          </cell>
        </row>
        <row r="1119">
          <cell r="B1119" t="str">
            <v>W10824</v>
          </cell>
          <cell r="D1119" t="str">
            <v>NA</v>
          </cell>
          <cell r="E1119" t="str">
            <v>Advantage Medical Systems (P) Ltd.</v>
          </cell>
          <cell r="F1119" t="str">
            <v>C/o Cancer Hospital &amp; Nuclear Medicine Centre, Laximan Building, Opp. Old High Court, Lashkar, Gwalior, MP</v>
          </cell>
          <cell r="I1119" t="str">
            <v>North</v>
          </cell>
        </row>
        <row r="1120">
          <cell r="B1120" t="str">
            <v>W10825</v>
          </cell>
          <cell r="D1120" t="str">
            <v>R</v>
          </cell>
          <cell r="E1120" t="str">
            <v>Sawant S V</v>
          </cell>
          <cell r="F1120" t="str">
            <v>29-30, Jairam Complex, Nevagi Nagar, Panaji, Goa-403 001.</v>
          </cell>
          <cell r="I1120" t="str">
            <v>West</v>
          </cell>
        </row>
        <row r="1121">
          <cell r="B1121" t="str">
            <v>W10826</v>
          </cell>
          <cell r="D1121" t="str">
            <v>R</v>
          </cell>
          <cell r="E1121" t="str">
            <v>Bharat Scans</v>
          </cell>
          <cell r="F1121" t="str">
            <v>210, Periyar Pathai, Choolai, Chennai-600 094.</v>
          </cell>
          <cell r="I1121" t="str">
            <v>South</v>
          </cell>
        </row>
        <row r="1122">
          <cell r="B1122" t="str">
            <v>W10827</v>
          </cell>
          <cell r="D1122" t="str">
            <v>R</v>
          </cell>
          <cell r="E1122" t="str">
            <v>Starr Hospital Pvt. Ltd.</v>
          </cell>
          <cell r="F1122" t="str">
            <v>L-186 ,Street VI , HSR LAY OUT Bangalore-34</v>
          </cell>
          <cell r="I1122" t="str">
            <v>South</v>
          </cell>
        </row>
        <row r="1123">
          <cell r="B1123" t="str">
            <v>W10828</v>
          </cell>
          <cell r="D1123" t="str">
            <v>R</v>
          </cell>
          <cell r="E1123" t="str">
            <v xml:space="preserve">Gammavision Diagnostics Pvt. Ltd. </v>
          </cell>
          <cell r="F1123" t="str">
            <v>Patil Nagar Bajison Road, Pune</v>
          </cell>
          <cell r="I1123" t="str">
            <v>West</v>
          </cell>
        </row>
        <row r="1124">
          <cell r="B1124" t="str">
            <v>W10829</v>
          </cell>
          <cell r="D1124" t="str">
            <v>R</v>
          </cell>
          <cell r="E1124" t="str">
            <v>Bhatia General Hospital</v>
          </cell>
          <cell r="F1124" t="str">
            <v>Tardeo Road, Mumbai-400 007.</v>
          </cell>
          <cell r="I1124" t="str">
            <v>West</v>
          </cell>
        </row>
        <row r="1125">
          <cell r="B1125" t="str">
            <v>W10830</v>
          </cell>
          <cell r="D1125" t="str">
            <v>NA</v>
          </cell>
          <cell r="E1125" t="str">
            <v>Vijaya Medical Centre</v>
          </cell>
          <cell r="F1125">
            <v>0</v>
          </cell>
          <cell r="I1125" t="str">
            <v>South</v>
          </cell>
        </row>
        <row r="1126">
          <cell r="B1126" t="str">
            <v>W10831</v>
          </cell>
          <cell r="D1126" t="str">
            <v>R</v>
          </cell>
          <cell r="E1126" t="str">
            <v>Alok Sogani</v>
          </cell>
          <cell r="F1126" t="str">
            <v>Kaiser USG Centre, 79, Dhuleshwar Garden, Sardar Patel Marg, Jaipur.</v>
          </cell>
          <cell r="I1126" t="str">
            <v>North</v>
          </cell>
        </row>
        <row r="1127">
          <cell r="B1127" t="str">
            <v>W10832</v>
          </cell>
          <cell r="D1127" t="str">
            <v>R</v>
          </cell>
          <cell r="E1127" t="str">
            <v>G Elangovan</v>
          </cell>
          <cell r="F1127" t="str">
            <v>A G Padmavati's Hospital, No. 12, Victoria Nagar, Ellaipillaichavady, Pondicherry-605001.</v>
          </cell>
          <cell r="I1127" t="str">
            <v>South</v>
          </cell>
        </row>
        <row r="1128">
          <cell r="B1128" t="str">
            <v>W10833</v>
          </cell>
          <cell r="D1128" t="str">
            <v>R</v>
          </cell>
          <cell r="E1128" t="str">
            <v>Pralay Bhattacharya</v>
          </cell>
          <cell r="F1128" t="str">
            <v>Angana, Krishnanagar, Nadia-741 101, West Bengal.</v>
          </cell>
          <cell r="I1128" t="str">
            <v>East</v>
          </cell>
        </row>
        <row r="1129">
          <cell r="B1129" t="str">
            <v>W10834</v>
          </cell>
          <cell r="D1129" t="str">
            <v>R</v>
          </cell>
          <cell r="E1129" t="str">
            <v>Shail Sharma</v>
          </cell>
          <cell r="F1129" t="str">
            <v>390, Keshav Pura, Kota, Rajasthan.</v>
          </cell>
          <cell r="I1129" t="str">
            <v>North</v>
          </cell>
        </row>
        <row r="1130">
          <cell r="B1130" t="str">
            <v>W10835</v>
          </cell>
          <cell r="D1130" t="str">
            <v>R</v>
          </cell>
          <cell r="E1130" t="str">
            <v>Jairaj Yadav</v>
          </cell>
          <cell r="F1130" t="str">
            <v>Sumpurnanand Colony, Sirohi, Rajasthan.</v>
          </cell>
          <cell r="I1130" t="str">
            <v>North</v>
          </cell>
        </row>
        <row r="1131">
          <cell r="B1131" t="str">
            <v>W10836</v>
          </cell>
          <cell r="D1131" t="str">
            <v>R</v>
          </cell>
          <cell r="E1131" t="str">
            <v>Srihari Rao</v>
          </cell>
          <cell r="F1131" t="str">
            <v>S V Diagnostics, 18/1/509, V V Mahal Road, Tirupathi.</v>
          </cell>
          <cell r="I1131" t="str">
            <v>South</v>
          </cell>
        </row>
        <row r="1132">
          <cell r="B1132" t="str">
            <v>W10837</v>
          </cell>
          <cell r="D1132" t="str">
            <v>R</v>
          </cell>
          <cell r="E1132" t="str">
            <v>GSL Educational Society</v>
          </cell>
          <cell r="F1132" t="str">
            <v>H No. 19-5-21/6, Ramachandra Raopeta, Near Kambala Park, Rajahmundry-533 105, AP.</v>
          </cell>
          <cell r="I1132" t="str">
            <v>South</v>
          </cell>
        </row>
        <row r="1133">
          <cell r="B1133" t="str">
            <v>W10838</v>
          </cell>
          <cell r="D1133" t="str">
            <v>R</v>
          </cell>
          <cell r="E1133" t="str">
            <v>Raj Scans</v>
          </cell>
          <cell r="F1133" t="str">
            <v>Jimmy Cottage, 8/420, Spencer Compound, Dindigul-625 001.</v>
          </cell>
          <cell r="I1133" t="str">
            <v>South</v>
          </cell>
        </row>
        <row r="1134">
          <cell r="B1134" t="str">
            <v>W10839</v>
          </cell>
          <cell r="D1134" t="str">
            <v>R</v>
          </cell>
          <cell r="E1134" t="str">
            <v>Haranadh C</v>
          </cell>
          <cell r="F1134" t="str">
            <v>Sri Sai Nursing Home, Main Road, Jammalamadugu, Cuddapah District, AP.</v>
          </cell>
          <cell r="I1134" t="str">
            <v>South</v>
          </cell>
        </row>
        <row r="1135">
          <cell r="B1135" t="str">
            <v>W10479-RESCH</v>
          </cell>
          <cell r="D1135" t="str">
            <v>NA</v>
          </cell>
          <cell r="E1135" t="str">
            <v>Lakeshore Hospital and Research Centre Ltd. Consolidated</v>
          </cell>
          <cell r="I1135" t="str">
            <v>South</v>
          </cell>
        </row>
        <row r="1136">
          <cell r="B1136" t="str">
            <v>W10840</v>
          </cell>
          <cell r="D1136" t="str">
            <v>R</v>
          </cell>
          <cell r="E1136" t="str">
            <v>Colorflo Imaging</v>
          </cell>
          <cell r="F1136" t="str">
            <v>K S Hospital, 442, Poonamallee High Road, Kilpauk, Chennai-10.</v>
          </cell>
          <cell r="I1136" t="str">
            <v>South</v>
          </cell>
        </row>
        <row r="1137">
          <cell r="B1137" t="str">
            <v>W10841</v>
          </cell>
          <cell r="D1137" t="str">
            <v>R</v>
          </cell>
          <cell r="E1137" t="str">
            <v>Rahul Sachdev</v>
          </cell>
          <cell r="F1137" t="str">
            <v>B R Diagnostics, W-15, Greater Kailash 1, New Delhi-48.</v>
          </cell>
          <cell r="I1137" t="str">
            <v>North</v>
          </cell>
        </row>
        <row r="1138">
          <cell r="B1138" t="str">
            <v>W10842</v>
          </cell>
          <cell r="D1138" t="str">
            <v>R</v>
          </cell>
          <cell r="E1138" t="str">
            <v>Chaudhary Nursing Home Pvt. Ltd.</v>
          </cell>
          <cell r="F1138" t="str">
            <v>NH-1, Sector-27, Noida-201301, UP.</v>
          </cell>
          <cell r="I1138" t="str">
            <v>North</v>
          </cell>
        </row>
        <row r="1139">
          <cell r="B1139" t="str">
            <v>W10843</v>
          </cell>
          <cell r="D1139" t="str">
            <v>R</v>
          </cell>
          <cell r="E1139" t="str">
            <v>Vignesh Scans</v>
          </cell>
          <cell r="F1139" t="str">
            <v>127-A, S P Koil Street, Chidambaram-608 001, Tamilnadu.</v>
          </cell>
          <cell r="I1139" t="str">
            <v>South</v>
          </cell>
        </row>
        <row r="1140">
          <cell r="B1140" t="str">
            <v>W10844</v>
          </cell>
          <cell r="D1140" t="str">
            <v>R</v>
          </cell>
          <cell r="E1140" t="str">
            <v>Orugallu Medicare Pvt. Ltd.</v>
          </cell>
          <cell r="F1140" t="str">
            <v>2-4-152, Old Bus Depot Road, Ramanagar, Hanamkonda-506001, Warangal, AP</v>
          </cell>
          <cell r="I1140" t="str">
            <v>South</v>
          </cell>
        </row>
        <row r="1141">
          <cell r="B1141" t="str">
            <v>W10845</v>
          </cell>
          <cell r="D1141" t="str">
            <v>R</v>
          </cell>
          <cell r="E1141" t="str">
            <v>MAHATMA GANDHI VIDYAPEETHA TRUST (SAGAR APOLLO HOSPITAL)</v>
          </cell>
          <cell r="F1141" t="str">
            <v>44/54, 30th Cross, Tilaknagar, Jayanagar Extn., Bangalore-560 041.</v>
          </cell>
          <cell r="I1141" t="str">
            <v>South</v>
          </cell>
        </row>
        <row r="1142">
          <cell r="B1142" t="str">
            <v>W10846</v>
          </cell>
          <cell r="D1142" t="str">
            <v>R</v>
          </cell>
          <cell r="E1142" t="str">
            <v>Swagat Hospitals Pvt. Ltd.</v>
          </cell>
          <cell r="F1142" t="str">
            <v>J P Agarwala Road, Bye Lane-1, Bharalumukh, Guwahati - 781009</v>
          </cell>
          <cell r="I1142" t="str">
            <v>East</v>
          </cell>
        </row>
        <row r="1143">
          <cell r="B1143" t="str">
            <v>W10847</v>
          </cell>
          <cell r="D1143" t="str">
            <v>R</v>
          </cell>
          <cell r="E1143" t="str">
            <v>Vijay S Chimote</v>
          </cell>
          <cell r="F1143" t="str">
            <v>Indrayani Diagnostic Services, Medi Point Hospital, Near Sai Heritage, Aundh-Baner Boundry, Aundh, Pune-411005.</v>
          </cell>
          <cell r="I1143" t="str">
            <v>West</v>
          </cell>
        </row>
        <row r="1144">
          <cell r="B1144" t="str">
            <v>W10848</v>
          </cell>
          <cell r="D1144" t="str">
            <v>R</v>
          </cell>
          <cell r="E1144" t="str">
            <v>Okay Diagnostic Centre Pvt Ltd</v>
          </cell>
          <cell r="F1144" t="str">
            <v>4, Vivekanand Marg, C-Scheme, Opp. SMS Hospital, Jaipur.</v>
          </cell>
          <cell r="I1144" t="str">
            <v>North</v>
          </cell>
        </row>
        <row r="1145">
          <cell r="B1145" t="str">
            <v>W10849</v>
          </cell>
          <cell r="D1145" t="str">
            <v>R</v>
          </cell>
          <cell r="E1145" t="str">
            <v>Santhosh Paul</v>
          </cell>
          <cell r="F1145" t="str">
            <v>Shuba Diagnostic Centre, No. 624/3, 10th 'A' Main, Near Hot Chips, 4th Block, Jayanagar, Bangalore-560 011.</v>
          </cell>
          <cell r="I1145" t="str">
            <v>South</v>
          </cell>
        </row>
        <row r="1146">
          <cell r="B1146" t="str">
            <v>W10850</v>
          </cell>
          <cell r="D1146" t="str">
            <v>R</v>
          </cell>
          <cell r="E1146" t="str">
            <v>Anurekha P</v>
          </cell>
          <cell r="F1146" t="str">
            <v>Anurekha Hospitals, 10-191/2, Vasanthapuri Colony, Malkajgiri, Hyderabad-500 047.</v>
          </cell>
          <cell r="I1146" t="str">
            <v>South</v>
          </cell>
        </row>
        <row r="1147">
          <cell r="B1147" t="str">
            <v>W10851</v>
          </cell>
          <cell r="D1147" t="str">
            <v>R</v>
          </cell>
          <cell r="E1147" t="str">
            <v>Surender Behera</v>
          </cell>
          <cell r="F1147" t="str">
            <v>Geetha X-Ray, Ranihat, Cuttack-753001.</v>
          </cell>
          <cell r="I1147" t="str">
            <v>East</v>
          </cell>
        </row>
        <row r="1148">
          <cell r="B1148" t="str">
            <v>W10852</v>
          </cell>
          <cell r="D1148" t="str">
            <v>R</v>
          </cell>
          <cell r="E1148" t="str">
            <v xml:space="preserve">Paramount Hospital </v>
          </cell>
          <cell r="F1148" t="str">
            <v>Mangal Pandey Road, Khalpara, Siliguri-734405, West Bengal.</v>
          </cell>
          <cell r="I1148" t="str">
            <v>East</v>
          </cell>
        </row>
        <row r="1149">
          <cell r="B1149" t="str">
            <v>W10854</v>
          </cell>
          <cell r="D1149" t="str">
            <v>R</v>
          </cell>
          <cell r="E1149" t="str">
            <v>Tellicherry Cooperative Hospital</v>
          </cell>
          <cell r="I1149" t="str">
            <v>South</v>
          </cell>
        </row>
        <row r="1150">
          <cell r="B1150" t="str">
            <v>W10855</v>
          </cell>
          <cell r="D1150" t="str">
            <v>R</v>
          </cell>
          <cell r="E1150" t="str">
            <v>The Chotanagpur Regional Handloom Weavers Cooperative Union Ltd (Apollo Ranchi)</v>
          </cell>
          <cell r="I1150" t="str">
            <v>North</v>
          </cell>
        </row>
        <row r="1151">
          <cell r="B1151" t="str">
            <v>W10856</v>
          </cell>
          <cell r="D1151" t="str">
            <v>R</v>
          </cell>
          <cell r="E1151" t="str">
            <v>Ultra Sound Clinic</v>
          </cell>
          <cell r="F1151" t="str">
            <v>2nd Floor , Abbas Chambers , Ooo Care Maha Naaj, Pune-411001</v>
          </cell>
          <cell r="I1151" t="str">
            <v>West</v>
          </cell>
        </row>
        <row r="1152">
          <cell r="B1152" t="str">
            <v>W10857</v>
          </cell>
          <cell r="D1152" t="str">
            <v>R</v>
          </cell>
          <cell r="E1152" t="str">
            <v>Dr Rajesh Kumar Singh</v>
          </cell>
          <cell r="F1152" t="str">
            <v>150-C Gautam Nagar (Sudershan Cinema Road)  Yusuf Sarai, (Near AIIMS)  New Delhi -110049</v>
          </cell>
          <cell r="I1152" t="str">
            <v>North</v>
          </cell>
        </row>
        <row r="1153">
          <cell r="B1153" t="str">
            <v>W10858</v>
          </cell>
          <cell r="D1153" t="str">
            <v>R</v>
          </cell>
          <cell r="E1153" t="str">
            <v>Dr Hefenna Rajkumari</v>
          </cell>
          <cell r="F1153" t="str">
            <v>R.K.Maternity H ome 43, Mothilala Street  Tiruvallur-602001</v>
          </cell>
          <cell r="I1153" t="str">
            <v>South</v>
          </cell>
        </row>
        <row r="1154">
          <cell r="B1154" t="str">
            <v>W10859</v>
          </cell>
          <cell r="D1154" t="str">
            <v>R</v>
          </cell>
          <cell r="E1154" t="str">
            <v>Brahma Reddy</v>
          </cell>
          <cell r="F1154" t="str">
            <v>Praja Vidyasala, Dupadu, NH 7, Laxmipuram, Kurnool, Andhra Pradesh.</v>
          </cell>
          <cell r="G1154" t="str">
            <v>08518-237766</v>
          </cell>
          <cell r="I1154" t="str">
            <v>South</v>
          </cell>
        </row>
        <row r="1155">
          <cell r="B1155" t="str">
            <v>W10860</v>
          </cell>
          <cell r="D1155" t="str">
            <v>R</v>
          </cell>
          <cell r="E1155" t="str">
            <v>Govinda Reddy</v>
          </cell>
          <cell r="F1155" t="str">
            <v>Padma Chandra Kidney Centre, Nalanda Complex, Besides Raj Vihar, Kurnool-518 001, Andhra Pradesh.</v>
          </cell>
          <cell r="G1155" t="str">
            <v>08518-249563</v>
          </cell>
          <cell r="I1155" t="str">
            <v>South</v>
          </cell>
        </row>
        <row r="1156">
          <cell r="B1156" t="str">
            <v>W10861</v>
          </cell>
          <cell r="D1156" t="str">
            <v>R</v>
          </cell>
          <cell r="E1156" t="str">
            <v>Swapan KR Ray</v>
          </cell>
          <cell r="F1156" t="str">
            <v>Goalpara X-Ray Clinic &amp; Laboratory, Agia Road, Goalpara-783101, Assam.</v>
          </cell>
          <cell r="G1156" t="str">
            <v>0363-242084/242337</v>
          </cell>
          <cell r="I1156" t="str">
            <v>East</v>
          </cell>
        </row>
        <row r="1157">
          <cell r="B1157" t="str">
            <v>W10862</v>
          </cell>
          <cell r="D1157" t="str">
            <v>R</v>
          </cell>
          <cell r="E1157" t="str">
            <v>Panacea Hospital (P) Ltd.</v>
          </cell>
          <cell r="F1157" t="str">
            <v>334, 8th Main, III Stage, IV Block, Basaveshwaranagar, Bangalore-79.</v>
          </cell>
          <cell r="G1157" t="str">
            <v>3235577/3228649/3228644</v>
          </cell>
          <cell r="I1157" t="str">
            <v>South</v>
          </cell>
        </row>
        <row r="1158">
          <cell r="B1158" t="str">
            <v>W10863</v>
          </cell>
          <cell r="D1158" t="str">
            <v>R</v>
          </cell>
          <cell r="E1158" t="str">
            <v>Vijay S Chimote</v>
          </cell>
          <cell r="F1158" t="str">
            <v>Indrayani Diagnostic Services, Joshi Hospital, Front of Kamla Nehru Park, Erandwana, Pune.</v>
          </cell>
          <cell r="I1158" t="str">
            <v>West</v>
          </cell>
        </row>
        <row r="1159">
          <cell r="B1159" t="str">
            <v>W10864</v>
          </cell>
          <cell r="D1159" t="str">
            <v>R</v>
          </cell>
          <cell r="E1159" t="str">
            <v>Perumalswamy</v>
          </cell>
          <cell r="F1159" t="str">
            <v>Ramleela Hospital, Building Society Street, Batlagundu, Dindigul Dist, Tamil Nadu.</v>
          </cell>
          <cell r="G1159" t="str">
            <v>04543-23639</v>
          </cell>
          <cell r="I1159" t="str">
            <v>South</v>
          </cell>
        </row>
        <row r="1160">
          <cell r="B1160" t="str">
            <v>W10865</v>
          </cell>
          <cell r="D1160" t="str">
            <v>R</v>
          </cell>
          <cell r="E1160" t="str">
            <v>Mediscope Hospitals</v>
          </cell>
          <cell r="F1160" t="str">
            <v>11, Pillanna Garden, III Stage, Bangalore-45.</v>
          </cell>
          <cell r="G1160" t="str">
            <v>080-5490166</v>
          </cell>
          <cell r="I1160" t="str">
            <v>South</v>
          </cell>
        </row>
        <row r="1161">
          <cell r="B1161" t="str">
            <v>W10866</v>
          </cell>
          <cell r="D1161" t="str">
            <v>NA</v>
          </cell>
          <cell r="E1161" t="str">
            <v>Starr Hospital</v>
          </cell>
          <cell r="F1161" t="str">
            <v>L-168, Sector VI, HSR Layout, Bangalore-34.</v>
          </cell>
          <cell r="G1161" t="str">
            <v>98450 89366</v>
          </cell>
          <cell r="I1161" t="str">
            <v>South</v>
          </cell>
        </row>
        <row r="1162">
          <cell r="B1162" t="str">
            <v>W10867</v>
          </cell>
          <cell r="D1162" t="str">
            <v>NA</v>
          </cell>
          <cell r="E1162" t="str">
            <v>Starr Hospital</v>
          </cell>
          <cell r="F1162" t="str">
            <v>L-168, Sector VI, HSR Layout, Bangalore-34.</v>
          </cell>
          <cell r="G1162" t="str">
            <v>98450 89366</v>
          </cell>
          <cell r="I1162" t="str">
            <v>South</v>
          </cell>
        </row>
        <row r="1163">
          <cell r="B1163" t="str">
            <v>W10868</v>
          </cell>
          <cell r="D1163" t="str">
            <v>R</v>
          </cell>
          <cell r="E1163" t="str">
            <v>Jyotsna Bhavsar</v>
          </cell>
          <cell r="F1163" t="str">
            <v>5/A, Super Market, Opp to Jain Temple, Krishnagar, Ahmedabad-382345.</v>
          </cell>
          <cell r="G1163" t="str">
            <v>02423-25703</v>
          </cell>
          <cell r="I1163" t="str">
            <v>East</v>
          </cell>
        </row>
        <row r="1164">
          <cell r="B1164" t="str">
            <v>W10869</v>
          </cell>
          <cell r="D1164" t="str">
            <v>R</v>
          </cell>
          <cell r="E1164" t="str">
            <v>Chandrasekaran</v>
          </cell>
          <cell r="F1164" t="str">
            <v>VST Hospital, Koradacheri-613703, Tamil Nadu</v>
          </cell>
          <cell r="G1164" t="str">
            <v>04366-232419</v>
          </cell>
          <cell r="I1164" t="str">
            <v>South</v>
          </cell>
        </row>
        <row r="1165">
          <cell r="B1165" t="str">
            <v>W10870</v>
          </cell>
          <cell r="D1165" t="str">
            <v>R</v>
          </cell>
          <cell r="E1165" t="str">
            <v>Srinivasulu</v>
          </cell>
          <cell r="I1165" t="str">
            <v>South</v>
          </cell>
        </row>
        <row r="1166">
          <cell r="B1166" t="str">
            <v>W10871</v>
          </cell>
          <cell r="D1166" t="str">
            <v>R</v>
          </cell>
          <cell r="E1166" t="str">
            <v>Kurunthurai B</v>
          </cell>
          <cell r="F1166" t="str">
            <v>Digital Diagnostic Centre, 109/110, East Car Street, Tirunelveli Junction, Tirunelveli-627001, Tamil Nadu.</v>
          </cell>
          <cell r="G1166" t="str">
            <v>0462-2320604</v>
          </cell>
          <cell r="I1166" t="str">
            <v>South</v>
          </cell>
        </row>
        <row r="1167">
          <cell r="B1167" t="str">
            <v>W10872</v>
          </cell>
          <cell r="D1167" t="str">
            <v>R</v>
          </cell>
          <cell r="E1167" t="str">
            <v>Aruna Rao</v>
          </cell>
          <cell r="F1167" t="str">
            <v>Nelluri Nursing Home, Kothapatnam Road, Ongole, Prakasam Dist, AP</v>
          </cell>
          <cell r="G1167" t="str">
            <v>08592-233006</v>
          </cell>
          <cell r="I1167" t="str">
            <v>South</v>
          </cell>
        </row>
        <row r="1168">
          <cell r="B1168" t="str">
            <v>W10873</v>
          </cell>
          <cell r="D1168" t="str">
            <v>R</v>
          </cell>
          <cell r="E1168" t="str">
            <v>DownTown Hospital Ltd.</v>
          </cell>
          <cell r="F1168" t="str">
            <v>G S Road, Dispur, Guwahati-781006, Assam.</v>
          </cell>
          <cell r="G1168" t="str">
            <v>0361-2331003/2330659</v>
          </cell>
          <cell r="I1168" t="str">
            <v>East</v>
          </cell>
        </row>
        <row r="1169">
          <cell r="B1169" t="str">
            <v>W10874</v>
          </cell>
          <cell r="D1169" t="str">
            <v>R</v>
          </cell>
          <cell r="E1169" t="str">
            <v xml:space="preserve">Meditech Health Services </v>
          </cell>
          <cell r="F1169" t="str">
            <v>2-9-2, Sivaraopet, Bhimavaram-534202, Warangal Dist., AP.</v>
          </cell>
          <cell r="G1169" t="str">
            <v>08816-23786</v>
          </cell>
          <cell r="I1169" t="str">
            <v>South</v>
          </cell>
        </row>
        <row r="1170">
          <cell r="B1170" t="str">
            <v>W10875</v>
          </cell>
          <cell r="D1170" t="str">
            <v>R</v>
          </cell>
          <cell r="E1170" t="str">
            <v>Milind K Khade</v>
          </cell>
          <cell r="F1170" t="str">
            <v>Sai Nursing Home, Kaltan Road, Indapur, Pune.</v>
          </cell>
          <cell r="G1170" t="str">
            <v>02111-25137</v>
          </cell>
          <cell r="I1170" t="str">
            <v>West</v>
          </cell>
        </row>
        <row r="1171">
          <cell r="B1171" t="str">
            <v>W10876</v>
          </cell>
          <cell r="D1171" t="str">
            <v>R</v>
          </cell>
          <cell r="E1171" t="str">
            <v>Upendra Singh</v>
          </cell>
          <cell r="F1171" t="str">
            <v>Jorhat Ultrasound Scanning Centre, Garali, Jorhat-785001, Assam</v>
          </cell>
          <cell r="G1171" t="str">
            <v>0376-2322518</v>
          </cell>
          <cell r="I1171" t="str">
            <v>East</v>
          </cell>
        </row>
        <row r="1172">
          <cell r="B1172" t="str">
            <v>W10877</v>
          </cell>
          <cell r="D1172" t="str">
            <v>R</v>
          </cell>
          <cell r="E1172" t="str">
            <v>Periyaswamy J K</v>
          </cell>
          <cell r="F1172" t="str">
            <v>Kugans Hospital, Trichy Main Road, Coimbatore, Tamil Nadu.</v>
          </cell>
          <cell r="G1172" t="str">
            <v>0422-317373</v>
          </cell>
          <cell r="I1172" t="str">
            <v>South</v>
          </cell>
        </row>
        <row r="1173">
          <cell r="B1173" t="str">
            <v>W10878</v>
          </cell>
          <cell r="D1173" t="str">
            <v>R</v>
          </cell>
          <cell r="E1173" t="str">
            <v>SMS Beed-3</v>
          </cell>
          <cell r="F1173" t="str">
            <v>Plot No. 67, C3, Town Centre,  CIDCO, Aurangabad-431003, Maharashtra.</v>
          </cell>
          <cell r="G1173" t="str">
            <v>0240-484083</v>
          </cell>
          <cell r="I1173" t="str">
            <v>West</v>
          </cell>
        </row>
        <row r="1174">
          <cell r="B1174" t="str">
            <v>W10879</v>
          </cell>
          <cell r="D1174" t="str">
            <v>R</v>
          </cell>
          <cell r="E1174" t="str">
            <v>AVM Hospital, Tuticorin</v>
          </cell>
          <cell r="F1174" t="str">
            <v>135, Palayamkottai Road, Tuticorin-628003, Tamil Nadu.</v>
          </cell>
          <cell r="G1174" t="str">
            <v>0461-2325438</v>
          </cell>
          <cell r="I1174" t="str">
            <v>South</v>
          </cell>
        </row>
        <row r="1175">
          <cell r="B1175" t="str">
            <v>W10880</v>
          </cell>
          <cell r="D1175" t="str">
            <v>R</v>
          </cell>
          <cell r="E1175" t="str">
            <v>BMRI Pvt. Ltd.</v>
          </cell>
          <cell r="F1175" t="str">
            <v>The Bhartia General Hospital, Tardeo Road, Mumbai-400 007.</v>
          </cell>
          <cell r="G1175" t="str">
            <v>022-23804537</v>
          </cell>
          <cell r="I1175" t="str">
            <v>West</v>
          </cell>
        </row>
        <row r="1176">
          <cell r="B1176" t="str">
            <v>W10881</v>
          </cell>
          <cell r="D1176" t="str">
            <v>R</v>
          </cell>
          <cell r="E1176" t="str">
            <v>Sethi Diagnostic &amp; Medicare Pvt. Ltd.</v>
          </cell>
          <cell r="F1176" t="str">
            <v>69, Diamond Harbour Road, Kolkata-700 038.</v>
          </cell>
          <cell r="G1176" t="str">
            <v>033-4788863</v>
          </cell>
          <cell r="I1176" t="str">
            <v>East</v>
          </cell>
        </row>
        <row r="1177">
          <cell r="B1177" t="str">
            <v>W10882</v>
          </cell>
          <cell r="D1177" t="str">
            <v>R</v>
          </cell>
          <cell r="E1177" t="str">
            <v>Kandaswami</v>
          </cell>
          <cell r="F1177" t="str">
            <v>Apollo Idhayam Hospitals, 15, Palaniappa Street, Near GH, Erode-638009., TN</v>
          </cell>
          <cell r="G1177" t="str">
            <v>0424-2256456</v>
          </cell>
          <cell r="I1177" t="str">
            <v>South</v>
          </cell>
        </row>
        <row r="1178">
          <cell r="B1178" t="str">
            <v>W10883</v>
          </cell>
          <cell r="D1178" t="str">
            <v>R</v>
          </cell>
          <cell r="E1178" t="str">
            <v>Mukunda Rajan</v>
          </cell>
          <cell r="F1178" t="str">
            <v>Meenakshi Hospitals &amp; Research Centre, Lake Area, Melur Road, Madurai-625107, Tamil Nadu.</v>
          </cell>
          <cell r="G1178" t="str">
            <v>0452-2588741</v>
          </cell>
          <cell r="I1178" t="str">
            <v>South</v>
          </cell>
        </row>
        <row r="1179">
          <cell r="B1179" t="str">
            <v>W10884</v>
          </cell>
          <cell r="D1179" t="str">
            <v>R</v>
          </cell>
          <cell r="E1179" t="str">
            <v>SMS Beed-4</v>
          </cell>
          <cell r="F1179" t="str">
            <v>Plot No. 67, C3, Town Centre,  CIDCO, Aurangabad-431003, Maharashtra.</v>
          </cell>
          <cell r="G1179" t="str">
            <v>0240-484083</v>
          </cell>
          <cell r="I1179" t="str">
            <v>West</v>
          </cell>
        </row>
        <row r="1180">
          <cell r="B1180" t="str">
            <v>W10885</v>
          </cell>
          <cell r="D1180" t="str">
            <v>R</v>
          </cell>
          <cell r="E1180" t="str">
            <v>Pankaj Scanning Ltd</v>
          </cell>
          <cell r="F1180" t="str">
            <v>A-13, Shopping Arcade, Sadar Bazar, Agra-282001.</v>
          </cell>
          <cell r="G1180" t="str">
            <v>0562-2363731</v>
          </cell>
          <cell r="I1180" t="str">
            <v>North</v>
          </cell>
        </row>
        <row r="1181">
          <cell r="B1181" t="str">
            <v>W10886</v>
          </cell>
          <cell r="D1181" t="str">
            <v>NA</v>
          </cell>
          <cell r="E1181" t="str">
            <v>Janakalyan Research &amp; Charitable Trust</v>
          </cell>
          <cell r="F1181" t="str">
            <v>Haji K Abdul Khadhar Memorial Building, Near All India Radio Station, Salagame Road, Hassan - 573201.</v>
          </cell>
          <cell r="G1181">
            <v>246944</v>
          </cell>
          <cell r="I1181" t="str">
            <v>South</v>
          </cell>
        </row>
        <row r="1182">
          <cell r="B1182" t="str">
            <v>W10887</v>
          </cell>
          <cell r="D1182" t="str">
            <v>R</v>
          </cell>
          <cell r="E1182" t="str">
            <v>Assam Hospitals Ltd.-4</v>
          </cell>
          <cell r="F1182" t="str">
            <v>Lotus Tower, G S Road, Guwahati-781 005, Assam.</v>
          </cell>
          <cell r="G1182" t="str">
            <v>0361-2222560/1</v>
          </cell>
          <cell r="I1182" t="str">
            <v>East</v>
          </cell>
        </row>
        <row r="1183">
          <cell r="B1183" t="str">
            <v>W10888</v>
          </cell>
          <cell r="D1183" t="str">
            <v>R</v>
          </cell>
          <cell r="E1183" t="str">
            <v>SMS Beed-5</v>
          </cell>
          <cell r="F1183" t="str">
            <v>Plot No. 67, C3, Town Centre,  CIDCO, Aurangabad-431003, Maharashtra.</v>
          </cell>
          <cell r="G1183" t="str">
            <v>0240-484083</v>
          </cell>
          <cell r="I1183" t="str">
            <v>West</v>
          </cell>
        </row>
        <row r="1184">
          <cell r="B1184" t="str">
            <v>W10889</v>
          </cell>
          <cell r="D1184" t="str">
            <v>R</v>
          </cell>
          <cell r="E1184" t="str">
            <v>Ravindra Naik</v>
          </cell>
          <cell r="F1184" t="str">
            <v>Naik Hospital, Beside Agriculture Development Bank, Bi-pass Road, Kadiri, Anantapur.</v>
          </cell>
          <cell r="G1184" t="str">
            <v>08494-220746/98480 76211</v>
          </cell>
          <cell r="I1184" t="str">
            <v>South</v>
          </cell>
        </row>
        <row r="1185">
          <cell r="B1185" t="str">
            <v>W10890</v>
          </cell>
          <cell r="D1185" t="str">
            <v>R</v>
          </cell>
          <cell r="E1185" t="str">
            <v>Assam Hospitals-5</v>
          </cell>
          <cell r="F1185" t="str">
            <v>Lotus Tower, G S Road, Guwahati-781 005, Assam.</v>
          </cell>
          <cell r="G1185" t="str">
            <v>0361-2222560/1</v>
          </cell>
          <cell r="I1185" t="str">
            <v>East</v>
          </cell>
        </row>
        <row r="1186">
          <cell r="B1186" t="str">
            <v>W10891</v>
          </cell>
          <cell r="D1186" t="str">
            <v>R</v>
          </cell>
          <cell r="E1186" t="str">
            <v>Y K Diagnostics</v>
          </cell>
          <cell r="F1186" t="str">
            <v>15, Hargovind Enclave, Vikas Marg Extension, New Delhi-110 092.</v>
          </cell>
          <cell r="G1186" t="str">
            <v>011-2377252</v>
          </cell>
          <cell r="I1186" t="str">
            <v>North</v>
          </cell>
        </row>
        <row r="1187">
          <cell r="B1187" t="str">
            <v>W10853</v>
          </cell>
          <cell r="D1187" t="str">
            <v>R</v>
          </cell>
          <cell r="E1187" t="str">
            <v>Choice Diagnostics Pvt. Ltd.</v>
          </cell>
          <cell r="F1187" t="str">
            <v>Edappal Hospital, Edappal-679 576, Kerala.</v>
          </cell>
          <cell r="G1187" t="str">
            <v>0494-682697</v>
          </cell>
          <cell r="I1187" t="str">
            <v>South</v>
          </cell>
        </row>
        <row r="1188">
          <cell r="B1188" t="str">
            <v>W10892</v>
          </cell>
          <cell r="D1188" t="str">
            <v>R</v>
          </cell>
          <cell r="E1188" t="str">
            <v>Jambagi M C</v>
          </cell>
          <cell r="F1188" t="str">
            <v>Anuradha Building, Market Road, Post Mundgod, Uttar Kannada Dist, Karnataka.</v>
          </cell>
          <cell r="G1188" t="str">
            <v>08301-520103/520143</v>
          </cell>
          <cell r="I1188" t="str">
            <v>South</v>
          </cell>
        </row>
        <row r="1189">
          <cell r="B1189" t="str">
            <v>W10893</v>
          </cell>
          <cell r="D1189" t="str">
            <v>R</v>
          </cell>
          <cell r="E1189" t="str">
            <v>Laksha Rajkumar</v>
          </cell>
          <cell r="F1189" t="str">
            <v>3/157, CTH Road, Secretariat Colony, Ambattur, Chennai-53.</v>
          </cell>
          <cell r="G1189" t="str">
            <v>044-26570720</v>
          </cell>
          <cell r="I1189" t="str">
            <v>South</v>
          </cell>
        </row>
        <row r="1190">
          <cell r="B1190" t="str">
            <v>W10894</v>
          </cell>
          <cell r="D1190" t="str">
            <v>R</v>
          </cell>
          <cell r="E1190" t="str">
            <v>S K Sharma</v>
          </cell>
          <cell r="F1190" t="str">
            <v>Eko X-Ray &amp; Imaging Institute, 54, Jawaharlal Nehru Road,  Kolkata-700 071.</v>
          </cell>
          <cell r="G1190" t="str">
            <v>033-2828100/8101</v>
          </cell>
          <cell r="I1190" t="str">
            <v>East</v>
          </cell>
        </row>
        <row r="1191">
          <cell r="B1191" t="str">
            <v>W10895</v>
          </cell>
          <cell r="D1191" t="str">
            <v>R</v>
          </cell>
          <cell r="E1191" t="str">
            <v>Ameen Kitekar</v>
          </cell>
          <cell r="F1191" t="str">
            <v>Flat No. 11, 267/G, Sajhil Building, A wing Anasagar Marg Kurla (W), Mumbai</v>
          </cell>
          <cell r="G1191" t="str">
            <v>022-6505585</v>
          </cell>
          <cell r="I1191" t="str">
            <v>West</v>
          </cell>
        </row>
        <row r="1192">
          <cell r="B1192" t="str">
            <v>W10896</v>
          </cell>
          <cell r="D1192" t="str">
            <v>R</v>
          </cell>
          <cell r="E1192" t="str">
            <v>Vijayalakshmi</v>
          </cell>
          <cell r="F1192" t="str">
            <v>Vijaya Hospital, Main Road, Allur-524315, Nellore Dist., AP</v>
          </cell>
          <cell r="G1192" t="str">
            <v>08622-276114</v>
          </cell>
          <cell r="I1192" t="str">
            <v>North</v>
          </cell>
        </row>
        <row r="1193">
          <cell r="B1193" t="str">
            <v>W10897</v>
          </cell>
          <cell r="D1193" t="str">
            <v>R</v>
          </cell>
          <cell r="E1193" t="str">
            <v>Eko Diagnostic Pvt. Ltd.</v>
          </cell>
          <cell r="I1193" t="str">
            <v>East</v>
          </cell>
        </row>
        <row r="1194">
          <cell r="B1194" t="str">
            <v>W10898</v>
          </cell>
          <cell r="E1194" t="str">
            <v>Pankhi Health Establishment (P) Ltd.</v>
          </cell>
          <cell r="I1194" t="str">
            <v>East</v>
          </cell>
        </row>
        <row r="1195">
          <cell r="B1195" t="str">
            <v>W10899</v>
          </cell>
          <cell r="E1195" t="str">
            <v>AVM Hospital</v>
          </cell>
          <cell r="I1195" t="str">
            <v>South</v>
          </cell>
        </row>
        <row r="1196">
          <cell r="B1196" t="str">
            <v>W10900</v>
          </cell>
          <cell r="E1196" t="str">
            <v>Illangovan M</v>
          </cell>
          <cell r="I1196" t="str">
            <v>South</v>
          </cell>
        </row>
        <row r="1197">
          <cell r="B1197" t="str">
            <v>W10901</v>
          </cell>
          <cell r="E1197" t="str">
            <v>Krishna Sachdeva</v>
          </cell>
          <cell r="I1197" t="str">
            <v>North</v>
          </cell>
        </row>
        <row r="1198">
          <cell r="B1198" t="str">
            <v>W10901 (A)</v>
          </cell>
          <cell r="E1198" t="str">
            <v>Krishna Sachdeva</v>
          </cell>
          <cell r="I1198" t="str">
            <v>North</v>
          </cell>
        </row>
        <row r="1199">
          <cell r="B1199" t="str">
            <v>W10902</v>
          </cell>
          <cell r="E1199" t="str">
            <v>Bharat Scans</v>
          </cell>
          <cell r="I1199" t="str">
            <v>South</v>
          </cell>
        </row>
        <row r="1200">
          <cell r="B1200" t="str">
            <v>W10903</v>
          </cell>
          <cell r="E1200" t="str">
            <v>Shubham Rog Nidaan Kendra</v>
          </cell>
          <cell r="I1200" t="str">
            <v>North</v>
          </cell>
        </row>
        <row r="1201">
          <cell r="B1201" t="str">
            <v>W10904</v>
          </cell>
          <cell r="E1201" t="str">
            <v>Subrata Saha</v>
          </cell>
          <cell r="I1201" t="str">
            <v>East</v>
          </cell>
        </row>
        <row r="1202">
          <cell r="B1202" t="str">
            <v>W10905</v>
          </cell>
          <cell r="E1202" t="str">
            <v>Shree Mahaveer General Hospital</v>
          </cell>
          <cell r="I1202" t="str">
            <v>West</v>
          </cell>
        </row>
        <row r="1203">
          <cell r="B1203" t="str">
            <v>W10906</v>
          </cell>
          <cell r="E1203" t="str">
            <v>Travancore Healthcare Pvt. Ltd.</v>
          </cell>
          <cell r="I1203" t="str">
            <v>South</v>
          </cell>
        </row>
        <row r="1204">
          <cell r="B1204" t="str">
            <v>W10907</v>
          </cell>
          <cell r="E1204" t="str">
            <v>Bollineni Ramanaiah Memorial Hospital (P) Ltd.</v>
          </cell>
          <cell r="I1204" t="str">
            <v>South</v>
          </cell>
        </row>
        <row r="1205">
          <cell r="B1205" t="str">
            <v>W10908</v>
          </cell>
          <cell r="E1205" t="str">
            <v>Karthiayani Nursing Home</v>
          </cell>
          <cell r="I1205" t="str">
            <v>South</v>
          </cell>
        </row>
        <row r="1206">
          <cell r="B1206" t="str">
            <v>W10910</v>
          </cell>
          <cell r="E1206" t="str">
            <v>Ummer K</v>
          </cell>
          <cell r="I1206" t="str">
            <v>South</v>
          </cell>
        </row>
        <row r="1207">
          <cell r="B1207" t="str">
            <v>W10911</v>
          </cell>
          <cell r="E1207" t="str">
            <v>Harid C M</v>
          </cell>
          <cell r="I1207" t="str">
            <v>South</v>
          </cell>
        </row>
        <row r="1208">
          <cell r="B1208" t="str">
            <v>W10912</v>
          </cell>
          <cell r="E1208" t="str">
            <v>Radhika K</v>
          </cell>
          <cell r="I1208" t="str">
            <v>South</v>
          </cell>
        </row>
        <row r="1209">
          <cell r="B1209" t="str">
            <v>W10913</v>
          </cell>
          <cell r="E1209" t="str">
            <v>Hosmat Hospital Pvt. Ltd.</v>
          </cell>
          <cell r="I1209" t="str">
            <v>South</v>
          </cell>
        </row>
        <row r="1210">
          <cell r="B1210" t="str">
            <v>W10914</v>
          </cell>
          <cell r="E1210" t="str">
            <v>Suryanarayana</v>
          </cell>
          <cell r="I1210" t="str">
            <v>South</v>
          </cell>
        </row>
        <row r="1211">
          <cell r="B1211" t="str">
            <v>W10915</v>
          </cell>
          <cell r="E1211" t="str">
            <v>MUTHISELVI</v>
          </cell>
          <cell r="I1211" t="str">
            <v>South</v>
          </cell>
        </row>
        <row r="1212">
          <cell r="B1212" t="str">
            <v>W10916</v>
          </cell>
          <cell r="E1212" t="str">
            <v>SHAGUL HAMEET</v>
          </cell>
          <cell r="I1212" t="str">
            <v>South</v>
          </cell>
        </row>
        <row r="1213">
          <cell r="B1213" t="str">
            <v>W10917</v>
          </cell>
          <cell r="E1213" t="str">
            <v>Shaiju K Mathew ( Life Scans )</v>
          </cell>
          <cell r="I1213" t="str">
            <v>South</v>
          </cell>
        </row>
        <row r="1214">
          <cell r="B1214" t="str">
            <v>W10918</v>
          </cell>
          <cell r="E1214" t="str">
            <v>Starr Hospital &amp; Research Centre Pvt. Ltd.</v>
          </cell>
          <cell r="I1214" t="str">
            <v>South</v>
          </cell>
        </row>
        <row r="1215">
          <cell r="B1215" t="str">
            <v>W10919</v>
          </cell>
          <cell r="E1215" t="str">
            <v>Precision Diagnostic P Ltd.</v>
          </cell>
          <cell r="I1215" t="str">
            <v>South</v>
          </cell>
        </row>
        <row r="1216">
          <cell r="B1216" t="str">
            <v>W10920</v>
          </cell>
          <cell r="E1216" t="str">
            <v>Vital Medi Healthcare Pvt. Ltd.</v>
          </cell>
          <cell r="I1216" t="str">
            <v>South</v>
          </cell>
        </row>
        <row r="1217">
          <cell r="B1217" t="str">
            <v>W10921</v>
          </cell>
          <cell r="E1217" t="str">
            <v>Narayana Rao V</v>
          </cell>
          <cell r="I1217" t="str">
            <v>South</v>
          </cell>
        </row>
        <row r="1218">
          <cell r="B1218" t="str">
            <v>W10922</v>
          </cell>
          <cell r="E1218" t="str">
            <v>Ashok Kumar B</v>
          </cell>
          <cell r="I1218" t="str">
            <v>South</v>
          </cell>
        </row>
        <row r="1219">
          <cell r="B1219" t="str">
            <v>W10923</v>
          </cell>
          <cell r="E1219" t="str">
            <v>Scientific Diagnostic Centre</v>
          </cell>
          <cell r="I1219" t="str">
            <v>West</v>
          </cell>
        </row>
        <row r="1220">
          <cell r="B1220" t="str">
            <v>W10924</v>
          </cell>
          <cell r="E1220" t="str">
            <v>Dr. Asha Jaffrey</v>
          </cell>
          <cell r="I1220" t="str">
            <v>South</v>
          </cell>
        </row>
        <row r="1221">
          <cell r="B1221" t="str">
            <v>W10925</v>
          </cell>
          <cell r="E1221" t="str">
            <v>Dr. Kshatriya M S</v>
          </cell>
          <cell r="I1221" t="str">
            <v>West</v>
          </cell>
        </row>
        <row r="1222">
          <cell r="B1222" t="str">
            <v>W10926</v>
          </cell>
          <cell r="E1222" t="str">
            <v>Kiran Kumari K</v>
          </cell>
          <cell r="I1222" t="str">
            <v>South</v>
          </cell>
        </row>
        <row r="1223">
          <cell r="B1223" t="str">
            <v>W10927</v>
          </cell>
          <cell r="E1223" t="str">
            <v>Bharath Scans Pvt. Ltd.-I</v>
          </cell>
        </row>
        <row r="1224">
          <cell r="B1224" t="str">
            <v>W10928</v>
          </cell>
          <cell r="E1224" t="str">
            <v>Bharath Scans Pvt. Ltd.-II</v>
          </cell>
        </row>
        <row r="1225">
          <cell r="B1225" t="str">
            <v>W10929</v>
          </cell>
          <cell r="E1225" t="str">
            <v>CBCI Society for Medical Education</v>
          </cell>
          <cell r="I1225" t="str">
            <v>South</v>
          </cell>
        </row>
        <row r="1226">
          <cell r="B1226" t="str">
            <v>W10930</v>
          </cell>
          <cell r="E1226" t="str">
            <v>NCS Diagnostics Pvt. Ltd.</v>
          </cell>
          <cell r="I1226" t="str">
            <v>East</v>
          </cell>
        </row>
        <row r="1227">
          <cell r="B1227" t="str">
            <v>W10932</v>
          </cell>
          <cell r="E1227" t="str">
            <v>Vital Medihealth Care Pvt. Ltd.</v>
          </cell>
        </row>
        <row r="1228">
          <cell r="B1228" t="str">
            <v>W10933</v>
          </cell>
          <cell r="E1228" t="str">
            <v>S R Trust</v>
          </cell>
          <cell r="I1228" t="str">
            <v>South</v>
          </cell>
        </row>
        <row r="1229">
          <cell r="B1229" t="str">
            <v>W10934</v>
          </cell>
          <cell r="E1229" t="str">
            <v>S M Ghani</v>
          </cell>
          <cell r="I1229" t="str">
            <v>South</v>
          </cell>
        </row>
        <row r="1230">
          <cell r="B1230" t="str">
            <v>W10935</v>
          </cell>
          <cell r="E1230" t="str">
            <v>MGM Hospital</v>
          </cell>
          <cell r="I1230" t="str">
            <v>West</v>
          </cell>
        </row>
        <row r="1231">
          <cell r="B1231" t="str">
            <v>W10936</v>
          </cell>
          <cell r="E1231" t="str">
            <v>Bharti Medicare Pvt. Ltd.</v>
          </cell>
          <cell r="I1231" t="str">
            <v>North</v>
          </cell>
        </row>
        <row r="1232">
          <cell r="B1232" t="str">
            <v>W10937</v>
          </cell>
          <cell r="E1232" t="str">
            <v>Sarala V</v>
          </cell>
          <cell r="I1232" t="str">
            <v>South</v>
          </cell>
        </row>
        <row r="1233">
          <cell r="B1233" t="str">
            <v>W10938</v>
          </cell>
          <cell r="E1233" t="str">
            <v>Bharti Medicare (P) Ltd.</v>
          </cell>
          <cell r="I1233" t="str">
            <v>North</v>
          </cell>
        </row>
        <row r="1234">
          <cell r="B1234" t="str">
            <v>W10939</v>
          </cell>
          <cell r="E1234" t="str">
            <v>Kovai Scan Centre</v>
          </cell>
          <cell r="I1234" t="str">
            <v>South</v>
          </cell>
        </row>
        <row r="1235">
          <cell r="B1235" t="str">
            <v>W10940</v>
          </cell>
          <cell r="E1235" t="str">
            <v>BMRI Pvt. Ltd.</v>
          </cell>
          <cell r="I1235" t="str">
            <v>West</v>
          </cell>
        </row>
        <row r="1236">
          <cell r="B1236" t="str">
            <v>W10941</v>
          </cell>
          <cell r="E1236" t="str">
            <v>Dr.J.SUJITH</v>
          </cell>
          <cell r="I1236" t="str">
            <v>South</v>
          </cell>
        </row>
        <row r="1237">
          <cell r="B1237" t="str">
            <v>W10942</v>
          </cell>
          <cell r="E1237" t="str">
            <v>RASHID QUERSHI</v>
          </cell>
          <cell r="I1237" t="str">
            <v>North</v>
          </cell>
        </row>
        <row r="1238">
          <cell r="B1238" t="str">
            <v>W10943</v>
          </cell>
          <cell r="E1238" t="str">
            <v>Lakshmi Scan</v>
          </cell>
          <cell r="I1238" t="str">
            <v>South</v>
          </cell>
        </row>
        <row r="1239">
          <cell r="B1239" t="str">
            <v>W10944</v>
          </cell>
          <cell r="E1239" t="str">
            <v>Y K Diagnostics</v>
          </cell>
          <cell r="I1239" t="str">
            <v>North</v>
          </cell>
        </row>
        <row r="1240">
          <cell r="B1240" t="str">
            <v>W10945</v>
          </cell>
          <cell r="E1240" t="str">
            <v>Travancore Healthcare (P) Ltd.</v>
          </cell>
          <cell r="I1240" t="str">
            <v>South</v>
          </cell>
        </row>
        <row r="1241">
          <cell r="B1241" t="str">
            <v>W10946</v>
          </cell>
          <cell r="E1241" t="str">
            <v>Kee Pharma Ltd</v>
          </cell>
          <cell r="I1241" t="str">
            <v>North</v>
          </cell>
        </row>
        <row r="1242">
          <cell r="B1242" t="str">
            <v>W10947</v>
          </cell>
          <cell r="E1242" t="str">
            <v>Bharat Scans (P) Ltd.</v>
          </cell>
        </row>
        <row r="1243">
          <cell r="B1243" t="str">
            <v>W10948</v>
          </cell>
          <cell r="E1243" t="str">
            <v>Yogeshwar Healthcare ltd.</v>
          </cell>
          <cell r="I1243" t="str">
            <v>West</v>
          </cell>
        </row>
        <row r="1244">
          <cell r="B1244" t="str">
            <v>W10949</v>
          </cell>
          <cell r="E1244" t="str">
            <v>Poonam Cocasse</v>
          </cell>
          <cell r="I1244" t="str">
            <v>North</v>
          </cell>
        </row>
        <row r="1245">
          <cell r="B1245" t="str">
            <v>W10950</v>
          </cell>
          <cell r="E1245" t="str">
            <v>VITAL MEDIHEALTH CARE PVT LTD</v>
          </cell>
        </row>
        <row r="1246">
          <cell r="B1246" t="str">
            <v>W10951</v>
          </cell>
          <cell r="E1246" t="str">
            <v>Saral Diagnostic Centre</v>
          </cell>
          <cell r="I1246" t="str">
            <v>North</v>
          </cell>
        </row>
        <row r="1247">
          <cell r="B1247" t="str">
            <v>W10952</v>
          </cell>
          <cell r="E1247" t="str">
            <v>Krishna Imaging Pvt. Ltd.</v>
          </cell>
          <cell r="I1247" t="str">
            <v>West</v>
          </cell>
        </row>
        <row r="1248">
          <cell r="B1248" t="str">
            <v>W10953</v>
          </cell>
          <cell r="E1248" t="str">
            <v>Kasargod CT Scan &amp; Diag Centre P Ltd.</v>
          </cell>
          <cell r="I1248" t="str">
            <v>South</v>
          </cell>
        </row>
        <row r="1249">
          <cell r="B1249" t="str">
            <v>W10954</v>
          </cell>
          <cell r="E1249" t="str">
            <v>Rishikesh Medical Foundation &amp; Research Centre</v>
          </cell>
          <cell r="I1249" t="str">
            <v>West</v>
          </cell>
        </row>
        <row r="1250">
          <cell r="B1250" t="str">
            <v>W10955</v>
          </cell>
          <cell r="E1250" t="str">
            <v>Dr.Krishna Kishore Reddy</v>
          </cell>
          <cell r="I1250" t="str">
            <v>South</v>
          </cell>
        </row>
        <row r="1251">
          <cell r="B1251" t="str">
            <v>W10956</v>
          </cell>
          <cell r="E1251" t="str">
            <v>Citi Cardiac Research Centre</v>
          </cell>
          <cell r="I1251" t="str">
            <v>South</v>
          </cell>
        </row>
        <row r="1252">
          <cell r="B1252" t="str">
            <v>W10957</v>
          </cell>
          <cell r="E1252" t="str">
            <v>Doctors Diagnostic Centre</v>
          </cell>
          <cell r="I1252" t="str">
            <v>South</v>
          </cell>
        </row>
        <row r="1253">
          <cell r="B1253" t="str">
            <v>W10958</v>
          </cell>
          <cell r="E1253" t="str">
            <v>Healthcare Diagnostics Centre</v>
          </cell>
          <cell r="I1253" t="str">
            <v>East</v>
          </cell>
        </row>
        <row r="1254">
          <cell r="B1254" t="str">
            <v>W10959</v>
          </cell>
          <cell r="E1254" t="str">
            <v>Shah Diagnostic Centre</v>
          </cell>
          <cell r="I1254" t="str">
            <v>West</v>
          </cell>
        </row>
        <row r="1255">
          <cell r="B1255" t="str">
            <v>W10960</v>
          </cell>
          <cell r="E1255" t="str">
            <v>Ganesh Diagnostic &amp; Imaging Centre</v>
          </cell>
        </row>
        <row r="1256">
          <cell r="B1256" t="str">
            <v>W10961</v>
          </cell>
          <cell r="E1256" t="str">
            <v>Christian Medical College</v>
          </cell>
          <cell r="I1256" t="str">
            <v>North</v>
          </cell>
        </row>
        <row r="1257">
          <cell r="B1257" t="str">
            <v>W10962</v>
          </cell>
          <cell r="E1257" t="str">
            <v>Nuscint Diagnostics (P) Ltd.</v>
          </cell>
          <cell r="I1257" t="str">
            <v>West</v>
          </cell>
        </row>
        <row r="1258">
          <cell r="B1258" t="str">
            <v>W10963</v>
          </cell>
          <cell r="E1258" t="str">
            <v>V.B.C.T Image Scan (P) Ltd</v>
          </cell>
        </row>
        <row r="1259">
          <cell r="B1259" t="str">
            <v>W10964</v>
          </cell>
          <cell r="E1259" t="str">
            <v>Krishna Institute of Medical Sciences</v>
          </cell>
        </row>
        <row r="1260">
          <cell r="B1260" t="str">
            <v>W10965</v>
          </cell>
          <cell r="E1260" t="str">
            <v>Starr Hospital &amp; Research Centre Pvt. Ltd.</v>
          </cell>
          <cell r="I1260" t="str">
            <v>South</v>
          </cell>
        </row>
        <row r="1261">
          <cell r="B1261" t="str">
            <v>W10966</v>
          </cell>
          <cell r="E1261" t="str">
            <v>Anita Diagnostic (P) Ltd</v>
          </cell>
          <cell r="I1261" t="str">
            <v>North</v>
          </cell>
        </row>
        <row r="1262">
          <cell r="B1262" t="str">
            <v>W10967</v>
          </cell>
          <cell r="E1262" t="str">
            <v>Ajay Chimote</v>
          </cell>
          <cell r="I1262" t="str">
            <v>West</v>
          </cell>
        </row>
        <row r="1263">
          <cell r="B1263" t="str">
            <v>W10968</v>
          </cell>
          <cell r="E1263" t="str">
            <v>Starr Hospital &amp; Research Centre Pvt. Ltd.</v>
          </cell>
          <cell r="I1263" t="str">
            <v>South</v>
          </cell>
        </row>
        <row r="1264">
          <cell r="B1264" t="str">
            <v>W10969</v>
          </cell>
          <cell r="E1264" t="str">
            <v>Shah Imaging Centre (P) Ltd.</v>
          </cell>
          <cell r="I1264" t="str">
            <v>West</v>
          </cell>
        </row>
        <row r="1265">
          <cell r="B1265" t="str">
            <v>W10970</v>
          </cell>
          <cell r="E1265" t="str">
            <v>Vash Healthcare Ltd.</v>
          </cell>
        </row>
        <row r="1266">
          <cell r="B1266" t="str">
            <v>W10971</v>
          </cell>
          <cell r="E1266" t="str">
            <v>Dr.P.PADMANABHA REDDY</v>
          </cell>
          <cell r="I1266" t="str">
            <v>South</v>
          </cell>
        </row>
        <row r="1267">
          <cell r="B1267" t="str">
            <v>W10972</v>
          </cell>
          <cell r="E1267" t="str">
            <v>USHA MULLAPUDI CARDIAC CENTRE</v>
          </cell>
          <cell r="I1267" t="str">
            <v>South</v>
          </cell>
        </row>
        <row r="1268">
          <cell r="B1268" t="str">
            <v>W10973</v>
          </cell>
          <cell r="E1268" t="str">
            <v>Dr.S.Nallamuthu</v>
          </cell>
          <cell r="I1268" t="str">
            <v>South</v>
          </cell>
        </row>
        <row r="1269">
          <cell r="B1269" t="str">
            <v>W10974</v>
          </cell>
          <cell r="E1269" t="str">
            <v>Dr.VIKRAM PATEL</v>
          </cell>
          <cell r="I1269" t="str">
            <v>West</v>
          </cell>
        </row>
        <row r="1270">
          <cell r="B1270" t="str">
            <v>W10976</v>
          </cell>
          <cell r="E1270" t="str">
            <v>Mahendrasekhar K</v>
          </cell>
          <cell r="I1270" t="str">
            <v>South</v>
          </cell>
        </row>
        <row r="1271">
          <cell r="B1271" t="str">
            <v>W10986</v>
          </cell>
          <cell r="E1271" t="str">
            <v>Dr.Vijaya Radhakrishna</v>
          </cell>
          <cell r="I1271" t="str">
            <v>South</v>
          </cell>
        </row>
        <row r="1272">
          <cell r="B1272" t="str">
            <v>W10987</v>
          </cell>
          <cell r="E1272" t="str">
            <v>Beena Hazarika</v>
          </cell>
          <cell r="I1272" t="str">
            <v>East</v>
          </cell>
        </row>
        <row r="1273">
          <cell r="B1273" t="str">
            <v>W10988</v>
          </cell>
          <cell r="E1273" t="str">
            <v>RG Scientific Enterprises Pvt Ltd</v>
          </cell>
          <cell r="I1273" t="str">
            <v>West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AR"/>
      <sheetName val="ACT Workers Comp"/>
      <sheetName val="WA Workers Comp"/>
      <sheetName val="Vic Workers Comp "/>
      <sheetName val="Travel Insurance"/>
      <sheetName val="Prepaid-Other"/>
      <sheetName val="Prepaid Rent &amp; Parking"/>
      <sheetName val="Inventory"/>
      <sheetName val="Grand United"/>
      <sheetName val="Defence Health"/>
      <sheetName val="Cap'd Exp"/>
      <sheetName val="Prepaid Commissions"/>
      <sheetName val="Prepaid-Svc Contracts"/>
      <sheetName val="IC Recoverable Cost"/>
      <sheetName val="Repairable Spares"/>
      <sheetName val="Employee Travel Advance"/>
      <sheetName val="AP"/>
      <sheetName val="AMEX "/>
      <sheetName val="Accrued Payroll"/>
      <sheetName val="Accrued Bonus"/>
      <sheetName val="Accrued Restructure"/>
      <sheetName val="Accrued Commissions"/>
      <sheetName val="Accrued Var Bonus"/>
      <sheetName val="Accrued Vehicles"/>
      <sheetName val="Accrued Other"/>
      <sheetName val="Deferred Service Revenue"/>
      <sheetName val="Accrued Travel"/>
      <sheetName val="Accrued Revenue"/>
      <sheetName val="Goodwill"/>
      <sheetName val="Accrued Superannuation"/>
      <sheetName val="Sheet2"/>
      <sheetName val="Commissions"/>
      <sheetName val="Sal Sac - Exempt Bens"/>
      <sheetName val="Deferred Product Revenue"/>
      <sheetName val="Employee SPP"/>
      <sheetName val="Expired Contracts"/>
    </sheetNames>
    <sheetDataSet>
      <sheetData sheetId="0">
        <row r="2">
          <cell r="B2">
            <v>41851</v>
          </cell>
        </row>
        <row r="5">
          <cell r="A5" t="str">
            <v>7 Days</v>
          </cell>
        </row>
        <row r="6">
          <cell r="A6" t="str">
            <v>14 Days</v>
          </cell>
        </row>
        <row r="7">
          <cell r="A7" t="str">
            <v>30 Days</v>
          </cell>
        </row>
        <row r="8">
          <cell r="A8" t="str">
            <v>45 Days</v>
          </cell>
        </row>
        <row r="9">
          <cell r="A9" t="str">
            <v>60 Days</v>
          </cell>
        </row>
        <row r="10">
          <cell r="A10" t="str">
            <v>90 Days</v>
          </cell>
        </row>
        <row r="11">
          <cell r="A11" t="str">
            <v>120 Days</v>
          </cell>
        </row>
        <row r="12">
          <cell r="A12" t="str">
            <v>EOM</v>
          </cell>
        </row>
        <row r="13">
          <cell r="A13" t="str">
            <v>EOM+1</v>
          </cell>
        </row>
        <row r="14">
          <cell r="A14" t="str">
            <v>EOM+2</v>
          </cell>
        </row>
        <row r="15">
          <cell r="A15" t="str">
            <v>EOM+3</v>
          </cell>
        </row>
        <row r="16">
          <cell r="A16" t="str">
            <v>EOM+4</v>
          </cell>
        </row>
        <row r="17">
          <cell r="A17" t="str">
            <v>EOM+5</v>
          </cell>
        </row>
        <row r="18">
          <cell r="A18" t="str">
            <v>EOM+6</v>
          </cell>
        </row>
        <row r="19">
          <cell r="A19" t="str">
            <v>EOM+7</v>
          </cell>
        </row>
        <row r="20">
          <cell r="A20" t="str">
            <v>EOM+8</v>
          </cell>
        </row>
        <row r="21">
          <cell r="A21" t="str">
            <v>EOM+9</v>
          </cell>
        </row>
        <row r="24">
          <cell r="A24">
            <v>41670</v>
          </cell>
        </row>
        <row r="25">
          <cell r="A25">
            <v>41698</v>
          </cell>
        </row>
        <row r="26">
          <cell r="A26">
            <v>41729</v>
          </cell>
        </row>
        <row r="27">
          <cell r="A27">
            <v>41759</v>
          </cell>
        </row>
        <row r="28">
          <cell r="A28">
            <v>41790</v>
          </cell>
        </row>
        <row r="29">
          <cell r="A29">
            <v>41820</v>
          </cell>
        </row>
        <row r="30">
          <cell r="A30">
            <v>41851</v>
          </cell>
        </row>
        <row r="31">
          <cell r="A31">
            <v>41882</v>
          </cell>
        </row>
        <row r="32">
          <cell r="A32">
            <v>41912</v>
          </cell>
        </row>
        <row r="33">
          <cell r="A33">
            <v>41943</v>
          </cell>
        </row>
        <row r="34">
          <cell r="A34">
            <v>41973</v>
          </cell>
        </row>
        <row r="35">
          <cell r="A35">
            <v>42004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Checklist"/>
      <sheetName val="Lists"/>
      <sheetName val="TB Reconcilliation"/>
      <sheetName val="UCG-TB"/>
      <sheetName val="UCG-Transaction Journal"/>
      <sheetName val="QB-TB"/>
      <sheetName val="QB-Transaction Journal"/>
      <sheetName val="Cash-HSBC Bank"/>
      <sheetName val="Cash-UCC Trust"/>
      <sheetName val="AR (Aged)"/>
      <sheetName val="UCC CBI Account Statement"/>
      <sheetName val="Prepaid Insurance"/>
      <sheetName val="Prepayments"/>
      <sheetName val="Accrued Revenue"/>
      <sheetName val="RefundableDeposit"/>
      <sheetName val="Preliminary Exps"/>
      <sheetName val="AP (Aged)"/>
      <sheetName val="Accruals"/>
      <sheetName val="Accrued Other"/>
      <sheetName val="Superannuation"/>
      <sheetName val="Withholdings"/>
      <sheetName val="Share Capital"/>
      <sheetName val="Deferred Service"/>
      <sheetName val="TDS (Unpaid)"/>
      <sheetName val="TDS"/>
      <sheetName val="Income Tax"/>
      <sheetName val="DTA"/>
      <sheetName val="Accounting fees"/>
      <sheetName val="Sheet1"/>
    </sheetNames>
    <sheetDataSet>
      <sheetData sheetId="0">
        <row r="3">
          <cell r="C3">
            <v>40999</v>
          </cell>
        </row>
        <row r="6">
          <cell r="B6" t="str">
            <v>7 Days</v>
          </cell>
          <cell r="C6">
            <v>7</v>
          </cell>
          <cell r="D6" t="str">
            <v>Day</v>
          </cell>
        </row>
        <row r="7">
          <cell r="B7" t="str">
            <v>14 Days</v>
          </cell>
          <cell r="C7">
            <v>14</v>
          </cell>
          <cell r="D7" t="str">
            <v>Day</v>
          </cell>
        </row>
        <row r="8">
          <cell r="B8" t="str">
            <v>30 Days</v>
          </cell>
          <cell r="C8">
            <v>30</v>
          </cell>
          <cell r="D8" t="str">
            <v>Day</v>
          </cell>
        </row>
        <row r="9">
          <cell r="B9" t="str">
            <v>45 Days</v>
          </cell>
          <cell r="C9">
            <v>45</v>
          </cell>
          <cell r="D9" t="str">
            <v>Day</v>
          </cell>
        </row>
        <row r="10">
          <cell r="B10" t="str">
            <v>60 Days</v>
          </cell>
          <cell r="C10">
            <v>60</v>
          </cell>
          <cell r="D10" t="str">
            <v>Day</v>
          </cell>
        </row>
        <row r="11">
          <cell r="B11" t="str">
            <v>90 Days</v>
          </cell>
          <cell r="C11">
            <v>90</v>
          </cell>
          <cell r="D11" t="str">
            <v>Day</v>
          </cell>
        </row>
        <row r="12">
          <cell r="B12" t="str">
            <v>120 Days</v>
          </cell>
          <cell r="C12">
            <v>120</v>
          </cell>
          <cell r="D12" t="str">
            <v>Day</v>
          </cell>
        </row>
        <row r="13">
          <cell r="B13" t="str">
            <v>EOM</v>
          </cell>
          <cell r="C13">
            <v>0</v>
          </cell>
          <cell r="D13" t="str">
            <v>Month</v>
          </cell>
        </row>
        <row r="14">
          <cell r="B14" t="str">
            <v>EOM+1</v>
          </cell>
          <cell r="C14">
            <v>1</v>
          </cell>
          <cell r="D14" t="str">
            <v>Month</v>
          </cell>
        </row>
        <row r="15">
          <cell r="B15" t="str">
            <v>EOM+2</v>
          </cell>
          <cell r="C15">
            <v>2</v>
          </cell>
          <cell r="D15" t="str">
            <v>Month</v>
          </cell>
        </row>
        <row r="16">
          <cell r="B16" t="str">
            <v>EOM+3</v>
          </cell>
          <cell r="C16">
            <v>3</v>
          </cell>
          <cell r="D16" t="str">
            <v>Month</v>
          </cell>
        </row>
        <row r="17">
          <cell r="B17" t="str">
            <v>EOM+4</v>
          </cell>
          <cell r="C17">
            <v>4</v>
          </cell>
          <cell r="D17" t="str">
            <v>Month</v>
          </cell>
        </row>
        <row r="18">
          <cell r="B18" t="str">
            <v>EOM+5</v>
          </cell>
          <cell r="C18">
            <v>5</v>
          </cell>
          <cell r="D18" t="str">
            <v>Month</v>
          </cell>
        </row>
        <row r="19">
          <cell r="B19" t="str">
            <v>EOM+6</v>
          </cell>
          <cell r="C19">
            <v>6</v>
          </cell>
          <cell r="D19" t="str">
            <v>Month</v>
          </cell>
        </row>
        <row r="20">
          <cell r="B20" t="str">
            <v>EOM+7</v>
          </cell>
          <cell r="C20">
            <v>7</v>
          </cell>
          <cell r="D20" t="str">
            <v>Month</v>
          </cell>
        </row>
        <row r="21">
          <cell r="B21" t="str">
            <v>EOM+8</v>
          </cell>
          <cell r="C21">
            <v>8</v>
          </cell>
          <cell r="D21" t="str">
            <v>Month</v>
          </cell>
        </row>
        <row r="22">
          <cell r="B22" t="str">
            <v>EOM+9</v>
          </cell>
          <cell r="C22">
            <v>9</v>
          </cell>
          <cell r="D22" t="str">
            <v>Month</v>
          </cell>
        </row>
      </sheetData>
      <sheetData sheetId="1"/>
      <sheetData sheetId="2">
        <row r="2">
          <cell r="E2" t="str">
            <v>1001100</v>
          </cell>
          <cell r="F2" t="str">
            <v>HSBC Operating - 1001100</v>
          </cell>
          <cell r="G2" t="str">
            <v>CA</v>
          </cell>
        </row>
        <row r="3">
          <cell r="E3" t="str">
            <v>1001200</v>
          </cell>
          <cell r="F3" t="str">
            <v>Grant Thornton Trust A/c - 1001200</v>
          </cell>
          <cell r="G3" t="str">
            <v>CA</v>
          </cell>
        </row>
        <row r="4">
          <cell r="E4" t="str">
            <v>1001300</v>
          </cell>
          <cell r="F4" t="str">
            <v>BI UCC A/c - 1001300</v>
          </cell>
          <cell r="G4" t="str">
            <v>CA</v>
          </cell>
        </row>
        <row r="5">
          <cell r="E5" t="str">
            <v>1020001</v>
          </cell>
          <cell r="F5" t="str">
            <v>I/C Receivable Cray Inc -1020001</v>
          </cell>
          <cell r="G5" t="str">
            <v>CA</v>
          </cell>
        </row>
        <row r="6">
          <cell r="E6" t="str">
            <v>1031000</v>
          </cell>
          <cell r="F6" t="str">
            <v>Prepaid Insurance - 1031000</v>
          </cell>
          <cell r="G6" t="str">
            <v>CA</v>
          </cell>
        </row>
        <row r="7">
          <cell r="E7" t="str">
            <v>1031300</v>
          </cell>
          <cell r="F7" t="str">
            <v>Prepaid Facility Costs - 1031300</v>
          </cell>
          <cell r="G7" t="str">
            <v>CA</v>
          </cell>
        </row>
        <row r="8">
          <cell r="E8" t="str">
            <v>1031900</v>
          </cell>
          <cell r="F8" t="str">
            <v>Prepaid Other - 1031900</v>
          </cell>
          <cell r="G8" t="str">
            <v>CA</v>
          </cell>
        </row>
        <row r="9">
          <cell r="E9" t="str">
            <v>1033000</v>
          </cell>
          <cell r="F9" t="str">
            <v>Sudhakar Advance - 1033000</v>
          </cell>
          <cell r="G9" t="str">
            <v>CA</v>
          </cell>
        </row>
        <row r="10">
          <cell r="E10" t="str">
            <v>1059000</v>
          </cell>
          <cell r="F10" t="str">
            <v>Preoperating Expenses - 1059000</v>
          </cell>
          <cell r="G10" t="str">
            <v>CA</v>
          </cell>
        </row>
        <row r="11">
          <cell r="E11" t="str">
            <v>1132000</v>
          </cell>
          <cell r="F11" t="str">
            <v>Accrued Revenue -1132000</v>
          </cell>
          <cell r="G11" t="str">
            <v>CA</v>
          </cell>
        </row>
        <row r="12">
          <cell r="E12" t="str">
            <v>1161100</v>
          </cell>
          <cell r="F12" t="str">
            <v>Data Equipments - 1161100</v>
          </cell>
          <cell r="G12" t="str">
            <v>NCA</v>
          </cell>
        </row>
        <row r="13">
          <cell r="E13" t="str">
            <v>1161150</v>
          </cell>
          <cell r="F13" t="str">
            <v>Accum Depn Data Equipment - 1161150</v>
          </cell>
          <cell r="G13" t="str">
            <v>NCA</v>
          </cell>
        </row>
        <row r="14">
          <cell r="E14" t="str">
            <v>1161300</v>
          </cell>
          <cell r="F14" t="str">
            <v>Office Equipment - 1161300</v>
          </cell>
          <cell r="G14" t="str">
            <v>NCA</v>
          </cell>
        </row>
        <row r="15">
          <cell r="E15" t="str">
            <v>1161350</v>
          </cell>
          <cell r="F15" t="str">
            <v>Accum Depn Office Equipment - 1161350</v>
          </cell>
          <cell r="G15" t="str">
            <v>NCA</v>
          </cell>
        </row>
        <row r="16">
          <cell r="E16" t="str">
            <v>1171100</v>
          </cell>
          <cell r="F16" t="str">
            <v>Facility Deposit - 1171100</v>
          </cell>
          <cell r="G16" t="str">
            <v>CA</v>
          </cell>
        </row>
        <row r="17">
          <cell r="E17" t="str">
            <v>1171200</v>
          </cell>
          <cell r="F17" t="str">
            <v>Bid/performance Deposit - 1171200</v>
          </cell>
          <cell r="G17" t="str">
            <v>CA</v>
          </cell>
        </row>
        <row r="18">
          <cell r="E18" t="str">
            <v>1171300</v>
          </cell>
          <cell r="F18" t="str">
            <v>Other Refundable Deposits - 1171300</v>
          </cell>
          <cell r="G18" t="str">
            <v>CA</v>
          </cell>
        </row>
        <row r="19">
          <cell r="E19" t="str">
            <v>1175100</v>
          </cell>
          <cell r="F19" t="str">
            <v>Deferred Tax Asset - 1175100</v>
          </cell>
          <cell r="G19" t="str">
            <v>NCA</v>
          </cell>
        </row>
        <row r="20">
          <cell r="E20" t="str">
            <v>1291000</v>
          </cell>
          <cell r="F20" t="str">
            <v>Preliminary Expenses - 1291000</v>
          </cell>
          <cell r="G20" t="str">
            <v>NCA</v>
          </cell>
        </row>
        <row r="21">
          <cell r="E21" t="str">
            <v>2010000</v>
          </cell>
          <cell r="F21" t="str">
            <v>Accounts Payable - 2010000</v>
          </cell>
          <cell r="G21" t="str">
            <v>CL</v>
          </cell>
        </row>
        <row r="22">
          <cell r="E22" t="str">
            <v>2010000</v>
          </cell>
          <cell r="F22" t="str">
            <v>Ashok Chaudhary (Salary) - 2010000</v>
          </cell>
          <cell r="G22" t="str">
            <v>CL</v>
          </cell>
        </row>
        <row r="23">
          <cell r="E23" t="str">
            <v>2010000</v>
          </cell>
          <cell r="F23" t="str">
            <v>Change Chit Leang - 2010000</v>
          </cell>
          <cell r="G23" t="str">
            <v>CL</v>
          </cell>
        </row>
        <row r="24">
          <cell r="E24" t="str">
            <v>2010000</v>
          </cell>
          <cell r="F24" t="str">
            <v>HDFC Ergo General Insurance Co Ltd - 2010000</v>
          </cell>
          <cell r="G24" t="str">
            <v>CL</v>
          </cell>
        </row>
        <row r="25">
          <cell r="E25" t="str">
            <v>2010000</v>
          </cell>
          <cell r="F25" t="str">
            <v>Indirect Expenses - 2010000</v>
          </cell>
          <cell r="G25" t="str">
            <v>CL</v>
          </cell>
        </row>
        <row r="26">
          <cell r="E26" t="str">
            <v>2010000</v>
          </cell>
          <cell r="F26" t="str">
            <v>Indosoftnet Solutions &amp; Consultant - 2010000</v>
          </cell>
          <cell r="G26" t="str">
            <v>CL</v>
          </cell>
        </row>
        <row r="27">
          <cell r="E27" t="str">
            <v>2010000</v>
          </cell>
          <cell r="F27" t="str">
            <v>Regus Buisness Centre (Delhi) Pvt Ltd-2010000</v>
          </cell>
          <cell r="G27" t="str">
            <v>CL</v>
          </cell>
        </row>
        <row r="28">
          <cell r="E28" t="str">
            <v>2010000</v>
          </cell>
          <cell r="F28" t="str">
            <v>Rudraksha Bhusan Banerjee - 2010000</v>
          </cell>
          <cell r="G28" t="str">
            <v>CL</v>
          </cell>
        </row>
        <row r="29">
          <cell r="E29" t="str">
            <v>2010000</v>
          </cell>
          <cell r="F29" t="str">
            <v>Sudhaker Yerneni (Salary) - 2010000</v>
          </cell>
          <cell r="G29" t="str">
            <v>CL</v>
          </cell>
        </row>
        <row r="30">
          <cell r="E30" t="str">
            <v>2010000</v>
          </cell>
          <cell r="F30" t="str">
            <v>Umesh Goyal &amp; Co.- 2010000</v>
          </cell>
          <cell r="G30" t="str">
            <v>CL</v>
          </cell>
        </row>
        <row r="31">
          <cell r="E31" t="str">
            <v>2020001</v>
          </cell>
          <cell r="F31" t="str">
            <v>I/C Payable Cray Inc-2020001</v>
          </cell>
          <cell r="G31" t="str">
            <v>CL</v>
          </cell>
        </row>
        <row r="32">
          <cell r="E32" t="str">
            <v>2032100</v>
          </cell>
          <cell r="F32" t="str">
            <v>Accrued Payroll - 2032100</v>
          </cell>
          <cell r="G32" t="str">
            <v>CL</v>
          </cell>
        </row>
        <row r="33">
          <cell r="E33" t="str">
            <v>2032100</v>
          </cell>
          <cell r="F33" t="str">
            <v>Accrued Reimbursement - 2032100</v>
          </cell>
          <cell r="G33" t="str">
            <v>CL</v>
          </cell>
        </row>
        <row r="34">
          <cell r="E34" t="str">
            <v>2032500</v>
          </cell>
          <cell r="F34" t="str">
            <v>Accrued Commission - 2032500</v>
          </cell>
          <cell r="G34" t="str">
            <v>CL</v>
          </cell>
        </row>
        <row r="35">
          <cell r="E35" t="str">
            <v>2032700</v>
          </cell>
          <cell r="F35" t="str">
            <v>Accrued Travel - 2032700</v>
          </cell>
          <cell r="G35" t="str">
            <v>CL</v>
          </cell>
        </row>
        <row r="36">
          <cell r="E36" t="str">
            <v>2032900</v>
          </cell>
          <cell r="F36" t="str">
            <v>Accrued Other - 2032900</v>
          </cell>
          <cell r="G36" t="str">
            <v>CL</v>
          </cell>
        </row>
        <row r="37">
          <cell r="E37" t="str">
            <v>2043100</v>
          </cell>
          <cell r="F37" t="str">
            <v>TDS Payroll - 2043100</v>
          </cell>
          <cell r="G37" t="str">
            <v>CL</v>
          </cell>
        </row>
        <row r="38">
          <cell r="E38" t="str">
            <v>2043200</v>
          </cell>
          <cell r="F38" t="str">
            <v>TDS PROFESSIONAL - 2043200</v>
          </cell>
          <cell r="G38" t="str">
            <v>CL</v>
          </cell>
        </row>
        <row r="39">
          <cell r="E39">
            <v>2043400</v>
          </cell>
          <cell r="F39" t="str">
            <v>TDS Rent - 2043300</v>
          </cell>
          <cell r="G39" t="str">
            <v>CL</v>
          </cell>
        </row>
        <row r="40">
          <cell r="E40">
            <v>2043300</v>
          </cell>
          <cell r="F40" t="str">
            <v>TDS Contractor - 2043300</v>
          </cell>
          <cell r="G40" t="str">
            <v>CL</v>
          </cell>
        </row>
        <row r="41">
          <cell r="E41" t="str">
            <v>2043500</v>
          </cell>
          <cell r="F41" t="str">
            <v>Negative Salary (PRS) - 2043500</v>
          </cell>
          <cell r="G41" t="str">
            <v>CL</v>
          </cell>
        </row>
        <row r="42">
          <cell r="E42" t="str">
            <v>2043600</v>
          </cell>
          <cell r="F42" t="str">
            <v>Negative Salary (SLS) - 2043600</v>
          </cell>
          <cell r="G42" t="str">
            <v>CL</v>
          </cell>
        </row>
        <row r="43">
          <cell r="E43" t="str">
            <v>2043700</v>
          </cell>
          <cell r="F43" t="str">
            <v>Negative Salary (SVC) - 2043700</v>
          </cell>
          <cell r="G43" t="str">
            <v>CL</v>
          </cell>
        </row>
        <row r="44">
          <cell r="E44" t="str">
            <v>2045200</v>
          </cell>
          <cell r="F44" t="str">
            <v>Income Tax Payable - 2045200</v>
          </cell>
          <cell r="G44" t="str">
            <v>CL</v>
          </cell>
        </row>
        <row r="45">
          <cell r="E45" t="str">
            <v>2045300</v>
          </cell>
          <cell r="F45" t="str">
            <v>Advance Tax - 2045300</v>
          </cell>
          <cell r="G45" t="str">
            <v>CA</v>
          </cell>
        </row>
        <row r="46">
          <cell r="E46" t="str">
            <v>2045300</v>
          </cell>
          <cell r="F46" t="str">
            <v>Self Assessment Tax-2045300</v>
          </cell>
          <cell r="G46" t="str">
            <v>CA</v>
          </cell>
        </row>
        <row r="47">
          <cell r="E47" t="str">
            <v>2052200</v>
          </cell>
          <cell r="F47" t="str">
            <v>Deferred ST Service Revenue - 2052200</v>
          </cell>
          <cell r="G47" t="str">
            <v>CL</v>
          </cell>
        </row>
        <row r="48">
          <cell r="E48" t="str">
            <v>2181100</v>
          </cell>
          <cell r="F48" t="str">
            <v>Provision  Retirement - 2181200</v>
          </cell>
          <cell r="G48" t="str">
            <v>CL</v>
          </cell>
        </row>
        <row r="49">
          <cell r="E49" t="str">
            <v>2181200</v>
          </cell>
          <cell r="F49" t="str">
            <v>Provision  Vacation - 2181100</v>
          </cell>
          <cell r="G49" t="str">
            <v>CL</v>
          </cell>
        </row>
        <row r="50">
          <cell r="E50" t="str">
            <v>3181000</v>
          </cell>
          <cell r="F50" t="str">
            <v>Share Capital - 3181000</v>
          </cell>
          <cell r="G50" t="str">
            <v>EQ</v>
          </cell>
        </row>
        <row r="51">
          <cell r="E51" t="str">
            <v>3182001</v>
          </cell>
          <cell r="F51" t="str">
            <v>Cray Inc - 3182001</v>
          </cell>
          <cell r="G51" t="str">
            <v>EQ</v>
          </cell>
        </row>
        <row r="52">
          <cell r="E52" t="str">
            <v>3189000</v>
          </cell>
          <cell r="F52" t="str">
            <v>Profit &amp; Loss A/c- 3189000</v>
          </cell>
          <cell r="G52" t="str">
            <v>RE</v>
          </cell>
        </row>
        <row r="53">
          <cell r="E53" t="str">
            <v>4212080</v>
          </cell>
          <cell r="F53" t="str">
            <v>H/W Contract (X1) - 4212080</v>
          </cell>
          <cell r="G53" t="str">
            <v>OI</v>
          </cell>
        </row>
        <row r="54">
          <cell r="E54" t="str">
            <v>4212130</v>
          </cell>
          <cell r="F54" t="str">
            <v>H/W Contract (XT5) - 4212130</v>
          </cell>
          <cell r="G54" t="str">
            <v>OI</v>
          </cell>
        </row>
        <row r="55">
          <cell r="E55" t="str">
            <v>4401001</v>
          </cell>
          <cell r="F55" t="str">
            <v>Marketing Cost Recovery - 4401001</v>
          </cell>
          <cell r="G55" t="str">
            <v>OI</v>
          </cell>
        </row>
        <row r="56">
          <cell r="E56" t="str">
            <v>4402001</v>
          </cell>
          <cell r="F56" t="str">
            <v>Admin Markup Revenue - 4402001</v>
          </cell>
          <cell r="G56" t="str">
            <v>OI</v>
          </cell>
        </row>
        <row r="57">
          <cell r="E57" t="str">
            <v>6110010</v>
          </cell>
          <cell r="F57" t="str">
            <v>Conveyance Allowances - 6110010</v>
          </cell>
          <cell r="G57" t="str">
            <v>OE</v>
          </cell>
        </row>
        <row r="58">
          <cell r="E58" t="str">
            <v>6110010</v>
          </cell>
          <cell r="F58" t="str">
            <v>HRA - 6110010</v>
          </cell>
          <cell r="G58" t="str">
            <v>OE</v>
          </cell>
        </row>
        <row r="59">
          <cell r="E59" t="str">
            <v>6110010</v>
          </cell>
          <cell r="F59" t="str">
            <v>LTA - 6110010</v>
          </cell>
          <cell r="G59" t="str">
            <v>OE</v>
          </cell>
        </row>
        <row r="60">
          <cell r="E60" t="str">
            <v>6110010</v>
          </cell>
          <cell r="F60" t="str">
            <v>Regular Salary (SLS) - 6110010</v>
          </cell>
          <cell r="G60" t="str">
            <v>OE</v>
          </cell>
        </row>
        <row r="61">
          <cell r="E61" t="str">
            <v>6110010</v>
          </cell>
          <cell r="F61" t="str">
            <v>Special Allowances - 6110010</v>
          </cell>
          <cell r="G61" t="str">
            <v>OE</v>
          </cell>
        </row>
        <row r="62">
          <cell r="E62" t="str">
            <v>6110030</v>
          </cell>
          <cell r="F62" t="str">
            <v>Driver Salary - 6110030</v>
          </cell>
          <cell r="G62" t="str">
            <v>OE</v>
          </cell>
        </row>
        <row r="63">
          <cell r="E63" t="str">
            <v>6110030</v>
          </cell>
          <cell r="F63" t="str">
            <v>Entertainment Reimb - 6110030</v>
          </cell>
          <cell r="G63" t="str">
            <v>OE</v>
          </cell>
        </row>
        <row r="64">
          <cell r="E64" t="str">
            <v>6110030</v>
          </cell>
          <cell r="F64" t="str">
            <v>Medical - 6110030</v>
          </cell>
          <cell r="G64" t="str">
            <v>OE</v>
          </cell>
        </row>
        <row r="65">
          <cell r="E65" t="str">
            <v>6110030</v>
          </cell>
          <cell r="F65" t="str">
            <v>Professional Development - 6110030</v>
          </cell>
          <cell r="G65" t="str">
            <v>OE</v>
          </cell>
        </row>
        <row r="66">
          <cell r="E66" t="str">
            <v>6110030</v>
          </cell>
          <cell r="F66" t="str">
            <v>Vehicle Running &amp; Maint - 6110030</v>
          </cell>
          <cell r="G66" t="str">
            <v>OE</v>
          </cell>
        </row>
        <row r="67">
          <cell r="E67" t="str">
            <v>6110050</v>
          </cell>
          <cell r="F67" t="str">
            <v>Commissions (SLS) - 6110050</v>
          </cell>
          <cell r="G67" t="str">
            <v>OE</v>
          </cell>
        </row>
        <row r="68">
          <cell r="E68" t="str">
            <v>6110070</v>
          </cell>
          <cell r="F68" t="str">
            <v>Vacation Accrual (SLS) - 6110070</v>
          </cell>
          <cell r="G68" t="str">
            <v>OE</v>
          </cell>
        </row>
        <row r="69">
          <cell r="E69" t="str">
            <v>6110080</v>
          </cell>
          <cell r="F69" t="str">
            <v>Vacation Taken (SLS) - 6110080</v>
          </cell>
          <cell r="G69" t="str">
            <v>OE</v>
          </cell>
        </row>
        <row r="70">
          <cell r="E70" t="str">
            <v>6110090</v>
          </cell>
          <cell r="F70" t="str">
            <v>Superannuation (SLS) - 6110090</v>
          </cell>
          <cell r="G70" t="str">
            <v>OE</v>
          </cell>
        </row>
        <row r="71">
          <cell r="E71">
            <v>6110110</v>
          </cell>
          <cell r="F71" t="str">
            <v>Conveyance (SLS) - 6110110</v>
          </cell>
          <cell r="G71" t="str">
            <v>OE</v>
          </cell>
        </row>
        <row r="72">
          <cell r="E72" t="str">
            <v>6110120</v>
          </cell>
          <cell r="F72" t="str">
            <v>HRA (SLS) - 6110120</v>
          </cell>
          <cell r="G72" t="str">
            <v>OE</v>
          </cell>
        </row>
        <row r="73">
          <cell r="E73" t="str">
            <v>6110130</v>
          </cell>
          <cell r="F73" t="str">
            <v>LTA (SLS) - 6110130</v>
          </cell>
          <cell r="G73" t="str">
            <v>OE</v>
          </cell>
        </row>
        <row r="74">
          <cell r="E74" t="str">
            <v>6110140</v>
          </cell>
          <cell r="F74" t="str">
            <v>Special (SLS) - 6110140</v>
          </cell>
          <cell r="G74" t="str">
            <v>OE</v>
          </cell>
        </row>
        <row r="75">
          <cell r="E75" t="str">
            <v>6110150</v>
          </cell>
          <cell r="F75" t="str">
            <v>Driver (SLS) - 6110150</v>
          </cell>
          <cell r="G75" t="str">
            <v>OE</v>
          </cell>
        </row>
        <row r="76">
          <cell r="E76" t="str">
            <v>6110160</v>
          </cell>
          <cell r="F76" t="str">
            <v>Entertainment Reimb (SLS) - 6110160</v>
          </cell>
          <cell r="G76" t="str">
            <v>OE</v>
          </cell>
        </row>
        <row r="77">
          <cell r="E77" t="str">
            <v>6110170</v>
          </cell>
          <cell r="F77" t="str">
            <v>Medical (SLS) - 6110170</v>
          </cell>
          <cell r="G77" t="str">
            <v>OE</v>
          </cell>
        </row>
        <row r="78">
          <cell r="E78" t="str">
            <v>6110180</v>
          </cell>
          <cell r="F78" t="str">
            <v>Prof Development (SLS) - 6110180</v>
          </cell>
          <cell r="G78" t="str">
            <v>OE</v>
          </cell>
        </row>
        <row r="79">
          <cell r="E79" t="str">
            <v>6110190</v>
          </cell>
          <cell r="F79" t="str">
            <v>Vehicle (SLS) - 6110190</v>
          </cell>
          <cell r="G79" t="str">
            <v>OE</v>
          </cell>
        </row>
        <row r="80">
          <cell r="E80" t="str">
            <v>6110200</v>
          </cell>
          <cell r="F80" t="str">
            <v>Health Plan (SLS) - 6110200</v>
          </cell>
          <cell r="G80" t="str">
            <v>OE</v>
          </cell>
        </row>
        <row r="81">
          <cell r="E81" t="str">
            <v>6110220</v>
          </cell>
          <cell r="F81" t="str">
            <v>Life Insurance - 6110220 (SLS)</v>
          </cell>
          <cell r="G81" t="str">
            <v>OE</v>
          </cell>
        </row>
        <row r="82">
          <cell r="E82" t="str">
            <v>6120010</v>
          </cell>
          <cell r="F82" t="str">
            <v>Airfare (Domestic) (SLS) - 6120010</v>
          </cell>
          <cell r="G82" t="str">
            <v>OE</v>
          </cell>
        </row>
        <row r="83">
          <cell r="E83" t="str">
            <v>6120020</v>
          </cell>
          <cell r="F83" t="str">
            <v>Airfare (International) (SLS) - 6120020</v>
          </cell>
          <cell r="G83" t="str">
            <v>OE</v>
          </cell>
        </row>
        <row r="84">
          <cell r="E84" t="str">
            <v>6120030</v>
          </cell>
          <cell r="F84" t="str">
            <v>Motor Vehicle Expenses (SLS) - 6120030</v>
          </cell>
          <cell r="G84" t="str">
            <v>OE</v>
          </cell>
        </row>
        <row r="85">
          <cell r="E85" t="str">
            <v>6120040</v>
          </cell>
          <cell r="F85" t="str">
            <v>Train &amp; Taxi Fares (SLS) - 6120040</v>
          </cell>
          <cell r="G85" t="str">
            <v>OE</v>
          </cell>
        </row>
        <row r="86">
          <cell r="E86" t="str">
            <v>6120050</v>
          </cell>
          <cell r="F86" t="str">
            <v>Car Hire (SLS) - 6120050</v>
          </cell>
          <cell r="G86" t="str">
            <v>OE</v>
          </cell>
        </row>
        <row r="87">
          <cell r="E87" t="str">
            <v>6120070</v>
          </cell>
          <cell r="F87" t="str">
            <v>Accomodation (SLS) - 6120070</v>
          </cell>
          <cell r="G87" t="str">
            <v>OE</v>
          </cell>
        </row>
        <row r="88">
          <cell r="E88" t="str">
            <v>6120100</v>
          </cell>
          <cell r="F88" t="str">
            <v>Meals (SLS) - 6120100</v>
          </cell>
          <cell r="G88" t="str">
            <v>OE</v>
          </cell>
        </row>
        <row r="89">
          <cell r="E89" t="str">
            <v>6120110</v>
          </cell>
          <cell r="F89" t="str">
            <v>Other Travel (SLS) - 6120110</v>
          </cell>
          <cell r="G89" t="str">
            <v>OE</v>
          </cell>
        </row>
        <row r="90">
          <cell r="E90" t="str">
            <v>6120300</v>
          </cell>
          <cell r="F90" t="str">
            <v>Entertainment (SLS) - 6120300</v>
          </cell>
          <cell r="G90" t="str">
            <v>OE</v>
          </cell>
        </row>
        <row r="91">
          <cell r="E91" t="str">
            <v>6120400</v>
          </cell>
          <cell r="F91" t="str">
            <v>Seminar/Conference (SLS) - 6120400</v>
          </cell>
          <cell r="G91" t="str">
            <v>OE</v>
          </cell>
        </row>
        <row r="92">
          <cell r="E92" t="str">
            <v>6130100</v>
          </cell>
          <cell r="F92" t="str">
            <v>General / Office Supplies(SLS) - 6130100</v>
          </cell>
          <cell r="G92" t="str">
            <v>OE</v>
          </cell>
        </row>
        <row r="93">
          <cell r="E93" t="str">
            <v>6130100</v>
          </cell>
          <cell r="F93" t="str">
            <v>Stationery - 6130100</v>
          </cell>
          <cell r="G93" t="str">
            <v>OE</v>
          </cell>
        </row>
        <row r="94">
          <cell r="E94" t="str">
            <v>6130200</v>
          </cell>
          <cell r="F94" t="str">
            <v>Exp. Assets USGAAP Rs 45K (SLS) - 6130200</v>
          </cell>
          <cell r="G94" t="str">
            <v>OE</v>
          </cell>
        </row>
        <row r="95">
          <cell r="E95" t="str">
            <v>6130250</v>
          </cell>
          <cell r="F95" t="str">
            <v>Expensed Assets - Local Tax (SLS)- 6130250</v>
          </cell>
          <cell r="G95" t="str">
            <v>OE</v>
          </cell>
        </row>
        <row r="96">
          <cell r="E96" t="str">
            <v>6130500</v>
          </cell>
          <cell r="F96" t="str">
            <v>Repair &amp; Maint (SLS) - 6130500</v>
          </cell>
          <cell r="G96" t="str">
            <v>OE</v>
          </cell>
        </row>
        <row r="97">
          <cell r="E97" t="str">
            <v>6160100</v>
          </cell>
          <cell r="F97" t="str">
            <v>Dep'n Assets (SLS) - 6160100</v>
          </cell>
          <cell r="G97" t="str">
            <v>OE</v>
          </cell>
        </row>
        <row r="98">
          <cell r="E98" t="str">
            <v>6170200</v>
          </cell>
          <cell r="F98" t="str">
            <v>Telephone Cellular Expense (SLS) - 6170200</v>
          </cell>
          <cell r="G98" t="str">
            <v>OE</v>
          </cell>
        </row>
        <row r="99">
          <cell r="E99" t="str">
            <v>6170250</v>
          </cell>
          <cell r="F99" t="str">
            <v>Internet (SLS) - 6170250</v>
          </cell>
          <cell r="G99" t="str">
            <v>OE</v>
          </cell>
        </row>
        <row r="100">
          <cell r="E100" t="str">
            <v>6170450</v>
          </cell>
          <cell r="F100" t="str">
            <v>Freight &amp; Postage (SLS) - 6170450</v>
          </cell>
          <cell r="G100" t="str">
            <v>OE</v>
          </cell>
        </row>
        <row r="101">
          <cell r="E101" t="str">
            <v>6170550</v>
          </cell>
          <cell r="F101" t="str">
            <v>Subscription &amp; Dues (SLS) - 6170550</v>
          </cell>
          <cell r="G101" t="str">
            <v>OE</v>
          </cell>
        </row>
        <row r="102">
          <cell r="E102" t="str">
            <v>6170950</v>
          </cell>
          <cell r="F102" t="str">
            <v>Other Miscellaneous Expense (SLS) - 6170950</v>
          </cell>
          <cell r="G102" t="str">
            <v>OE</v>
          </cell>
        </row>
        <row r="103">
          <cell r="E103" t="str">
            <v>6190100</v>
          </cell>
          <cell r="F103" t="str">
            <v>Admin Allocation in (SLS) - 6190100</v>
          </cell>
          <cell r="G103" t="str">
            <v>OE</v>
          </cell>
        </row>
        <row r="104">
          <cell r="E104" t="str">
            <v>6210010</v>
          </cell>
          <cell r="F104" t="str">
            <v>Regular Salary (PRS) - 6210010</v>
          </cell>
          <cell r="G104" t="str">
            <v>OE</v>
          </cell>
        </row>
        <row r="105">
          <cell r="E105" t="str">
            <v>6210070</v>
          </cell>
          <cell r="F105" t="str">
            <v>Vacation Accrual (PRS) - 6210070</v>
          </cell>
          <cell r="G105" t="str">
            <v>OE</v>
          </cell>
        </row>
        <row r="106">
          <cell r="E106" t="str">
            <v>6210080</v>
          </cell>
          <cell r="F106" t="str">
            <v>Vacation Taken (PRS) - 6210080</v>
          </cell>
          <cell r="G106" t="str">
            <v>OE</v>
          </cell>
        </row>
        <row r="107">
          <cell r="E107" t="str">
            <v>6210090</v>
          </cell>
          <cell r="F107" t="str">
            <v>Superanuation (PRS) - 6210090</v>
          </cell>
          <cell r="G107" t="str">
            <v>OE</v>
          </cell>
        </row>
        <row r="108">
          <cell r="E108" t="str">
            <v>6210110</v>
          </cell>
          <cell r="F108" t="str">
            <v>Conveyance (PRS) - 6210110</v>
          </cell>
          <cell r="G108" t="str">
            <v>OE</v>
          </cell>
        </row>
        <row r="109">
          <cell r="E109" t="str">
            <v>6210120</v>
          </cell>
          <cell r="F109" t="str">
            <v>HRA (PRS) - 6210120</v>
          </cell>
          <cell r="G109" t="str">
            <v>OE</v>
          </cell>
        </row>
        <row r="110">
          <cell r="E110" t="str">
            <v>6210130</v>
          </cell>
          <cell r="F110" t="str">
            <v>LTA (PRS) - 6210130</v>
          </cell>
          <cell r="G110" t="str">
            <v>OE</v>
          </cell>
        </row>
        <row r="111">
          <cell r="E111" t="str">
            <v>6210140</v>
          </cell>
          <cell r="F111" t="str">
            <v>Special (PRS) - 6210140</v>
          </cell>
          <cell r="G111" t="str">
            <v>OE</v>
          </cell>
        </row>
        <row r="112">
          <cell r="E112" t="str">
            <v>6210170</v>
          </cell>
          <cell r="F112" t="str">
            <v>Medical (PRS) - 6210170</v>
          </cell>
          <cell r="G112" t="str">
            <v>OE</v>
          </cell>
        </row>
        <row r="113">
          <cell r="E113" t="str">
            <v>6210190</v>
          </cell>
          <cell r="F113" t="str">
            <v>Vehicle (PRS) - 6210190</v>
          </cell>
          <cell r="G113" t="str">
            <v>OE</v>
          </cell>
        </row>
        <row r="114">
          <cell r="E114" t="str">
            <v>6210200</v>
          </cell>
          <cell r="F114" t="str">
            <v>Health Insurance (PRS) - 6210200</v>
          </cell>
          <cell r="G114" t="str">
            <v>OE</v>
          </cell>
        </row>
        <row r="115">
          <cell r="E115" t="str">
            <v>6210400</v>
          </cell>
          <cell r="F115" t="str">
            <v>Recruitment (PRS) - 6210400</v>
          </cell>
          <cell r="G115" t="str">
            <v>OE</v>
          </cell>
        </row>
        <row r="116">
          <cell r="E116" t="str">
            <v>6220010</v>
          </cell>
          <cell r="F116" t="str">
            <v>Airfare Domestic (PRS) - 6220010</v>
          </cell>
          <cell r="G116" t="str">
            <v>OE</v>
          </cell>
        </row>
        <row r="117">
          <cell r="E117" t="str">
            <v>6220030</v>
          </cell>
          <cell r="F117" t="str">
            <v>Motor Vehilce (PRS) - 6220030</v>
          </cell>
          <cell r="G117" t="str">
            <v>OE</v>
          </cell>
        </row>
        <row r="118">
          <cell r="E118" t="str">
            <v>6220040</v>
          </cell>
          <cell r="F118" t="str">
            <v>Train &amp; Taxi Fares (PRS) - 6220040</v>
          </cell>
          <cell r="G118" t="str">
            <v>OE</v>
          </cell>
        </row>
        <row r="119">
          <cell r="E119" t="str">
            <v>6220050</v>
          </cell>
          <cell r="F119" t="str">
            <v>Car Hire(PRS) - 6220050</v>
          </cell>
          <cell r="G119" t="str">
            <v>OE</v>
          </cell>
        </row>
        <row r="120">
          <cell r="E120" t="str">
            <v>6220070</v>
          </cell>
          <cell r="F120" t="str">
            <v>Accomdation (PRS) - 6220070</v>
          </cell>
          <cell r="G120" t="str">
            <v>OE</v>
          </cell>
        </row>
        <row r="121">
          <cell r="E121" t="str">
            <v>6220100</v>
          </cell>
          <cell r="F121" t="str">
            <v>Meals (PRS) - 6220100</v>
          </cell>
          <cell r="G121" t="str">
            <v>OE</v>
          </cell>
        </row>
        <row r="122">
          <cell r="E122" t="str">
            <v>6220110</v>
          </cell>
          <cell r="F122" t="str">
            <v>Other Travel (PRS) - 6220110</v>
          </cell>
          <cell r="G122" t="str">
            <v>OE</v>
          </cell>
        </row>
        <row r="123">
          <cell r="E123" t="str">
            <v>6230100</v>
          </cell>
          <cell r="F123" t="str">
            <v>General/ Office Supplies (PRS) - 6230100</v>
          </cell>
          <cell r="G123" t="str">
            <v>OE</v>
          </cell>
        </row>
        <row r="124">
          <cell r="E124" t="str">
            <v>6230200</v>
          </cell>
          <cell r="F124" t="str">
            <v>Expense Assets US GAAP Rs. 45K (PRS) - 6230200</v>
          </cell>
          <cell r="G124" t="str">
            <v>OE</v>
          </cell>
        </row>
        <row r="125">
          <cell r="E125" t="str">
            <v>6260100</v>
          </cell>
          <cell r="F125" t="str">
            <v>Dep'n Assets (PRS) - 6260100</v>
          </cell>
          <cell r="G125" t="str">
            <v>OE</v>
          </cell>
        </row>
        <row r="126">
          <cell r="E126" t="str">
            <v>6270200</v>
          </cell>
          <cell r="F126" t="str">
            <v>Telephone/cellular (PRS) - 6270200</v>
          </cell>
          <cell r="G126" t="str">
            <v>OE</v>
          </cell>
        </row>
        <row r="127">
          <cell r="E127" t="str">
            <v>6270250</v>
          </cell>
          <cell r="F127" t="str">
            <v>Internet (PRS) - 6270250</v>
          </cell>
          <cell r="G127" t="str">
            <v>OE</v>
          </cell>
        </row>
        <row r="128">
          <cell r="E128" t="str">
            <v>6270950</v>
          </cell>
          <cell r="F128" t="str">
            <v>Other Miscellanous Exp (PRS) - 6270950</v>
          </cell>
          <cell r="G128" t="str">
            <v>OE</v>
          </cell>
        </row>
        <row r="129">
          <cell r="E129" t="str">
            <v>6290100</v>
          </cell>
          <cell r="F129" t="str">
            <v>Admin Allocation in (PRS) - 6290100</v>
          </cell>
          <cell r="G129" t="str">
            <v>OE</v>
          </cell>
        </row>
        <row r="130">
          <cell r="E130" t="str">
            <v>6410010</v>
          </cell>
          <cell r="F130" t="str">
            <v>Regular Salary (SVC) - 6410010</v>
          </cell>
          <cell r="G130" t="str">
            <v>OE</v>
          </cell>
        </row>
        <row r="131">
          <cell r="E131" t="str">
            <v>6410070</v>
          </cell>
          <cell r="F131" t="str">
            <v>Vacation Accrual (SVC) - 6410070</v>
          </cell>
          <cell r="G131" t="str">
            <v>OE</v>
          </cell>
        </row>
        <row r="132">
          <cell r="E132" t="str">
            <v>6410090</v>
          </cell>
          <cell r="F132" t="str">
            <v>Superanuation (SVC) - 6410090</v>
          </cell>
          <cell r="G132" t="str">
            <v>OE</v>
          </cell>
        </row>
        <row r="133">
          <cell r="E133" t="str">
            <v>6410120</v>
          </cell>
          <cell r="F133" t="str">
            <v>HRA (SVC) - 6410120</v>
          </cell>
          <cell r="G133" t="str">
            <v>OE</v>
          </cell>
        </row>
        <row r="134">
          <cell r="E134" t="str">
            <v>6410130</v>
          </cell>
          <cell r="F134" t="str">
            <v>LTA (SVC) - 6410130</v>
          </cell>
          <cell r="G134" t="str">
            <v>OE</v>
          </cell>
        </row>
        <row r="135">
          <cell r="E135" t="str">
            <v>6410140</v>
          </cell>
          <cell r="F135" t="str">
            <v>Special (SVC) - 6410140</v>
          </cell>
          <cell r="G135" t="str">
            <v>OE</v>
          </cell>
        </row>
        <row r="136">
          <cell r="E136" t="str">
            <v>6410170</v>
          </cell>
          <cell r="F136" t="str">
            <v>Medical (SVC) - 6410170</v>
          </cell>
          <cell r="G136" t="str">
            <v>OE</v>
          </cell>
        </row>
        <row r="137">
          <cell r="E137" t="str">
            <v>6410180</v>
          </cell>
          <cell r="F137" t="str">
            <v>Bonus (PRS) - 6410180</v>
          </cell>
          <cell r="G137" t="str">
            <v>OE</v>
          </cell>
        </row>
        <row r="138">
          <cell r="E138" t="str">
            <v>6410200</v>
          </cell>
          <cell r="F138" t="str">
            <v>Health Plan (SVC) - 6410200</v>
          </cell>
          <cell r="G138" t="str">
            <v>OE</v>
          </cell>
        </row>
        <row r="139">
          <cell r="E139" t="str">
            <v>6410230</v>
          </cell>
          <cell r="F139" t="str">
            <v>Life Insurance - 6110230 (SVC)</v>
          </cell>
          <cell r="G139" t="str">
            <v>OE</v>
          </cell>
        </row>
        <row r="140">
          <cell r="E140" t="str">
            <v>6420010</v>
          </cell>
          <cell r="F140" t="str">
            <v>Airfare Domestic (SVC) - 6420010</v>
          </cell>
          <cell r="G140" t="str">
            <v>OE</v>
          </cell>
        </row>
        <row r="141">
          <cell r="E141" t="str">
            <v>6420020</v>
          </cell>
          <cell r="F141" t="str">
            <v>Airfare International (SVC) - 6420020</v>
          </cell>
          <cell r="G141" t="str">
            <v>OE</v>
          </cell>
        </row>
        <row r="142">
          <cell r="E142" t="str">
            <v>6420030</v>
          </cell>
          <cell r="F142" t="str">
            <v>Motor Vehicle (SVC) - 6420030</v>
          </cell>
          <cell r="G142" t="str">
            <v>OE</v>
          </cell>
        </row>
        <row r="143">
          <cell r="E143" t="str">
            <v>6420040</v>
          </cell>
          <cell r="F143" t="str">
            <v>Train &amp; Taxi Fare (SVC) - 6420040</v>
          </cell>
          <cell r="G143" t="str">
            <v>OE</v>
          </cell>
        </row>
        <row r="144">
          <cell r="E144" t="str">
            <v>6420050</v>
          </cell>
          <cell r="F144" t="str">
            <v>Car Hire (SVC) - 6420050</v>
          </cell>
          <cell r="G144" t="str">
            <v>OE</v>
          </cell>
        </row>
        <row r="145">
          <cell r="E145" t="str">
            <v>6420070</v>
          </cell>
          <cell r="F145" t="str">
            <v>Accomdation (SVC) - 6420070</v>
          </cell>
          <cell r="G145" t="str">
            <v>OE</v>
          </cell>
        </row>
        <row r="146">
          <cell r="E146" t="str">
            <v>6420100</v>
          </cell>
          <cell r="F146" t="str">
            <v>Meals (SVC) - 6420100</v>
          </cell>
          <cell r="G146" t="str">
            <v>OE</v>
          </cell>
        </row>
        <row r="147">
          <cell r="E147" t="str">
            <v>6420110</v>
          </cell>
          <cell r="F147" t="str">
            <v>Other Travel (SVC) - 6420110</v>
          </cell>
          <cell r="G147" t="str">
            <v>OE</v>
          </cell>
        </row>
        <row r="148">
          <cell r="E148" t="str">
            <v>6420300</v>
          </cell>
          <cell r="F148" t="str">
            <v>Entertainment (TD) (SVC) - 6420300</v>
          </cell>
          <cell r="G148" t="str">
            <v>OE</v>
          </cell>
        </row>
        <row r="149">
          <cell r="E149" t="str">
            <v>6430010</v>
          </cell>
          <cell r="F149" t="str">
            <v>General/office Supplies (SVC) - 6430010</v>
          </cell>
          <cell r="G149" t="str">
            <v>OE</v>
          </cell>
        </row>
        <row r="150">
          <cell r="E150" t="str">
            <v>6430200</v>
          </cell>
          <cell r="F150" t="str">
            <v>Exp. Assets USGAAP RS45K (SVC) - 6430200</v>
          </cell>
          <cell r="G150" t="str">
            <v>OE</v>
          </cell>
        </row>
        <row r="151">
          <cell r="E151" t="str">
            <v>6430250</v>
          </cell>
          <cell r="F151" t="str">
            <v>Expensed Assets - Local Tax (SVC) - 6430250</v>
          </cell>
          <cell r="G151" t="str">
            <v>OE</v>
          </cell>
        </row>
        <row r="152">
          <cell r="E152" t="str">
            <v>6460100</v>
          </cell>
          <cell r="F152" t="str">
            <v>Dep'n Assets (SVC) - 6460100</v>
          </cell>
          <cell r="G152" t="str">
            <v>OE</v>
          </cell>
        </row>
        <row r="153">
          <cell r="E153" t="str">
            <v>6470200</v>
          </cell>
          <cell r="F153" t="str">
            <v>Telephone/Cellular (SVC) - 6470200</v>
          </cell>
          <cell r="G153" t="str">
            <v>OE</v>
          </cell>
        </row>
        <row r="154">
          <cell r="E154" t="str">
            <v>6470250</v>
          </cell>
          <cell r="F154" t="str">
            <v>Internet (SVC) - 6470250</v>
          </cell>
          <cell r="G154" t="str">
            <v>OE</v>
          </cell>
        </row>
        <row r="155">
          <cell r="E155" t="str">
            <v>6470450</v>
          </cell>
          <cell r="F155" t="str">
            <v>Freight &amp; Postage (SVC) - 6470450</v>
          </cell>
          <cell r="G155" t="str">
            <v>OE</v>
          </cell>
        </row>
        <row r="156">
          <cell r="E156" t="str">
            <v>6470950</v>
          </cell>
          <cell r="F156" t="str">
            <v>Other Miscellaneous Expenses (SVC) - 6470950</v>
          </cell>
          <cell r="G156" t="str">
            <v>OE</v>
          </cell>
        </row>
        <row r="157">
          <cell r="E157" t="str">
            <v>6490100</v>
          </cell>
          <cell r="F157" t="str">
            <v>Admin Allocation in (SVC) - 6490100</v>
          </cell>
          <cell r="G157" t="str">
            <v>OE</v>
          </cell>
        </row>
        <row r="158">
          <cell r="E158" t="str">
            <v>6830010</v>
          </cell>
          <cell r="F158" t="str">
            <v>General/office Supplies (ADM) - 6830010</v>
          </cell>
          <cell r="G158" t="str">
            <v>OE</v>
          </cell>
        </row>
        <row r="159">
          <cell r="E159" t="str">
            <v>6850100</v>
          </cell>
          <cell r="F159" t="str">
            <v>Legal &amp; Professional (ADM) - 6850100</v>
          </cell>
          <cell r="G159" t="str">
            <v>OE</v>
          </cell>
        </row>
        <row r="160">
          <cell r="E160" t="str">
            <v>6850150</v>
          </cell>
          <cell r="F160" t="str">
            <v>Accounting &amp; Advisory Services - 6850150</v>
          </cell>
          <cell r="G160" t="str">
            <v>OE</v>
          </cell>
        </row>
        <row r="161">
          <cell r="E161" t="str">
            <v>6850250</v>
          </cell>
          <cell r="F161" t="str">
            <v>Other Outside Services (ADM) - 6850250</v>
          </cell>
          <cell r="G161" t="str">
            <v>OE</v>
          </cell>
        </row>
        <row r="162">
          <cell r="E162" t="str">
            <v>6860100</v>
          </cell>
          <cell r="F162" t="str">
            <v>Dep'n Assets (ADM) - 6860100</v>
          </cell>
          <cell r="G162" t="str">
            <v>OE</v>
          </cell>
        </row>
        <row r="163">
          <cell r="E163" t="str">
            <v>6870010</v>
          </cell>
          <cell r="F163" t="str">
            <v>Rent (ADM) - 6870010</v>
          </cell>
          <cell r="G163" t="str">
            <v>OE</v>
          </cell>
        </row>
        <row r="164">
          <cell r="E164" t="str">
            <v>6870100</v>
          </cell>
          <cell r="F164" t="str">
            <v>Contract Service- Office Admin. - 6870100</v>
          </cell>
          <cell r="G164" t="str">
            <v>OE</v>
          </cell>
        </row>
        <row r="165">
          <cell r="E165" t="str">
            <v>6870200</v>
          </cell>
          <cell r="F165" t="str">
            <v>Telephone/Cellular (ADM) - 6870200</v>
          </cell>
          <cell r="G165" t="str">
            <v>OE</v>
          </cell>
        </row>
        <row r="166">
          <cell r="E166" t="str">
            <v>6870320</v>
          </cell>
          <cell r="F166" t="str">
            <v>Property Insurnace (ADM) - 6870320</v>
          </cell>
          <cell r="G166" t="str">
            <v>OE</v>
          </cell>
        </row>
        <row r="167">
          <cell r="E167" t="str">
            <v>6870500</v>
          </cell>
          <cell r="F167" t="str">
            <v>Bank Charges (ADM) - 6870500</v>
          </cell>
          <cell r="G167" t="str">
            <v>OE</v>
          </cell>
        </row>
        <row r="168">
          <cell r="E168" t="str">
            <v>6870900</v>
          </cell>
          <cell r="F168" t="str">
            <v>Other Facility (ADM)- 6870900</v>
          </cell>
          <cell r="G168" t="str">
            <v>OE</v>
          </cell>
        </row>
        <row r="169">
          <cell r="E169" t="str">
            <v>6870950</v>
          </cell>
          <cell r="F169" t="str">
            <v>Other Miscellaneous Exp (ADM) - 6870950</v>
          </cell>
          <cell r="G169" t="str">
            <v>OE</v>
          </cell>
        </row>
        <row r="170">
          <cell r="E170" t="str">
            <v>6890200</v>
          </cell>
          <cell r="F170" t="str">
            <v>Admin Allocation Out (ADM) - 6890200</v>
          </cell>
          <cell r="G170" t="str">
            <v>OE</v>
          </cell>
        </row>
        <row r="171">
          <cell r="E171" t="str">
            <v>6950150</v>
          </cell>
          <cell r="F171" t="str">
            <v>Accounting &amp; Advisory (FIN) - 6950150</v>
          </cell>
          <cell r="G171" t="str">
            <v>OE</v>
          </cell>
        </row>
        <row r="172">
          <cell r="E172" t="str">
            <v>6950180</v>
          </cell>
          <cell r="F172" t="str">
            <v>Audit Fees (FIN) - 6950180</v>
          </cell>
          <cell r="G172" t="str">
            <v>OE</v>
          </cell>
        </row>
        <row r="173">
          <cell r="E173" t="str">
            <v>6950200</v>
          </cell>
          <cell r="F173" t="str">
            <v>Tax Services (FIN) - 6950200</v>
          </cell>
          <cell r="G173" t="str">
            <v>OE</v>
          </cell>
        </row>
        <row r="174">
          <cell r="E174" t="str">
            <v>6950250</v>
          </cell>
          <cell r="F174" t="str">
            <v>Other Outside Services (FIN) - 6950250</v>
          </cell>
          <cell r="G174" t="str">
            <v>OE</v>
          </cell>
        </row>
        <row r="175">
          <cell r="E175" t="str">
            <v>7000200</v>
          </cell>
          <cell r="F175" t="str">
            <v>Unrealised FX Gain - 7000200</v>
          </cell>
          <cell r="G175" t="str">
            <v>NOI</v>
          </cell>
        </row>
        <row r="176">
          <cell r="E176" t="str">
            <v>7000250</v>
          </cell>
          <cell r="F176" t="str">
            <v>FX Gain - 7000250</v>
          </cell>
          <cell r="G176" t="str">
            <v>NOI</v>
          </cell>
        </row>
        <row r="177">
          <cell r="E177" t="str">
            <v>8000300</v>
          </cell>
          <cell r="F177" t="str">
            <v>Interest Expenses- 8000300</v>
          </cell>
          <cell r="G177" t="str">
            <v>Int</v>
          </cell>
        </row>
        <row r="178">
          <cell r="E178" t="str">
            <v>8000980</v>
          </cell>
          <cell r="F178" t="str">
            <v>Preliminary Expenses Written Off- 8000980</v>
          </cell>
          <cell r="G178" t="str">
            <v>NOE</v>
          </cell>
        </row>
        <row r="179">
          <cell r="E179" t="str">
            <v>9000100</v>
          </cell>
          <cell r="F179" t="str">
            <v>Income Tax Expense - 9000100</v>
          </cell>
          <cell r="G179" t="str">
            <v>Tax</v>
          </cell>
        </row>
      </sheetData>
      <sheetData sheetId="3"/>
      <sheetData sheetId="4">
        <row r="4">
          <cell r="H4" t="str">
            <v>1001100 - HSBC Operating</v>
          </cell>
          <cell r="I4">
            <v>2839381.17</v>
          </cell>
          <cell r="J4">
            <v>71.7</v>
          </cell>
          <cell r="K4">
            <v>1226062.23</v>
          </cell>
          <cell r="L4">
            <v>1613390.6400000001</v>
          </cell>
          <cell r="N4">
            <v>1613390.6400000001</v>
          </cell>
        </row>
        <row r="5">
          <cell r="H5" t="str">
            <v>1001200 - Grant Thornton Trust A/c</v>
          </cell>
          <cell r="I5">
            <v>0</v>
          </cell>
          <cell r="J5">
            <v>0</v>
          </cell>
          <cell r="K5">
            <v>0</v>
          </cell>
          <cell r="L5">
            <v>0</v>
          </cell>
          <cell r="N5">
            <v>0</v>
          </cell>
        </row>
        <row r="6">
          <cell r="H6" t="str">
            <v>1001300 - CBI UCC A/c</v>
          </cell>
          <cell r="I6">
            <v>0</v>
          </cell>
          <cell r="J6">
            <v>283749</v>
          </cell>
          <cell r="K6">
            <v>283749</v>
          </cell>
          <cell r="L6">
            <v>0</v>
          </cell>
          <cell r="N6">
            <v>0</v>
          </cell>
        </row>
        <row r="7">
          <cell r="H7" t="str">
            <v>1020001 - I/C Receivable Cray Inc</v>
          </cell>
          <cell r="I7">
            <v>587553</v>
          </cell>
          <cell r="J7">
            <v>0</v>
          </cell>
          <cell r="K7">
            <v>3115083</v>
          </cell>
          <cell r="L7">
            <v>-2527530</v>
          </cell>
          <cell r="N7">
            <v>-2527530</v>
          </cell>
        </row>
        <row r="8">
          <cell r="H8" t="str">
            <v>1031000 - Prepaid Insurance</v>
          </cell>
          <cell r="I8">
            <v>181484</v>
          </cell>
          <cell r="J8">
            <v>29640</v>
          </cell>
          <cell r="K8">
            <v>28221</v>
          </cell>
          <cell r="L8">
            <v>182903</v>
          </cell>
          <cell r="N8">
            <v>182903</v>
          </cell>
        </row>
        <row r="9">
          <cell r="H9" t="str">
            <v>1031300 - Prepaid Facility Costs</v>
          </cell>
          <cell r="I9">
            <v>72185.850000000006</v>
          </cell>
          <cell r="J9">
            <v>72186.13</v>
          </cell>
          <cell r="K9">
            <v>72185.83</v>
          </cell>
          <cell r="L9">
            <v>72186.150000000009</v>
          </cell>
          <cell r="N9">
            <v>72186.150000000009</v>
          </cell>
        </row>
        <row r="10">
          <cell r="H10" t="str">
            <v>1031900 - Prepaid Other</v>
          </cell>
          <cell r="I10">
            <v>0</v>
          </cell>
          <cell r="J10">
            <v>0</v>
          </cell>
          <cell r="K10">
            <v>0</v>
          </cell>
          <cell r="L10">
            <v>0</v>
          </cell>
          <cell r="N10">
            <v>0</v>
          </cell>
        </row>
        <row r="11">
          <cell r="H11" t="str">
            <v>1033000 - Sudhakar Advance</v>
          </cell>
          <cell r="I11">
            <v>0</v>
          </cell>
          <cell r="J11">
            <v>0</v>
          </cell>
          <cell r="K11">
            <v>0</v>
          </cell>
          <cell r="L11">
            <v>0</v>
          </cell>
          <cell r="N11">
            <v>0</v>
          </cell>
        </row>
        <row r="12">
          <cell r="H12" t="str">
            <v>1059000 - Preoperating Expenses</v>
          </cell>
          <cell r="I12">
            <v>0</v>
          </cell>
          <cell r="J12">
            <v>0</v>
          </cell>
          <cell r="K12">
            <v>0</v>
          </cell>
          <cell r="L12">
            <v>0</v>
          </cell>
          <cell r="N12">
            <v>0</v>
          </cell>
        </row>
        <row r="13">
          <cell r="H13" t="str">
            <v>1132000 - Accrued Revenue</v>
          </cell>
          <cell r="I13">
            <v>0</v>
          </cell>
          <cell r="J13">
            <v>0</v>
          </cell>
          <cell r="K13">
            <v>0</v>
          </cell>
          <cell r="L13">
            <v>0</v>
          </cell>
          <cell r="N13">
            <v>0</v>
          </cell>
        </row>
        <row r="14">
          <cell r="H14" t="str">
            <v>1161100 - Data Equipments</v>
          </cell>
          <cell r="I14">
            <v>71343</v>
          </cell>
          <cell r="J14">
            <v>0</v>
          </cell>
          <cell r="K14">
            <v>0</v>
          </cell>
          <cell r="L14">
            <v>71343</v>
          </cell>
          <cell r="N14">
            <v>71343</v>
          </cell>
        </row>
        <row r="15">
          <cell r="H15" t="str">
            <v>1161150 - Accum Depn Data Equipment</v>
          </cell>
          <cell r="I15">
            <v>-15589</v>
          </cell>
          <cell r="J15">
            <v>0</v>
          </cell>
          <cell r="K15">
            <v>2601</v>
          </cell>
          <cell r="L15">
            <v>-18190</v>
          </cell>
          <cell r="N15">
            <v>-18190</v>
          </cell>
        </row>
        <row r="16">
          <cell r="H16" t="str">
            <v>1161300 - Office Equipment</v>
          </cell>
          <cell r="I16">
            <v>58279</v>
          </cell>
          <cell r="J16">
            <v>0</v>
          </cell>
          <cell r="K16">
            <v>0</v>
          </cell>
          <cell r="L16">
            <v>58279</v>
          </cell>
          <cell r="N16">
            <v>58279</v>
          </cell>
        </row>
        <row r="17">
          <cell r="H17" t="str">
            <v>1161350 - Accum Depn Office Equipment</v>
          </cell>
          <cell r="I17">
            <v>-31931</v>
          </cell>
          <cell r="J17">
            <v>0</v>
          </cell>
          <cell r="K17">
            <v>3503</v>
          </cell>
          <cell r="L17">
            <v>-35434</v>
          </cell>
          <cell r="N17">
            <v>-35434</v>
          </cell>
        </row>
        <row r="18">
          <cell r="H18" t="str">
            <v>1171100 - Facility Deposit</v>
          </cell>
          <cell r="I18">
            <v>157500</v>
          </cell>
          <cell r="J18">
            <v>10000</v>
          </cell>
          <cell r="K18">
            <v>0</v>
          </cell>
          <cell r="L18">
            <v>167500</v>
          </cell>
          <cell r="N18">
            <v>167500</v>
          </cell>
        </row>
        <row r="19">
          <cell r="H19" t="str">
            <v>1171200 - Bid/performance Deposit</v>
          </cell>
          <cell r="I19">
            <v>2800000</v>
          </cell>
          <cell r="J19">
            <v>0</v>
          </cell>
          <cell r="K19">
            <v>0</v>
          </cell>
          <cell r="L19">
            <v>2800000</v>
          </cell>
          <cell r="N19">
            <v>2800000</v>
          </cell>
        </row>
        <row r="20">
          <cell r="H20" t="str">
            <v>1171300 - Other Refundable Deposits</v>
          </cell>
          <cell r="I20">
            <v>0</v>
          </cell>
          <cell r="J20">
            <v>10000</v>
          </cell>
          <cell r="K20">
            <v>10000</v>
          </cell>
          <cell r="L20">
            <v>0</v>
          </cell>
          <cell r="N20">
            <v>0</v>
          </cell>
        </row>
        <row r="21">
          <cell r="H21" t="str">
            <v>1175100 - Deferred Tax Asset</v>
          </cell>
          <cell r="I21">
            <v>201504</v>
          </cell>
          <cell r="J21">
            <v>0</v>
          </cell>
          <cell r="K21">
            <v>0</v>
          </cell>
          <cell r="L21">
            <v>201504</v>
          </cell>
          <cell r="N21">
            <v>201504</v>
          </cell>
        </row>
        <row r="22">
          <cell r="H22" t="str">
            <v>1291000 - Preliminary Expenses</v>
          </cell>
          <cell r="I22">
            <v>0</v>
          </cell>
          <cell r="J22">
            <v>0</v>
          </cell>
          <cell r="K22">
            <v>0</v>
          </cell>
          <cell r="L22">
            <v>0</v>
          </cell>
          <cell r="N22">
            <v>0</v>
          </cell>
        </row>
        <row r="23">
          <cell r="H23" t="str">
            <v>2010000 - Accounts Payable</v>
          </cell>
          <cell r="I23">
            <v>-319928</v>
          </cell>
          <cell r="J23">
            <v>941067.17999999993</v>
          </cell>
          <cell r="K23">
            <v>746731.83</v>
          </cell>
          <cell r="L23">
            <v>-125592.65000000002</v>
          </cell>
          <cell r="N23">
            <v>-125592.65000000002</v>
          </cell>
        </row>
        <row r="24">
          <cell r="H24" t="str">
            <v>2010000 - Ashok Chaudhary (Salary)</v>
          </cell>
          <cell r="L24">
            <v>0</v>
          </cell>
          <cell r="N24">
            <v>0</v>
          </cell>
        </row>
        <row r="25">
          <cell r="H25" t="str">
            <v>2010000 - Change Chit Leang</v>
          </cell>
          <cell r="L25">
            <v>0</v>
          </cell>
          <cell r="N25">
            <v>0</v>
          </cell>
        </row>
        <row r="26">
          <cell r="H26" t="str">
            <v>2010000 - HDFC Ergo General Insurance Co Ltd</v>
          </cell>
          <cell r="L26">
            <v>0</v>
          </cell>
          <cell r="N26">
            <v>0</v>
          </cell>
        </row>
        <row r="27">
          <cell r="H27" t="str">
            <v>2010000 - Indirect Expenses</v>
          </cell>
          <cell r="L27">
            <v>0</v>
          </cell>
          <cell r="N27">
            <v>0</v>
          </cell>
        </row>
        <row r="28">
          <cell r="H28" t="str">
            <v>2010000 - Indosoftnet Solutions &amp; Consultant</v>
          </cell>
          <cell r="L28">
            <v>0</v>
          </cell>
          <cell r="N28">
            <v>0</v>
          </cell>
        </row>
        <row r="29">
          <cell r="H29" t="str">
            <v>2010000 - Regus Buisness Centre (Delhi) Pvt Ltd</v>
          </cell>
          <cell r="L29">
            <v>0</v>
          </cell>
          <cell r="N29">
            <v>0</v>
          </cell>
        </row>
        <row r="30">
          <cell r="H30" t="str">
            <v>2010000 - Rudraksha Bhusan Banerjee</v>
          </cell>
          <cell r="L30">
            <v>0</v>
          </cell>
          <cell r="N30">
            <v>0</v>
          </cell>
        </row>
        <row r="31">
          <cell r="H31" t="str">
            <v>2010000 - Sudhaker Yerneni (Salary)</v>
          </cell>
          <cell r="L31">
            <v>0</v>
          </cell>
          <cell r="N31">
            <v>0</v>
          </cell>
        </row>
        <row r="32">
          <cell r="H32" t="str">
            <v>2010000 - Umesh Chand &amp; Co.</v>
          </cell>
          <cell r="L32">
            <v>0</v>
          </cell>
          <cell r="N32">
            <v>0</v>
          </cell>
        </row>
        <row r="33">
          <cell r="H33" t="str">
            <v>2020001 - I/C Payable Cray Inc</v>
          </cell>
          <cell r="I33">
            <v>0</v>
          </cell>
          <cell r="J33">
            <v>0</v>
          </cell>
          <cell r="K33">
            <v>0</v>
          </cell>
          <cell r="L33">
            <v>0</v>
          </cell>
          <cell r="N33">
            <v>0</v>
          </cell>
        </row>
        <row r="34">
          <cell r="H34" t="str">
            <v>2032100 - Accrued Payroll</v>
          </cell>
          <cell r="I34">
            <v>0</v>
          </cell>
          <cell r="J34">
            <v>0</v>
          </cell>
          <cell r="K34">
            <v>0</v>
          </cell>
          <cell r="L34">
            <v>0</v>
          </cell>
          <cell r="N34">
            <v>0</v>
          </cell>
        </row>
        <row r="35">
          <cell r="H35" t="str">
            <v>2032100 - Accrued Reimbursement</v>
          </cell>
          <cell r="I35">
            <v>0</v>
          </cell>
          <cell r="J35">
            <v>0</v>
          </cell>
          <cell r="K35">
            <v>0</v>
          </cell>
          <cell r="L35">
            <v>0</v>
          </cell>
          <cell r="N35">
            <v>0</v>
          </cell>
        </row>
        <row r="36">
          <cell r="H36" t="str">
            <v>2032500 - Accrued Commission</v>
          </cell>
          <cell r="I36">
            <v>0</v>
          </cell>
          <cell r="J36">
            <v>0</v>
          </cell>
          <cell r="K36">
            <v>0</v>
          </cell>
          <cell r="L36">
            <v>0</v>
          </cell>
          <cell r="N36">
            <v>0</v>
          </cell>
        </row>
        <row r="37">
          <cell r="H37" t="str">
            <v>2032700 - Accrued Travel</v>
          </cell>
          <cell r="I37">
            <v>0</v>
          </cell>
          <cell r="J37">
            <v>0</v>
          </cell>
          <cell r="K37">
            <v>0</v>
          </cell>
          <cell r="L37">
            <v>0</v>
          </cell>
          <cell r="N37">
            <v>0</v>
          </cell>
        </row>
        <row r="38">
          <cell r="H38" t="str">
            <v>2032900 - Accrued Other</v>
          </cell>
          <cell r="I38">
            <v>-225917</v>
          </cell>
          <cell r="J38">
            <v>38605</v>
          </cell>
          <cell r="K38">
            <v>80218</v>
          </cell>
          <cell r="L38">
            <v>-267530</v>
          </cell>
          <cell r="N38">
            <v>-267530</v>
          </cell>
        </row>
        <row r="39">
          <cell r="H39" t="str">
            <v>2043100 - TDS Payroll</v>
          </cell>
          <cell r="I39">
            <v>-87720</v>
          </cell>
          <cell r="J39">
            <v>87720</v>
          </cell>
          <cell r="K39">
            <v>137733</v>
          </cell>
          <cell r="L39">
            <v>-137733</v>
          </cell>
          <cell r="N39">
            <v>-137733</v>
          </cell>
        </row>
        <row r="40">
          <cell r="H40" t="str">
            <v>2043200 - TDS PROFESSIONAL</v>
          </cell>
          <cell r="I40">
            <v>-6839</v>
          </cell>
          <cell r="J40">
            <v>6839</v>
          </cell>
          <cell r="K40">
            <v>18187</v>
          </cell>
          <cell r="L40">
            <v>-18187</v>
          </cell>
          <cell r="N40">
            <v>-18187</v>
          </cell>
        </row>
        <row r="41">
          <cell r="H41" t="str">
            <v>2043300 - TDS Contractor</v>
          </cell>
          <cell r="I41">
            <v>-263.14999999999998</v>
          </cell>
          <cell r="J41">
            <v>263.14999999999998</v>
          </cell>
          <cell r="K41">
            <v>222</v>
          </cell>
          <cell r="L41">
            <v>-222</v>
          </cell>
          <cell r="N41">
            <v>-222</v>
          </cell>
        </row>
        <row r="42">
          <cell r="H42" t="str">
            <v>2043400 - TDS Rent</v>
          </cell>
          <cell r="I42">
            <v>-5617.5</v>
          </cell>
          <cell r="J42">
            <v>5618</v>
          </cell>
          <cell r="K42">
            <v>5618.5</v>
          </cell>
          <cell r="L42">
            <v>-5618</v>
          </cell>
          <cell r="N42">
            <v>-5618</v>
          </cell>
        </row>
        <row r="43">
          <cell r="H43" t="str">
            <v>2043500 - Negative Salary (PRS)</v>
          </cell>
          <cell r="I43">
            <v>0</v>
          </cell>
          <cell r="J43">
            <v>0</v>
          </cell>
          <cell r="K43">
            <v>1249</v>
          </cell>
          <cell r="L43">
            <v>-1249</v>
          </cell>
          <cell r="N43">
            <v>-1249</v>
          </cell>
        </row>
        <row r="44">
          <cell r="H44" t="str">
            <v>2043600 - Negative Salary (SLS)</v>
          </cell>
          <cell r="I44">
            <v>0</v>
          </cell>
          <cell r="J44">
            <v>1434</v>
          </cell>
          <cell r="K44">
            <v>0</v>
          </cell>
          <cell r="L44">
            <v>1434</v>
          </cell>
          <cell r="N44">
            <v>1434</v>
          </cell>
        </row>
        <row r="45">
          <cell r="H45" t="str">
            <v>2043700 - Negative Salary (SVC)</v>
          </cell>
          <cell r="I45">
            <v>0</v>
          </cell>
          <cell r="J45">
            <v>0</v>
          </cell>
          <cell r="K45">
            <v>901</v>
          </cell>
          <cell r="L45">
            <v>-901</v>
          </cell>
          <cell r="N45">
            <v>-901</v>
          </cell>
        </row>
        <row r="46">
          <cell r="H46" t="str">
            <v>2045200 - Income Tax Payable</v>
          </cell>
          <cell r="I46">
            <v>-501104</v>
          </cell>
          <cell r="J46">
            <v>0</v>
          </cell>
          <cell r="K46">
            <v>0</v>
          </cell>
          <cell r="L46">
            <v>-501104</v>
          </cell>
          <cell r="N46">
            <v>-501104</v>
          </cell>
        </row>
        <row r="47">
          <cell r="H47" t="str">
            <v>2045300 - Advance Tax</v>
          </cell>
          <cell r="I47">
            <v>439250</v>
          </cell>
          <cell r="J47">
            <v>183309</v>
          </cell>
          <cell r="K47">
            <v>0</v>
          </cell>
          <cell r="L47">
            <v>622559</v>
          </cell>
          <cell r="N47">
            <v>622559</v>
          </cell>
        </row>
        <row r="48">
          <cell r="H48" t="str">
            <v>2045300 - Self Assessment Tax</v>
          </cell>
          <cell r="I48">
            <v>3050</v>
          </cell>
          <cell r="J48">
            <v>0</v>
          </cell>
          <cell r="K48">
            <v>0</v>
          </cell>
          <cell r="L48">
            <v>3050</v>
          </cell>
          <cell r="N48">
            <v>3050</v>
          </cell>
        </row>
        <row r="49">
          <cell r="H49" t="str">
            <v>2052200 - Deferred ST Service Revenue</v>
          </cell>
          <cell r="I49">
            <v>-744586</v>
          </cell>
          <cell r="J49">
            <v>744586</v>
          </cell>
          <cell r="K49">
            <v>0</v>
          </cell>
          <cell r="L49">
            <v>0</v>
          </cell>
          <cell r="N49">
            <v>0</v>
          </cell>
        </row>
        <row r="50">
          <cell r="H50" t="str">
            <v>2181100 - Provision  Vacation</v>
          </cell>
          <cell r="I50">
            <v>-398454</v>
          </cell>
          <cell r="J50">
            <v>76897</v>
          </cell>
          <cell r="K50">
            <v>39773</v>
          </cell>
          <cell r="L50">
            <v>-361330</v>
          </cell>
          <cell r="N50">
            <v>-361330</v>
          </cell>
        </row>
        <row r="51">
          <cell r="H51" t="str">
            <v>2181200 - Provision  Retirement</v>
          </cell>
          <cell r="I51">
            <v>-380786</v>
          </cell>
          <cell r="J51">
            <v>0</v>
          </cell>
          <cell r="K51">
            <v>25900</v>
          </cell>
          <cell r="L51">
            <v>-406686</v>
          </cell>
          <cell r="N51">
            <v>-406686</v>
          </cell>
        </row>
        <row r="52">
          <cell r="H52" t="str">
            <v>3181000 - Share Capital</v>
          </cell>
          <cell r="I52">
            <v>-5000000</v>
          </cell>
          <cell r="J52">
            <v>0</v>
          </cell>
          <cell r="K52">
            <v>0</v>
          </cell>
          <cell r="L52">
            <v>-5000000</v>
          </cell>
          <cell r="N52">
            <v>-5000000</v>
          </cell>
        </row>
        <row r="53">
          <cell r="H53" t="str">
            <v>3182001 - Cray Inc</v>
          </cell>
          <cell r="I53">
            <v>0</v>
          </cell>
          <cell r="J53">
            <v>0</v>
          </cell>
          <cell r="K53">
            <v>0</v>
          </cell>
          <cell r="L53">
            <v>0</v>
          </cell>
          <cell r="N53">
            <v>0</v>
          </cell>
        </row>
        <row r="54">
          <cell r="H54" t="str">
            <v>3189000 - Profit &amp; Loss A/c</v>
          </cell>
          <cell r="I54">
            <v>329680.34999999998</v>
          </cell>
          <cell r="J54">
            <v>0</v>
          </cell>
          <cell r="K54">
            <v>0</v>
          </cell>
          <cell r="L54">
            <v>329680.34999999998</v>
          </cell>
          <cell r="N54">
            <v>329680.34999999998</v>
          </cell>
        </row>
        <row r="55">
          <cell r="H55" t="str">
            <v>4212080 - H/W Contract (X1)</v>
          </cell>
          <cell r="I55">
            <v>-1382622</v>
          </cell>
          <cell r="J55">
            <v>1382622</v>
          </cell>
          <cell r="K55">
            <v>0</v>
          </cell>
          <cell r="L55">
            <v>0</v>
          </cell>
          <cell r="N55">
            <v>0</v>
          </cell>
        </row>
        <row r="56">
          <cell r="H56" t="str">
            <v>4212130 - H/W Contract (XT5)</v>
          </cell>
          <cell r="I56">
            <v>-987875</v>
          </cell>
          <cell r="J56">
            <v>987875</v>
          </cell>
          <cell r="K56">
            <v>0</v>
          </cell>
          <cell r="L56">
            <v>0</v>
          </cell>
          <cell r="N56">
            <v>0</v>
          </cell>
        </row>
        <row r="57">
          <cell r="H57" t="str">
            <v>4401001 - Marketing Cost Recovery</v>
          </cell>
          <cell r="I57">
            <v>-4550578.01</v>
          </cell>
          <cell r="J57">
            <v>0</v>
          </cell>
          <cell r="K57">
            <v>0</v>
          </cell>
          <cell r="L57">
            <v>-4550578.01</v>
          </cell>
          <cell r="N57">
            <v>-4550578.01</v>
          </cell>
        </row>
        <row r="58">
          <cell r="H58" t="str">
            <v>4402001 - Admin Markup Revenue</v>
          </cell>
          <cell r="I58">
            <v>-543191</v>
          </cell>
          <cell r="J58">
            <v>0</v>
          </cell>
          <cell r="K58">
            <v>0</v>
          </cell>
          <cell r="L58">
            <v>-543191</v>
          </cell>
          <cell r="N58">
            <v>-543191</v>
          </cell>
        </row>
        <row r="59">
          <cell r="H59" t="str">
            <v>6110010 - Conveyance Allowances</v>
          </cell>
          <cell r="I59">
            <v>800</v>
          </cell>
          <cell r="J59">
            <v>800</v>
          </cell>
          <cell r="K59">
            <v>0</v>
          </cell>
          <cell r="L59">
            <v>1600</v>
          </cell>
          <cell r="N59">
            <v>1600</v>
          </cell>
        </row>
        <row r="60">
          <cell r="H60" t="str">
            <v>6110010 - HRA</v>
          </cell>
          <cell r="I60">
            <v>0</v>
          </cell>
          <cell r="J60">
            <v>0</v>
          </cell>
          <cell r="K60">
            <v>0</v>
          </cell>
          <cell r="L60">
            <v>0</v>
          </cell>
          <cell r="N60">
            <v>0</v>
          </cell>
        </row>
        <row r="61">
          <cell r="H61" t="str">
            <v>6110010 - LTA</v>
          </cell>
          <cell r="I61">
            <v>0</v>
          </cell>
          <cell r="J61">
            <v>0</v>
          </cell>
          <cell r="K61">
            <v>0</v>
          </cell>
          <cell r="L61">
            <v>0</v>
          </cell>
          <cell r="N61">
            <v>0</v>
          </cell>
        </row>
        <row r="62">
          <cell r="H62" t="str">
            <v>6110010 - Regular Salary (SLS)</v>
          </cell>
          <cell r="I62">
            <v>585200</v>
          </cell>
          <cell r="J62">
            <v>53200</v>
          </cell>
          <cell r="K62">
            <v>0</v>
          </cell>
          <cell r="L62">
            <v>638400</v>
          </cell>
          <cell r="N62">
            <v>638400</v>
          </cell>
        </row>
        <row r="63">
          <cell r="H63" t="str">
            <v>6110010 - Special Allowances</v>
          </cell>
          <cell r="I63">
            <v>0</v>
          </cell>
          <cell r="J63">
            <v>0</v>
          </cell>
          <cell r="K63">
            <v>0</v>
          </cell>
          <cell r="L63">
            <v>0</v>
          </cell>
          <cell r="N63">
            <v>0</v>
          </cell>
        </row>
        <row r="64">
          <cell r="H64" t="str">
            <v>6110030 - Driver Salary</v>
          </cell>
          <cell r="I64">
            <v>0</v>
          </cell>
          <cell r="J64">
            <v>0</v>
          </cell>
          <cell r="K64">
            <v>0</v>
          </cell>
          <cell r="L64">
            <v>0</v>
          </cell>
          <cell r="N64">
            <v>0</v>
          </cell>
        </row>
        <row r="65">
          <cell r="H65" t="str">
            <v>6110030 - Entertainment Reimb</v>
          </cell>
          <cell r="I65">
            <v>0</v>
          </cell>
          <cell r="J65">
            <v>0</v>
          </cell>
          <cell r="K65">
            <v>0</v>
          </cell>
          <cell r="L65">
            <v>0</v>
          </cell>
          <cell r="N65">
            <v>0</v>
          </cell>
        </row>
        <row r="66">
          <cell r="H66" t="str">
            <v>6110030 - Medical</v>
          </cell>
          <cell r="I66">
            <v>0</v>
          </cell>
          <cell r="J66">
            <v>0</v>
          </cell>
          <cell r="K66">
            <v>0</v>
          </cell>
          <cell r="L66">
            <v>0</v>
          </cell>
          <cell r="N66">
            <v>0</v>
          </cell>
        </row>
        <row r="67">
          <cell r="H67" t="str">
            <v>6110030 - Professional Development</v>
          </cell>
          <cell r="I67">
            <v>0</v>
          </cell>
          <cell r="J67">
            <v>0</v>
          </cell>
          <cell r="K67">
            <v>0</v>
          </cell>
          <cell r="L67">
            <v>0</v>
          </cell>
          <cell r="N67">
            <v>0</v>
          </cell>
        </row>
        <row r="68">
          <cell r="H68" t="str">
            <v>6110030 - Vehicle Running &amp; Maint</v>
          </cell>
          <cell r="I68">
            <v>0</v>
          </cell>
          <cell r="J68">
            <v>0</v>
          </cell>
          <cell r="K68">
            <v>0</v>
          </cell>
          <cell r="L68">
            <v>0</v>
          </cell>
          <cell r="N68">
            <v>0</v>
          </cell>
        </row>
        <row r="69">
          <cell r="H69" t="str">
            <v>6110050 - Commissions (SLS)</v>
          </cell>
          <cell r="I69">
            <v>20395</v>
          </cell>
          <cell r="J69">
            <v>0</v>
          </cell>
          <cell r="K69">
            <v>0</v>
          </cell>
          <cell r="L69">
            <v>20395</v>
          </cell>
          <cell r="N69">
            <v>20395</v>
          </cell>
        </row>
        <row r="70">
          <cell r="H70" t="str">
            <v>6110070 - Vacation Accrual (SLS)</v>
          </cell>
          <cell r="I70">
            <v>160561</v>
          </cell>
          <cell r="J70">
            <v>14588</v>
          </cell>
          <cell r="K70">
            <v>61586</v>
          </cell>
          <cell r="L70">
            <v>113563</v>
          </cell>
          <cell r="N70">
            <v>113563</v>
          </cell>
        </row>
        <row r="71">
          <cell r="H71" t="str">
            <v>6110080 - Vacation Taken (SLS)</v>
          </cell>
          <cell r="I71">
            <v>-61149</v>
          </cell>
          <cell r="J71">
            <v>0</v>
          </cell>
          <cell r="K71">
            <v>0</v>
          </cell>
          <cell r="L71">
            <v>-61149</v>
          </cell>
          <cell r="N71">
            <v>-61149</v>
          </cell>
        </row>
        <row r="72">
          <cell r="H72" t="str">
            <v>6110090 - Superannuation (SLS)</v>
          </cell>
          <cell r="I72">
            <v>104500</v>
          </cell>
          <cell r="J72">
            <v>9500</v>
          </cell>
          <cell r="K72">
            <v>0</v>
          </cell>
          <cell r="L72">
            <v>114000</v>
          </cell>
          <cell r="N72">
            <v>114000</v>
          </cell>
        </row>
        <row r="73">
          <cell r="H73" t="str">
            <v>6110110 - Conveyance (SLS)</v>
          </cell>
          <cell r="I73">
            <v>0</v>
          </cell>
          <cell r="J73">
            <v>0</v>
          </cell>
          <cell r="K73">
            <v>0</v>
          </cell>
          <cell r="L73">
            <v>0</v>
          </cell>
          <cell r="N73">
            <v>0</v>
          </cell>
        </row>
        <row r="74">
          <cell r="H74" t="str">
            <v>6110120 - HRA (SLS)</v>
          </cell>
          <cell r="I74">
            <v>234080</v>
          </cell>
          <cell r="J74">
            <v>21280</v>
          </cell>
          <cell r="K74">
            <v>0</v>
          </cell>
          <cell r="L74">
            <v>255360</v>
          </cell>
          <cell r="N74">
            <v>255360</v>
          </cell>
        </row>
        <row r="75">
          <cell r="H75" t="str">
            <v>6110130 - LTA (SLS)</v>
          </cell>
          <cell r="I75">
            <v>321849</v>
          </cell>
          <cell r="J75">
            <v>29259</v>
          </cell>
          <cell r="K75">
            <v>0</v>
          </cell>
          <cell r="L75">
            <v>351108</v>
          </cell>
          <cell r="N75">
            <v>351108</v>
          </cell>
        </row>
        <row r="76">
          <cell r="H76" t="str">
            <v>6110140 - Special (SLS)</v>
          </cell>
          <cell r="I76">
            <v>370821</v>
          </cell>
          <cell r="J76">
            <v>33711</v>
          </cell>
          <cell r="K76">
            <v>0</v>
          </cell>
          <cell r="L76">
            <v>404532</v>
          </cell>
          <cell r="N76">
            <v>404532</v>
          </cell>
        </row>
        <row r="77">
          <cell r="H77" t="str">
            <v>6110150 - Driver (SLS)</v>
          </cell>
          <cell r="I77">
            <v>125400</v>
          </cell>
          <cell r="J77">
            <v>11400</v>
          </cell>
          <cell r="K77">
            <v>0</v>
          </cell>
          <cell r="L77">
            <v>136800</v>
          </cell>
          <cell r="N77">
            <v>136800</v>
          </cell>
        </row>
        <row r="78">
          <cell r="H78" t="str">
            <v>6110160 - Entertainment Reimb (SLS)</v>
          </cell>
          <cell r="I78">
            <v>156750</v>
          </cell>
          <cell r="J78">
            <v>14250</v>
          </cell>
          <cell r="K78">
            <v>0</v>
          </cell>
          <cell r="L78">
            <v>171000</v>
          </cell>
          <cell r="N78">
            <v>171000</v>
          </cell>
        </row>
        <row r="79">
          <cell r="H79" t="str">
            <v>6110170 - Medical (SLS)</v>
          </cell>
          <cell r="I79">
            <v>13750</v>
          </cell>
          <cell r="J79">
            <v>1250</v>
          </cell>
          <cell r="K79">
            <v>0</v>
          </cell>
          <cell r="L79">
            <v>15000</v>
          </cell>
          <cell r="N79">
            <v>15000</v>
          </cell>
        </row>
        <row r="80">
          <cell r="H80" t="str">
            <v>6110180 - Prof Development (SLS)</v>
          </cell>
          <cell r="I80">
            <v>94050</v>
          </cell>
          <cell r="J80">
            <v>8550</v>
          </cell>
          <cell r="K80">
            <v>0</v>
          </cell>
          <cell r="L80">
            <v>102600</v>
          </cell>
          <cell r="N80">
            <v>102600</v>
          </cell>
        </row>
        <row r="81">
          <cell r="H81" t="str">
            <v>6110190 - Vehicle (SLS)</v>
          </cell>
          <cell r="I81">
            <v>187300</v>
          </cell>
          <cell r="J81">
            <v>16300</v>
          </cell>
          <cell r="K81">
            <v>0</v>
          </cell>
          <cell r="L81">
            <v>203600</v>
          </cell>
          <cell r="N81">
            <v>203600</v>
          </cell>
        </row>
        <row r="82">
          <cell r="H82" t="str">
            <v>6110200 - Health Plan (SLS)</v>
          </cell>
          <cell r="I82">
            <v>0</v>
          </cell>
          <cell r="J82">
            <v>18747</v>
          </cell>
          <cell r="K82">
            <v>0</v>
          </cell>
          <cell r="L82">
            <v>18747</v>
          </cell>
          <cell r="N82">
            <v>18747</v>
          </cell>
        </row>
        <row r="83">
          <cell r="H83" t="str">
            <v>6110220 - Life Insurance (SLS)</v>
          </cell>
          <cell r="I83">
            <v>16664</v>
          </cell>
          <cell r="J83">
            <v>8366</v>
          </cell>
          <cell r="K83">
            <v>16664</v>
          </cell>
          <cell r="L83">
            <v>8366</v>
          </cell>
          <cell r="N83">
            <v>8366</v>
          </cell>
        </row>
        <row r="84">
          <cell r="H84" t="str">
            <v>6110230 - Life Insurance (SVC)</v>
          </cell>
          <cell r="I84">
            <v>3023</v>
          </cell>
          <cell r="J84">
            <v>2083</v>
          </cell>
          <cell r="K84">
            <v>0</v>
          </cell>
          <cell r="L84">
            <v>5106</v>
          </cell>
          <cell r="N84">
            <v>5106</v>
          </cell>
        </row>
        <row r="85">
          <cell r="H85" t="str">
            <v>6120010 - Airfare (Domestic) (SLS)</v>
          </cell>
          <cell r="I85">
            <v>530382</v>
          </cell>
          <cell r="J85">
            <v>43701</v>
          </cell>
          <cell r="K85">
            <v>0</v>
          </cell>
          <cell r="L85">
            <v>574083</v>
          </cell>
          <cell r="N85">
            <v>574083</v>
          </cell>
        </row>
        <row r="86">
          <cell r="H86" t="str">
            <v>6120020 - Airfare (International) (SLS)</v>
          </cell>
          <cell r="I86">
            <v>132878</v>
          </cell>
          <cell r="J86">
            <v>0</v>
          </cell>
          <cell r="K86">
            <v>0</v>
          </cell>
          <cell r="L86">
            <v>132878</v>
          </cell>
          <cell r="N86">
            <v>132878</v>
          </cell>
        </row>
        <row r="87">
          <cell r="H87" t="str">
            <v>6120030 - Motor Vehicle Expenses (SLS)</v>
          </cell>
          <cell r="I87">
            <v>34260</v>
          </cell>
          <cell r="J87">
            <v>3000</v>
          </cell>
          <cell r="K87">
            <v>0</v>
          </cell>
          <cell r="L87">
            <v>37260</v>
          </cell>
          <cell r="N87">
            <v>37260</v>
          </cell>
        </row>
        <row r="88">
          <cell r="H88" t="str">
            <v>6120040 - Train &amp; Taxi Fares (SLS)</v>
          </cell>
          <cell r="I88">
            <v>128308</v>
          </cell>
          <cell r="J88">
            <v>11901</v>
          </cell>
          <cell r="K88">
            <v>0</v>
          </cell>
          <cell r="L88">
            <v>140209</v>
          </cell>
          <cell r="N88">
            <v>140209</v>
          </cell>
        </row>
        <row r="89">
          <cell r="H89" t="str">
            <v>6120050 - Car Hire (SLS)</v>
          </cell>
          <cell r="I89">
            <v>1217</v>
          </cell>
          <cell r="J89">
            <v>0</v>
          </cell>
          <cell r="K89">
            <v>0</v>
          </cell>
          <cell r="L89">
            <v>1217</v>
          </cell>
          <cell r="N89">
            <v>1217</v>
          </cell>
        </row>
        <row r="90">
          <cell r="H90" t="str">
            <v>6120070 - Accomodation (SLS)</v>
          </cell>
          <cell r="I90">
            <v>312141</v>
          </cell>
          <cell r="J90">
            <v>11585</v>
          </cell>
          <cell r="K90">
            <v>0</v>
          </cell>
          <cell r="L90">
            <v>323726</v>
          </cell>
          <cell r="N90">
            <v>323726</v>
          </cell>
        </row>
        <row r="91">
          <cell r="H91" t="str">
            <v>6120100 - Meals (SLS)</v>
          </cell>
          <cell r="I91">
            <v>37482</v>
          </cell>
          <cell r="J91">
            <v>6317</v>
          </cell>
          <cell r="K91">
            <v>0</v>
          </cell>
          <cell r="L91">
            <v>43799</v>
          </cell>
          <cell r="N91">
            <v>43799</v>
          </cell>
        </row>
        <row r="92">
          <cell r="H92" t="str">
            <v>6120110 - Other Travel (SLS)</v>
          </cell>
          <cell r="I92">
            <v>2325</v>
          </cell>
          <cell r="J92">
            <v>0</v>
          </cell>
          <cell r="K92">
            <v>0</v>
          </cell>
          <cell r="L92">
            <v>2325</v>
          </cell>
          <cell r="N92">
            <v>2325</v>
          </cell>
        </row>
        <row r="93">
          <cell r="H93" t="str">
            <v>6120300 - Entertainment (SLS)</v>
          </cell>
          <cell r="I93">
            <v>8895</v>
          </cell>
          <cell r="J93">
            <v>0</v>
          </cell>
          <cell r="K93">
            <v>0</v>
          </cell>
          <cell r="L93">
            <v>8895</v>
          </cell>
          <cell r="N93">
            <v>8895</v>
          </cell>
        </row>
        <row r="94">
          <cell r="H94" t="str">
            <v>6120400 - Seminar/Conference (SLS)</v>
          </cell>
          <cell r="I94">
            <v>0</v>
          </cell>
          <cell r="J94">
            <v>0</v>
          </cell>
          <cell r="K94">
            <v>0</v>
          </cell>
          <cell r="L94">
            <v>0</v>
          </cell>
          <cell r="N94">
            <v>0</v>
          </cell>
        </row>
        <row r="95">
          <cell r="H95" t="str">
            <v>6130100 - General / Office Supplies(SLS)</v>
          </cell>
          <cell r="I95">
            <v>13114</v>
          </cell>
          <cell r="J95">
            <v>16150</v>
          </cell>
          <cell r="K95">
            <v>0</v>
          </cell>
          <cell r="L95">
            <v>29264</v>
          </cell>
          <cell r="N95">
            <v>29264</v>
          </cell>
        </row>
        <row r="96">
          <cell r="H96" t="str">
            <v>6130100 - Stationery</v>
          </cell>
          <cell r="I96">
            <v>0</v>
          </cell>
          <cell r="J96">
            <v>0</v>
          </cell>
          <cell r="K96">
            <v>0</v>
          </cell>
          <cell r="L96">
            <v>0</v>
          </cell>
          <cell r="N96">
            <v>0</v>
          </cell>
        </row>
        <row r="97">
          <cell r="H97" t="str">
            <v>6130200 - Exp. Assets USGAAP Rs 45K (SLS)</v>
          </cell>
          <cell r="I97">
            <v>0</v>
          </cell>
          <cell r="J97">
            <v>0</v>
          </cell>
          <cell r="K97">
            <v>0</v>
          </cell>
          <cell r="L97">
            <v>0</v>
          </cell>
          <cell r="N97">
            <v>0</v>
          </cell>
        </row>
        <row r="98">
          <cell r="H98" t="str">
            <v>6130250 - Expensed Assets - Local Tax (SLS)</v>
          </cell>
          <cell r="I98">
            <v>4450</v>
          </cell>
          <cell r="J98">
            <v>0</v>
          </cell>
          <cell r="K98">
            <v>0</v>
          </cell>
          <cell r="L98">
            <v>4450</v>
          </cell>
          <cell r="N98">
            <v>4450</v>
          </cell>
        </row>
        <row r="99">
          <cell r="H99" t="str">
            <v>6130500 - Repair &amp; Maint (SLS)</v>
          </cell>
          <cell r="I99">
            <v>0</v>
          </cell>
          <cell r="J99">
            <v>0</v>
          </cell>
          <cell r="K99">
            <v>0</v>
          </cell>
          <cell r="L99">
            <v>0</v>
          </cell>
          <cell r="N99">
            <v>0</v>
          </cell>
        </row>
        <row r="100">
          <cell r="H100" t="str">
            <v>6160100 - Dep'n Assets (SLS)</v>
          </cell>
          <cell r="I100">
            <v>15796</v>
          </cell>
          <cell r="J100">
            <v>0</v>
          </cell>
          <cell r="K100">
            <v>0</v>
          </cell>
          <cell r="L100">
            <v>15796</v>
          </cell>
          <cell r="N100">
            <v>15796</v>
          </cell>
        </row>
        <row r="101">
          <cell r="H101" t="str">
            <v>6170200 -Telephone Cellular Expense (SLS)</v>
          </cell>
          <cell r="I101">
            <v>39274</v>
          </cell>
          <cell r="J101">
            <v>2400</v>
          </cell>
          <cell r="K101">
            <v>0</v>
          </cell>
          <cell r="L101">
            <v>41674</v>
          </cell>
          <cell r="N101">
            <v>41674</v>
          </cell>
        </row>
        <row r="102">
          <cell r="H102" t="str">
            <v>6170250 - Internet (SLS)</v>
          </cell>
          <cell r="I102">
            <v>19774</v>
          </cell>
          <cell r="J102">
            <v>1455</v>
          </cell>
          <cell r="K102">
            <v>0</v>
          </cell>
          <cell r="L102">
            <v>21229</v>
          </cell>
          <cell r="N102">
            <v>21229</v>
          </cell>
        </row>
        <row r="103">
          <cell r="H103" t="str">
            <v>6170450 - Freight &amp; Postage (SLS)</v>
          </cell>
          <cell r="I103">
            <v>11975</v>
          </cell>
          <cell r="J103">
            <v>0</v>
          </cell>
          <cell r="K103">
            <v>0</v>
          </cell>
          <cell r="L103">
            <v>11975</v>
          </cell>
          <cell r="N103">
            <v>11975</v>
          </cell>
        </row>
        <row r="104">
          <cell r="H104" t="str">
            <v>6170550 - Subscription &amp; Dues (SLS)</v>
          </cell>
          <cell r="I104">
            <v>599</v>
          </cell>
          <cell r="J104">
            <v>0</v>
          </cell>
          <cell r="K104">
            <v>0</v>
          </cell>
          <cell r="L104">
            <v>599</v>
          </cell>
          <cell r="N104">
            <v>599</v>
          </cell>
        </row>
        <row r="105">
          <cell r="H105" t="str">
            <v>6170950 - Other Miscellaneous Expense (SLS)</v>
          </cell>
          <cell r="I105">
            <v>3500</v>
          </cell>
          <cell r="J105">
            <v>0</v>
          </cell>
          <cell r="K105">
            <v>0</v>
          </cell>
          <cell r="L105">
            <v>3500</v>
          </cell>
          <cell r="N105">
            <v>3500</v>
          </cell>
        </row>
        <row r="106">
          <cell r="H106" t="str">
            <v>6190100 - Admin Allocation in (SLS)</v>
          </cell>
          <cell r="I106">
            <v>567485.93999999994</v>
          </cell>
          <cell r="J106">
            <v>0</v>
          </cell>
          <cell r="K106">
            <v>0</v>
          </cell>
          <cell r="L106">
            <v>567485.93999999994</v>
          </cell>
          <cell r="N106">
            <v>567485.93999999994</v>
          </cell>
        </row>
        <row r="107">
          <cell r="H107" t="str">
            <v>6210010 - Regular Salary (PRS)</v>
          </cell>
          <cell r="I107">
            <v>411666</v>
          </cell>
          <cell r="J107">
            <v>57333</v>
          </cell>
          <cell r="K107">
            <v>0</v>
          </cell>
          <cell r="L107">
            <v>468999</v>
          </cell>
          <cell r="N107">
            <v>468999</v>
          </cell>
        </row>
        <row r="108">
          <cell r="H108" t="str">
            <v>6210070 - Vacation Accrual (PRS)</v>
          </cell>
          <cell r="I108">
            <v>71310</v>
          </cell>
          <cell r="J108">
            <v>9022</v>
          </cell>
          <cell r="K108">
            <v>10805</v>
          </cell>
          <cell r="L108">
            <v>69527</v>
          </cell>
          <cell r="N108">
            <v>69527</v>
          </cell>
        </row>
        <row r="109">
          <cell r="H109" t="str">
            <v>6210080 - Vacation Taken (PRS)</v>
          </cell>
          <cell r="I109">
            <v>-31549</v>
          </cell>
          <cell r="J109">
            <v>0</v>
          </cell>
          <cell r="K109">
            <v>0</v>
          </cell>
          <cell r="L109">
            <v>-31549</v>
          </cell>
          <cell r="N109">
            <v>-31549</v>
          </cell>
        </row>
        <row r="110">
          <cell r="H110" t="str">
            <v>6210090 - Superanuation (PRS)</v>
          </cell>
          <cell r="I110">
            <v>44648</v>
          </cell>
          <cell r="J110">
            <v>5875</v>
          </cell>
          <cell r="K110">
            <v>0</v>
          </cell>
          <cell r="L110">
            <v>50523</v>
          </cell>
          <cell r="N110">
            <v>50523</v>
          </cell>
        </row>
        <row r="111">
          <cell r="H111" t="str">
            <v>6210110 - Conveyance (PRS)</v>
          </cell>
          <cell r="I111">
            <v>800</v>
          </cell>
          <cell r="J111">
            <v>800</v>
          </cell>
          <cell r="K111">
            <v>0</v>
          </cell>
          <cell r="L111">
            <v>1600</v>
          </cell>
          <cell r="N111">
            <v>1600</v>
          </cell>
        </row>
        <row r="112">
          <cell r="H112" t="str">
            <v>6210120 - HRA (PRS)</v>
          </cell>
          <cell r="I112">
            <v>198000</v>
          </cell>
          <cell r="J112">
            <v>24750</v>
          </cell>
          <cell r="K112">
            <v>0</v>
          </cell>
          <cell r="L112">
            <v>222750</v>
          </cell>
          <cell r="N112">
            <v>222750</v>
          </cell>
        </row>
        <row r="113">
          <cell r="H113" t="str">
            <v>6210130 - LTA (PRS)</v>
          </cell>
          <cell r="I113">
            <v>87734</v>
          </cell>
          <cell r="J113">
            <v>10967</v>
          </cell>
          <cell r="K113">
            <v>0</v>
          </cell>
          <cell r="L113">
            <v>98701</v>
          </cell>
          <cell r="N113">
            <v>98701</v>
          </cell>
        </row>
        <row r="114">
          <cell r="H114" t="str">
            <v>6210140 - Special (PRS)</v>
          </cell>
          <cell r="I114">
            <v>179196</v>
          </cell>
          <cell r="J114">
            <v>22400</v>
          </cell>
          <cell r="K114">
            <v>0</v>
          </cell>
          <cell r="L114">
            <v>201596</v>
          </cell>
          <cell r="N114">
            <v>201596</v>
          </cell>
        </row>
        <row r="115">
          <cell r="H115" t="str">
            <v>6210170 - Medical (PRS)</v>
          </cell>
          <cell r="I115">
            <v>10000</v>
          </cell>
          <cell r="J115">
            <v>1250</v>
          </cell>
          <cell r="K115">
            <v>0</v>
          </cell>
          <cell r="L115">
            <v>11250</v>
          </cell>
          <cell r="N115">
            <v>11250</v>
          </cell>
        </row>
        <row r="116">
          <cell r="H116" t="str">
            <v>6210190 - Vehicle (PRS)</v>
          </cell>
          <cell r="I116">
            <v>5600</v>
          </cell>
          <cell r="J116">
            <v>0</v>
          </cell>
          <cell r="K116">
            <v>0</v>
          </cell>
          <cell r="L116">
            <v>5600</v>
          </cell>
          <cell r="N116">
            <v>5600</v>
          </cell>
        </row>
        <row r="117">
          <cell r="H117" t="str">
            <v>6210200 - Health Insurance (PRS)</v>
          </cell>
          <cell r="I117">
            <v>8885</v>
          </cell>
          <cell r="J117">
            <v>1587</v>
          </cell>
          <cell r="K117">
            <v>0</v>
          </cell>
          <cell r="L117">
            <v>10472</v>
          </cell>
          <cell r="N117">
            <v>10472</v>
          </cell>
        </row>
        <row r="118">
          <cell r="H118" t="str">
            <v>6210400 - Recruitment  (PRS)</v>
          </cell>
          <cell r="I118">
            <v>1654</v>
          </cell>
          <cell r="J118">
            <v>0</v>
          </cell>
          <cell r="K118">
            <v>0</v>
          </cell>
          <cell r="L118">
            <v>1654</v>
          </cell>
          <cell r="N118">
            <v>1654</v>
          </cell>
        </row>
        <row r="119">
          <cell r="H119" t="str">
            <v>6220010 - Airfare Domestic (PRS)</v>
          </cell>
          <cell r="I119">
            <v>74176</v>
          </cell>
          <cell r="J119">
            <v>0</v>
          </cell>
          <cell r="K119">
            <v>0</v>
          </cell>
          <cell r="L119">
            <v>74176</v>
          </cell>
          <cell r="N119">
            <v>74176</v>
          </cell>
        </row>
        <row r="120">
          <cell r="H120" t="str">
            <v>6220030 - Motor Vehilce (PRS)</v>
          </cell>
          <cell r="I120">
            <v>3720</v>
          </cell>
          <cell r="J120">
            <v>520</v>
          </cell>
          <cell r="K120">
            <v>0</v>
          </cell>
          <cell r="L120">
            <v>4240</v>
          </cell>
          <cell r="N120">
            <v>4240</v>
          </cell>
        </row>
        <row r="121">
          <cell r="H121" t="str">
            <v>6220040 - Train &amp; Taxi Fares (PRS)</v>
          </cell>
          <cell r="I121">
            <v>5147</v>
          </cell>
          <cell r="J121">
            <v>0</v>
          </cell>
          <cell r="K121">
            <v>0</v>
          </cell>
          <cell r="L121">
            <v>5147</v>
          </cell>
          <cell r="N121">
            <v>5147</v>
          </cell>
        </row>
        <row r="122">
          <cell r="H122" t="str">
            <v>6220050 - Car Hire(PRS)</v>
          </cell>
          <cell r="I122">
            <v>7384</v>
          </cell>
          <cell r="J122">
            <v>0</v>
          </cell>
          <cell r="K122">
            <v>0</v>
          </cell>
          <cell r="L122">
            <v>7384</v>
          </cell>
          <cell r="N122">
            <v>7384</v>
          </cell>
        </row>
        <row r="123">
          <cell r="H123" t="str">
            <v>6220070 - Accomdation (PRS)</v>
          </cell>
          <cell r="I123">
            <v>7554</v>
          </cell>
          <cell r="J123">
            <v>0</v>
          </cell>
          <cell r="K123">
            <v>0</v>
          </cell>
          <cell r="L123">
            <v>7554</v>
          </cell>
          <cell r="N123">
            <v>7554</v>
          </cell>
        </row>
        <row r="124">
          <cell r="H124" t="str">
            <v>6220100 - Meals (PRS)</v>
          </cell>
          <cell r="I124">
            <v>3740</v>
          </cell>
          <cell r="J124">
            <v>0</v>
          </cell>
          <cell r="K124">
            <v>0</v>
          </cell>
          <cell r="L124">
            <v>3740</v>
          </cell>
          <cell r="N124">
            <v>3740</v>
          </cell>
        </row>
        <row r="125">
          <cell r="H125" t="str">
            <v>6220110 - Other Travel (PRS)</v>
          </cell>
          <cell r="I125">
            <v>0</v>
          </cell>
          <cell r="J125">
            <v>0</v>
          </cell>
          <cell r="K125">
            <v>0</v>
          </cell>
          <cell r="L125">
            <v>0</v>
          </cell>
          <cell r="N125">
            <v>0</v>
          </cell>
        </row>
        <row r="126">
          <cell r="H126" t="str">
            <v>6230100 - General/ Office Supplies (PRS)</v>
          </cell>
          <cell r="I126">
            <v>3597</v>
          </cell>
          <cell r="J126">
            <v>0</v>
          </cell>
          <cell r="K126">
            <v>0</v>
          </cell>
          <cell r="L126">
            <v>3597</v>
          </cell>
          <cell r="N126">
            <v>3597</v>
          </cell>
        </row>
        <row r="127">
          <cell r="H127" t="str">
            <v>6230200 - Expense Assets US GAAP Rs. 45K (PRS)</v>
          </cell>
          <cell r="I127">
            <v>0</v>
          </cell>
          <cell r="J127">
            <v>0</v>
          </cell>
          <cell r="K127">
            <v>0</v>
          </cell>
          <cell r="L127">
            <v>0</v>
          </cell>
          <cell r="N127">
            <v>0</v>
          </cell>
        </row>
        <row r="128">
          <cell r="H128" t="str">
            <v>6260100 - Dep'n Assets (PRS)</v>
          </cell>
          <cell r="I128">
            <v>22308</v>
          </cell>
          <cell r="J128">
            <v>2859</v>
          </cell>
          <cell r="K128">
            <v>0</v>
          </cell>
          <cell r="L128">
            <v>25167</v>
          </cell>
          <cell r="N128">
            <v>25167</v>
          </cell>
        </row>
        <row r="129">
          <cell r="H129" t="str">
            <v>6270200 - Telephone/cellular (PRS)</v>
          </cell>
          <cell r="I129">
            <v>8651</v>
          </cell>
          <cell r="J129">
            <v>1450</v>
          </cell>
          <cell r="K129">
            <v>0</v>
          </cell>
          <cell r="L129">
            <v>10101</v>
          </cell>
          <cell r="N129">
            <v>10101</v>
          </cell>
        </row>
        <row r="130">
          <cell r="H130" t="str">
            <v>6270250 - Internet (PRS)</v>
          </cell>
          <cell r="I130">
            <v>6877</v>
          </cell>
          <cell r="J130">
            <v>885</v>
          </cell>
          <cell r="K130">
            <v>0</v>
          </cell>
          <cell r="L130">
            <v>7762</v>
          </cell>
          <cell r="N130">
            <v>7762</v>
          </cell>
        </row>
        <row r="131">
          <cell r="H131" t="str">
            <v>6270950 - Other Miscellanous Exp  (PRS)</v>
          </cell>
          <cell r="I131">
            <v>0</v>
          </cell>
          <cell r="J131">
            <v>0</v>
          </cell>
          <cell r="K131">
            <v>0</v>
          </cell>
          <cell r="L131">
            <v>0</v>
          </cell>
          <cell r="N131">
            <v>0</v>
          </cell>
        </row>
        <row r="132">
          <cell r="H132" t="str">
            <v>6290100 - Admin Allocation in (PRS)</v>
          </cell>
          <cell r="I132">
            <v>283029.81</v>
          </cell>
          <cell r="J132">
            <v>0</v>
          </cell>
          <cell r="K132">
            <v>0</v>
          </cell>
          <cell r="L132">
            <v>283029.81</v>
          </cell>
          <cell r="N132">
            <v>283029.81</v>
          </cell>
        </row>
        <row r="133">
          <cell r="H133" t="str">
            <v>6410010 - Regular Salary (SVC)</v>
          </cell>
          <cell r="I133">
            <v>252750</v>
          </cell>
          <cell r="J133">
            <v>82750</v>
          </cell>
          <cell r="K133">
            <v>0</v>
          </cell>
          <cell r="L133">
            <v>335500</v>
          </cell>
          <cell r="N133">
            <v>335500</v>
          </cell>
        </row>
        <row r="134">
          <cell r="H134" t="str">
            <v>6410070 - Vacation Accrual (SVC)</v>
          </cell>
          <cell r="I134">
            <v>49626</v>
          </cell>
          <cell r="J134">
            <v>16163</v>
          </cell>
          <cell r="K134">
            <v>4506</v>
          </cell>
          <cell r="L134">
            <v>61283</v>
          </cell>
          <cell r="N134">
            <v>61283</v>
          </cell>
        </row>
        <row r="135">
          <cell r="H135" t="str">
            <v>6410090 - Superanuation (SVC)</v>
          </cell>
          <cell r="I135">
            <v>32138</v>
          </cell>
          <cell r="J135">
            <v>10525</v>
          </cell>
          <cell r="K135">
            <v>0</v>
          </cell>
          <cell r="L135">
            <v>42663</v>
          </cell>
          <cell r="N135">
            <v>42663</v>
          </cell>
        </row>
        <row r="136">
          <cell r="H136" t="str">
            <v>6410120 - HRA (SVC)</v>
          </cell>
          <cell r="I136">
            <v>115800</v>
          </cell>
          <cell r="J136">
            <v>38000</v>
          </cell>
          <cell r="K136">
            <v>0</v>
          </cell>
          <cell r="L136">
            <v>153800</v>
          </cell>
          <cell r="N136">
            <v>153800</v>
          </cell>
        </row>
        <row r="137">
          <cell r="H137" t="str">
            <v>6410130 - LTA (SVC)</v>
          </cell>
          <cell r="I137">
            <v>66801</v>
          </cell>
          <cell r="J137">
            <v>21667</v>
          </cell>
          <cell r="K137">
            <v>0</v>
          </cell>
          <cell r="L137">
            <v>88468</v>
          </cell>
          <cell r="N137">
            <v>88468</v>
          </cell>
        </row>
        <row r="138">
          <cell r="H138" t="str">
            <v>6410140 - Special (SVC)</v>
          </cell>
          <cell r="I138">
            <v>203482</v>
          </cell>
          <cell r="J138">
            <v>65583</v>
          </cell>
          <cell r="K138">
            <v>0</v>
          </cell>
          <cell r="L138">
            <v>269065</v>
          </cell>
          <cell r="N138">
            <v>269065</v>
          </cell>
        </row>
        <row r="139">
          <cell r="H139" t="str">
            <v>6410170 - Medical (SVC)</v>
          </cell>
          <cell r="I139">
            <v>7667</v>
          </cell>
          <cell r="J139">
            <v>2500</v>
          </cell>
          <cell r="K139">
            <v>0</v>
          </cell>
          <cell r="L139">
            <v>10167</v>
          </cell>
          <cell r="N139">
            <v>10167</v>
          </cell>
        </row>
        <row r="140">
          <cell r="H140" t="str">
            <v>6410180 - Bonus (PRS)</v>
          </cell>
          <cell r="I140">
            <v>0</v>
          </cell>
          <cell r="J140">
            <v>13427</v>
          </cell>
          <cell r="K140">
            <v>0</v>
          </cell>
          <cell r="L140">
            <v>13427</v>
          </cell>
          <cell r="N140">
            <v>13427</v>
          </cell>
        </row>
        <row r="141">
          <cell r="H141" t="str">
            <v>6410200 - Health Plan (SVC)</v>
          </cell>
          <cell r="I141">
            <v>0</v>
          </cell>
          <cell r="J141">
            <v>0</v>
          </cell>
          <cell r="K141">
            <v>0</v>
          </cell>
          <cell r="L141">
            <v>0</v>
          </cell>
          <cell r="N141">
            <v>0</v>
          </cell>
        </row>
        <row r="142">
          <cell r="H142" t="str">
            <v>6420010 - Airfare Domestic (SVC)</v>
          </cell>
          <cell r="I142">
            <v>47445</v>
          </cell>
          <cell r="J142">
            <v>20041</v>
          </cell>
          <cell r="K142">
            <v>0</v>
          </cell>
          <cell r="L142">
            <v>67486</v>
          </cell>
          <cell r="N142">
            <v>67486</v>
          </cell>
        </row>
        <row r="143">
          <cell r="H143" t="str">
            <v>6420020 - Airfare International (SVC)</v>
          </cell>
          <cell r="I143">
            <v>81812</v>
          </cell>
          <cell r="J143">
            <v>76643</v>
          </cell>
          <cell r="K143">
            <v>0</v>
          </cell>
          <cell r="L143">
            <v>158455</v>
          </cell>
          <cell r="N143">
            <v>158455</v>
          </cell>
        </row>
        <row r="144">
          <cell r="H144" t="str">
            <v>6420030 - Motor Vehicle (SVC)</v>
          </cell>
          <cell r="I144">
            <v>1620</v>
          </cell>
          <cell r="J144">
            <v>2980</v>
          </cell>
          <cell r="K144">
            <v>0</v>
          </cell>
          <cell r="L144">
            <v>4600</v>
          </cell>
          <cell r="N144">
            <v>4600</v>
          </cell>
        </row>
        <row r="145">
          <cell r="H145" t="str">
            <v>6420040 - Train &amp; Taxi Fare (SVC)</v>
          </cell>
          <cell r="I145">
            <v>8224</v>
          </cell>
          <cell r="J145">
            <v>5142</v>
          </cell>
          <cell r="K145">
            <v>0</v>
          </cell>
          <cell r="L145">
            <v>13366</v>
          </cell>
          <cell r="N145">
            <v>13366</v>
          </cell>
        </row>
        <row r="146">
          <cell r="H146" t="str">
            <v>6420050 - Car Hire (SVC)</v>
          </cell>
          <cell r="I146">
            <v>0</v>
          </cell>
          <cell r="J146">
            <v>0</v>
          </cell>
          <cell r="K146">
            <v>0</v>
          </cell>
          <cell r="L146">
            <v>0</v>
          </cell>
          <cell r="N146">
            <v>0</v>
          </cell>
        </row>
        <row r="147">
          <cell r="H147" t="str">
            <v>6420070 - Accomdation (SVC)</v>
          </cell>
          <cell r="I147">
            <v>30903</v>
          </cell>
          <cell r="J147">
            <v>0</v>
          </cell>
          <cell r="K147">
            <v>0</v>
          </cell>
          <cell r="L147">
            <v>30903</v>
          </cell>
          <cell r="N147">
            <v>30903</v>
          </cell>
        </row>
        <row r="148">
          <cell r="H148" t="str">
            <v>6420100 - Meals (SVC)</v>
          </cell>
          <cell r="I148">
            <v>37151</v>
          </cell>
          <cell r="J148">
            <v>570</v>
          </cell>
          <cell r="K148">
            <v>0</v>
          </cell>
          <cell r="L148">
            <v>37721</v>
          </cell>
          <cell r="N148">
            <v>37721</v>
          </cell>
        </row>
        <row r="149">
          <cell r="H149" t="str">
            <v>6420110 - Other Travel (SVC)</v>
          </cell>
          <cell r="I149">
            <v>18251</v>
          </cell>
          <cell r="J149">
            <v>0</v>
          </cell>
          <cell r="K149">
            <v>0</v>
          </cell>
          <cell r="L149">
            <v>18251</v>
          </cell>
          <cell r="N149">
            <v>18251</v>
          </cell>
        </row>
        <row r="150">
          <cell r="H150" t="str">
            <v>6420300 - Entertainment (TD) (SVC)</v>
          </cell>
          <cell r="I150">
            <v>0</v>
          </cell>
          <cell r="J150">
            <v>553</v>
          </cell>
          <cell r="K150">
            <v>0</v>
          </cell>
          <cell r="L150">
            <v>553</v>
          </cell>
          <cell r="N150">
            <v>553</v>
          </cell>
        </row>
        <row r="151">
          <cell r="H151" t="str">
            <v>6430010 - General/office Supplies (SVC)</v>
          </cell>
          <cell r="I151">
            <v>1669</v>
          </cell>
          <cell r="J151">
            <v>135</v>
          </cell>
          <cell r="K151">
            <v>0</v>
          </cell>
          <cell r="L151">
            <v>1804</v>
          </cell>
          <cell r="N151">
            <v>1804</v>
          </cell>
        </row>
        <row r="152">
          <cell r="H152" t="str">
            <v>6430200 - Exp. Assets USGAAP RS45K (SVC)</v>
          </cell>
          <cell r="I152">
            <v>0</v>
          </cell>
          <cell r="J152">
            <v>0</v>
          </cell>
          <cell r="K152">
            <v>0</v>
          </cell>
          <cell r="L152">
            <v>0</v>
          </cell>
          <cell r="N152">
            <v>0</v>
          </cell>
        </row>
        <row r="153">
          <cell r="H153" t="str">
            <v>6430250 - Expensed Assets - Local Tax (SVC)</v>
          </cell>
          <cell r="I153">
            <v>60</v>
          </cell>
          <cell r="J153">
            <v>0</v>
          </cell>
          <cell r="K153">
            <v>0</v>
          </cell>
          <cell r="L153">
            <v>60</v>
          </cell>
          <cell r="N153">
            <v>60</v>
          </cell>
        </row>
        <row r="154">
          <cell r="H154" t="str">
            <v>6460100 - Dep'n Assets (SVC)</v>
          </cell>
          <cell r="I154">
            <v>6833</v>
          </cell>
          <cell r="J154">
            <v>2314</v>
          </cell>
          <cell r="K154">
            <v>0</v>
          </cell>
          <cell r="L154">
            <v>9147</v>
          </cell>
          <cell r="N154">
            <v>9147</v>
          </cell>
        </row>
        <row r="155">
          <cell r="H155" t="str">
            <v>6470200 - Telephone/Cellular (SVC)</v>
          </cell>
          <cell r="I155">
            <v>10870</v>
          </cell>
          <cell r="J155">
            <v>2565</v>
          </cell>
          <cell r="K155">
            <v>0</v>
          </cell>
          <cell r="L155">
            <v>13435</v>
          </cell>
          <cell r="N155">
            <v>13435</v>
          </cell>
        </row>
        <row r="156">
          <cell r="H156" t="str">
            <v>6470250 - Internet (SVC)</v>
          </cell>
          <cell r="I156">
            <v>4776</v>
          </cell>
          <cell r="J156">
            <v>1694</v>
          </cell>
          <cell r="K156">
            <v>0</v>
          </cell>
          <cell r="L156">
            <v>6470</v>
          </cell>
          <cell r="N156">
            <v>6470</v>
          </cell>
        </row>
        <row r="157">
          <cell r="H157" t="str">
            <v>6470450 - Freight &amp; Postage (SVC)</v>
          </cell>
          <cell r="I157">
            <v>185</v>
          </cell>
          <cell r="J157">
            <v>245</v>
          </cell>
          <cell r="K157">
            <v>0</v>
          </cell>
          <cell r="L157">
            <v>430</v>
          </cell>
          <cell r="N157">
            <v>430</v>
          </cell>
        </row>
        <row r="158">
          <cell r="H158" t="str">
            <v>6470950 - Other Miscellaneous Expenses (SVC)</v>
          </cell>
          <cell r="I158">
            <v>0</v>
          </cell>
          <cell r="J158">
            <v>0</v>
          </cell>
          <cell r="K158">
            <v>0</v>
          </cell>
          <cell r="L158">
            <v>0</v>
          </cell>
          <cell r="N158">
            <v>0</v>
          </cell>
        </row>
        <row r="159">
          <cell r="H159" t="str">
            <v>6490100 - Admin Allocation in (SVC)</v>
          </cell>
          <cell r="I159">
            <v>143133.34</v>
          </cell>
          <cell r="J159">
            <v>0</v>
          </cell>
          <cell r="K159">
            <v>0</v>
          </cell>
          <cell r="L159">
            <v>143133.34</v>
          </cell>
          <cell r="N159">
            <v>143133.34</v>
          </cell>
        </row>
        <row r="160">
          <cell r="H160" t="str">
            <v>6830010 - General/office Supplies (ADM)</v>
          </cell>
          <cell r="I160">
            <v>69473.2</v>
          </cell>
          <cell r="J160">
            <v>8584.64</v>
          </cell>
          <cell r="K160">
            <v>0</v>
          </cell>
          <cell r="L160">
            <v>78057.84</v>
          </cell>
          <cell r="N160">
            <v>78057.84</v>
          </cell>
        </row>
        <row r="161">
          <cell r="H161" t="str">
            <v>6850100 - Legal &amp; Professional (ADM)</v>
          </cell>
          <cell r="I161">
            <v>-20000</v>
          </cell>
          <cell r="J161">
            <v>0</v>
          </cell>
          <cell r="K161">
            <v>0</v>
          </cell>
          <cell r="L161">
            <v>-20000</v>
          </cell>
          <cell r="N161">
            <v>-20000</v>
          </cell>
        </row>
        <row r="162">
          <cell r="H162" t="str">
            <v>6850150 - Accounting &amp; Advisory Services</v>
          </cell>
          <cell r="I162">
            <v>0</v>
          </cell>
          <cell r="J162">
            <v>0</v>
          </cell>
          <cell r="K162">
            <v>0</v>
          </cell>
          <cell r="L162">
            <v>0</v>
          </cell>
          <cell r="N162">
            <v>0</v>
          </cell>
        </row>
        <row r="163">
          <cell r="H163" t="str">
            <v>6850250 - Other Outside Services (ADM)</v>
          </cell>
          <cell r="I163">
            <v>186040</v>
          </cell>
          <cell r="J163">
            <v>27987</v>
          </cell>
          <cell r="K163">
            <v>0</v>
          </cell>
          <cell r="L163">
            <v>214027</v>
          </cell>
          <cell r="N163">
            <v>214027</v>
          </cell>
        </row>
        <row r="164">
          <cell r="H164" t="str">
            <v>6860100 - Dep'n Assets (ADM)</v>
          </cell>
          <cell r="I164">
            <v>2229</v>
          </cell>
          <cell r="J164">
            <v>931</v>
          </cell>
          <cell r="K164">
            <v>0</v>
          </cell>
          <cell r="L164">
            <v>3160</v>
          </cell>
          <cell r="N164">
            <v>3160</v>
          </cell>
        </row>
        <row r="165">
          <cell r="H165" t="str">
            <v>6870010 - Rent (ADM)</v>
          </cell>
          <cell r="I165">
            <v>661303.66</v>
          </cell>
          <cell r="J165">
            <v>61961.02</v>
          </cell>
          <cell r="K165">
            <v>0</v>
          </cell>
          <cell r="L165">
            <v>723264.68</v>
          </cell>
          <cell r="N165">
            <v>723264.68</v>
          </cell>
        </row>
        <row r="166">
          <cell r="H166" t="str">
            <v>6870100 - Contract Service- Office Admin.</v>
          </cell>
          <cell r="I166">
            <v>0</v>
          </cell>
          <cell r="J166">
            <v>0</v>
          </cell>
          <cell r="K166">
            <v>0</v>
          </cell>
          <cell r="L166">
            <v>0</v>
          </cell>
          <cell r="N166">
            <v>0</v>
          </cell>
        </row>
        <row r="167">
          <cell r="H167" t="str">
            <v>6870200 - Telephone/Cellular (ADM)</v>
          </cell>
          <cell r="I167">
            <v>52050.57</v>
          </cell>
          <cell r="J167">
            <v>4731.87</v>
          </cell>
          <cell r="K167">
            <v>0</v>
          </cell>
          <cell r="L167">
            <v>56782.44</v>
          </cell>
          <cell r="N167">
            <v>56782.44</v>
          </cell>
        </row>
        <row r="168">
          <cell r="H168" t="str">
            <v>6870320 - Property Insurnace (ADM)</v>
          </cell>
          <cell r="I168">
            <v>28204</v>
          </cell>
          <cell r="J168">
            <v>14102</v>
          </cell>
          <cell r="K168">
            <v>0</v>
          </cell>
          <cell r="L168">
            <v>42306</v>
          </cell>
          <cell r="N168">
            <v>42306</v>
          </cell>
        </row>
        <row r="169">
          <cell r="H169" t="str">
            <v>6870500 - Bank Charges (ADM)</v>
          </cell>
          <cell r="I169">
            <v>14348.65</v>
          </cell>
          <cell r="J169">
            <v>1246.4000000000001</v>
          </cell>
          <cell r="K169">
            <v>71.7</v>
          </cell>
          <cell r="L169">
            <v>15523.349999999999</v>
          </cell>
          <cell r="N169">
            <v>15523.349999999999</v>
          </cell>
        </row>
        <row r="170">
          <cell r="H170" t="str">
            <v>6870900 - Other Facility (ADM)</v>
          </cell>
          <cell r="I170">
            <v>0</v>
          </cell>
          <cell r="J170">
            <v>0</v>
          </cell>
          <cell r="K170">
            <v>0</v>
          </cell>
          <cell r="L170">
            <v>0</v>
          </cell>
          <cell r="N170">
            <v>0</v>
          </cell>
        </row>
        <row r="171">
          <cell r="H171" t="str">
            <v>6870950 - Other Miscellaneous Exp (ADM)</v>
          </cell>
          <cell r="I171">
            <v>0</v>
          </cell>
          <cell r="J171">
            <v>0</v>
          </cell>
          <cell r="K171">
            <v>0</v>
          </cell>
          <cell r="L171">
            <v>0</v>
          </cell>
          <cell r="N171">
            <v>0</v>
          </cell>
        </row>
        <row r="172">
          <cell r="H172" t="str">
            <v>6890200 - Admin Allocation Out (ADM)</v>
          </cell>
          <cell r="I172">
            <v>-993649.09</v>
          </cell>
          <cell r="J172">
            <v>0</v>
          </cell>
          <cell r="K172">
            <v>0</v>
          </cell>
          <cell r="L172">
            <v>-993649.09</v>
          </cell>
          <cell r="N172">
            <v>-993649.09</v>
          </cell>
        </row>
        <row r="173">
          <cell r="H173" t="str">
            <v>6950150 - Accounting &amp; Advisory (FIN)</v>
          </cell>
          <cell r="I173">
            <v>556299</v>
          </cell>
          <cell r="J173">
            <v>27575</v>
          </cell>
          <cell r="K173">
            <v>0</v>
          </cell>
          <cell r="L173">
            <v>583874</v>
          </cell>
          <cell r="N173">
            <v>583874</v>
          </cell>
        </row>
        <row r="174">
          <cell r="H174" t="str">
            <v>6950180 - Audit Fees (FIN)</v>
          </cell>
          <cell r="I174">
            <v>67175</v>
          </cell>
          <cell r="J174">
            <v>17913</v>
          </cell>
          <cell r="K174">
            <v>0</v>
          </cell>
          <cell r="L174">
            <v>85088</v>
          </cell>
          <cell r="N174">
            <v>85088</v>
          </cell>
        </row>
        <row r="175">
          <cell r="H175" t="str">
            <v>6950200 - Tax Services (FIN)</v>
          </cell>
          <cell r="I175">
            <v>28950</v>
          </cell>
          <cell r="J175">
            <v>21069</v>
          </cell>
          <cell r="K175">
            <v>0</v>
          </cell>
          <cell r="L175">
            <v>50019</v>
          </cell>
          <cell r="N175">
            <v>50019</v>
          </cell>
        </row>
        <row r="176">
          <cell r="H176" t="str">
            <v>6950250 - Other Outside Services (FIN)</v>
          </cell>
          <cell r="I176">
            <v>0</v>
          </cell>
          <cell r="J176">
            <v>0</v>
          </cell>
          <cell r="K176">
            <v>0</v>
          </cell>
          <cell r="L176">
            <v>0</v>
          </cell>
          <cell r="N176">
            <v>0</v>
          </cell>
        </row>
      </sheetData>
      <sheetData sheetId="5"/>
      <sheetData sheetId="6">
        <row r="3">
          <cell r="B3" t="str">
            <v>1001100 · HSBC Operating</v>
          </cell>
          <cell r="C3">
            <v>1613390.64</v>
          </cell>
          <cell r="F3">
            <v>1613390.64</v>
          </cell>
        </row>
        <row r="4">
          <cell r="B4" t="str">
            <v>1001200 · UCG Trust A/c</v>
          </cell>
          <cell r="C4">
            <v>0</v>
          </cell>
          <cell r="F4">
            <v>0</v>
          </cell>
        </row>
        <row r="5">
          <cell r="B5" t="str">
            <v>1020001 · I/C Receivable-Cray Inc</v>
          </cell>
          <cell r="C5">
            <v>1512326.33</v>
          </cell>
          <cell r="F5">
            <v>1512326.33</v>
          </cell>
        </row>
        <row r="6">
          <cell r="B6" t="str">
            <v>1031000 · Prepaid Insurance</v>
          </cell>
          <cell r="C6">
            <v>182984</v>
          </cell>
          <cell r="F6">
            <v>182984</v>
          </cell>
        </row>
        <row r="7">
          <cell r="B7" t="str">
            <v>1031300 · Prepaid Facility Costs</v>
          </cell>
          <cell r="C7">
            <v>72185.84</v>
          </cell>
          <cell r="F7">
            <v>72185.84</v>
          </cell>
        </row>
        <row r="8">
          <cell r="B8" t="str">
            <v>1031900 · Prepaid Other</v>
          </cell>
          <cell r="C8">
            <v>0</v>
          </cell>
          <cell r="F8">
            <v>0</v>
          </cell>
        </row>
        <row r="9">
          <cell r="B9" t="str">
            <v>1032000 · Accrued Revenue</v>
          </cell>
          <cell r="C9">
            <v>0</v>
          </cell>
          <cell r="F9">
            <v>0</v>
          </cell>
        </row>
        <row r="10">
          <cell r="B10" t="str">
            <v>1033000 · Employee Advance</v>
          </cell>
          <cell r="C10">
            <v>0</v>
          </cell>
          <cell r="F10">
            <v>0</v>
          </cell>
        </row>
        <row r="11">
          <cell r="B11" t="str">
            <v>1051000 · In Transit/Undeposited Funds</v>
          </cell>
          <cell r="C11">
            <v>0</v>
          </cell>
          <cell r="F11">
            <v>0</v>
          </cell>
        </row>
        <row r="12">
          <cell r="B12" t="str">
            <v>1161100 · Data Equipment</v>
          </cell>
          <cell r="C12">
            <v>78143</v>
          </cell>
          <cell r="F12">
            <v>78143</v>
          </cell>
        </row>
        <row r="13">
          <cell r="B13" t="str">
            <v>1161150 · Accum Depn-Data Equipment</v>
          </cell>
          <cell r="E13">
            <v>18544</v>
          </cell>
          <cell r="F13">
            <v>-18544</v>
          </cell>
        </row>
        <row r="14">
          <cell r="B14" t="str">
            <v>1161300 · Office Furniture/Equipment</v>
          </cell>
          <cell r="C14">
            <v>58279</v>
          </cell>
          <cell r="F14">
            <v>58279</v>
          </cell>
        </row>
        <row r="15">
          <cell r="B15" t="str">
            <v>1161350 · Accum Depn-Furniture/Equipment</v>
          </cell>
          <cell r="E15">
            <v>35434</v>
          </cell>
          <cell r="F15">
            <v>-35434</v>
          </cell>
        </row>
        <row r="16">
          <cell r="B16" t="str">
            <v>1171100 · Facility Deposit</v>
          </cell>
          <cell r="C16">
            <v>157500</v>
          </cell>
          <cell r="F16">
            <v>157500</v>
          </cell>
        </row>
        <row r="17">
          <cell r="B17" t="str">
            <v>1171200 · Bid/Performance Deposit</v>
          </cell>
          <cell r="C17">
            <v>2800000</v>
          </cell>
          <cell r="F17">
            <v>2800000</v>
          </cell>
        </row>
        <row r="18">
          <cell r="B18" t="str">
            <v>1171300 · Other Refundable Deposits</v>
          </cell>
          <cell r="C18">
            <v>10000</v>
          </cell>
          <cell r="F18">
            <v>10000</v>
          </cell>
        </row>
        <row r="19">
          <cell r="B19" t="str">
            <v>1175100 · Deferred Tax Asset</v>
          </cell>
          <cell r="C19">
            <v>239018</v>
          </cell>
          <cell r="F19">
            <v>239018</v>
          </cell>
        </row>
        <row r="20">
          <cell r="B20" t="str">
            <v>1181000 · Preliminary Expenses</v>
          </cell>
          <cell r="C20">
            <v>0</v>
          </cell>
          <cell r="F20">
            <v>0</v>
          </cell>
        </row>
        <row r="21">
          <cell r="B21" t="str">
            <v>1181500 · Accum Ammort - Preliminary Exps</v>
          </cell>
          <cell r="C21">
            <v>0</v>
          </cell>
          <cell r="F21">
            <v>0</v>
          </cell>
        </row>
        <row r="22">
          <cell r="B22" t="str">
            <v>2010000 · Accounts Payable</v>
          </cell>
          <cell r="E22">
            <v>40071</v>
          </cell>
          <cell r="F22">
            <v>-40071</v>
          </cell>
        </row>
        <row r="23">
          <cell r="B23" t="str">
            <v>2020001 · I/C Payable-Cray Inc</v>
          </cell>
          <cell r="C23">
            <v>0</v>
          </cell>
          <cell r="F23">
            <v>0</v>
          </cell>
        </row>
        <row r="24">
          <cell r="B24" t="str">
            <v>2032100 · Accrued Payroll</v>
          </cell>
          <cell r="E24">
            <v>716</v>
          </cell>
          <cell r="F24">
            <v>-716</v>
          </cell>
        </row>
        <row r="25">
          <cell r="B25" t="str">
            <v>2032500 · Accrued Commission</v>
          </cell>
          <cell r="C25">
            <v>0</v>
          </cell>
          <cell r="F25">
            <v>0</v>
          </cell>
        </row>
        <row r="26">
          <cell r="B26" t="str">
            <v>2032700 · Accrued Travel</v>
          </cell>
          <cell r="C26">
            <v>0</v>
          </cell>
          <cell r="F26">
            <v>0</v>
          </cell>
        </row>
        <row r="27">
          <cell r="B27" t="str">
            <v>2032900 · Accrued Other</v>
          </cell>
          <cell r="E27">
            <v>218275</v>
          </cell>
          <cell r="F27">
            <v>-218275</v>
          </cell>
        </row>
        <row r="28">
          <cell r="B28" t="str">
            <v>2043100 · TDS Payroll</v>
          </cell>
          <cell r="E28">
            <v>137733</v>
          </cell>
          <cell r="F28">
            <v>-137733</v>
          </cell>
        </row>
        <row r="29">
          <cell r="B29" t="str">
            <v>2043200 · TDS Professional</v>
          </cell>
          <cell r="E29">
            <v>18187</v>
          </cell>
          <cell r="F29">
            <v>-18187</v>
          </cell>
        </row>
        <row r="30">
          <cell r="B30" t="str">
            <v>2043300 · TDS Rent</v>
          </cell>
          <cell r="E30">
            <v>5618</v>
          </cell>
          <cell r="F30">
            <v>-5618</v>
          </cell>
        </row>
        <row r="31">
          <cell r="B31" t="str">
            <v>2043400 · TDS Contractor</v>
          </cell>
          <cell r="E31">
            <v>222</v>
          </cell>
          <cell r="F31">
            <v>-222</v>
          </cell>
        </row>
        <row r="32">
          <cell r="B32" t="str">
            <v>2045200 · Income Tax Payable</v>
          </cell>
          <cell r="E32">
            <v>663746</v>
          </cell>
          <cell r="F32">
            <v>-663746</v>
          </cell>
        </row>
        <row r="33">
          <cell r="B33" t="str">
            <v>2045300 · Income Tax Paid</v>
          </cell>
          <cell r="C33">
            <v>622559</v>
          </cell>
          <cell r="F33">
            <v>622559</v>
          </cell>
        </row>
        <row r="34">
          <cell r="B34" t="str">
            <v>2045400 · Self Assessment Tax</v>
          </cell>
          <cell r="C34">
            <v>3050</v>
          </cell>
          <cell r="F34">
            <v>3050</v>
          </cell>
        </row>
        <row r="35">
          <cell r="B35" t="str">
            <v>2052200 · Deferred ST Service Revenue</v>
          </cell>
          <cell r="C35">
            <v>0</v>
          </cell>
          <cell r="F35">
            <v>0</v>
          </cell>
        </row>
        <row r="36">
          <cell r="B36" t="str">
            <v>2181100 · Provision-Vacation</v>
          </cell>
          <cell r="E36">
            <v>365835</v>
          </cell>
          <cell r="F36">
            <v>-365835</v>
          </cell>
        </row>
        <row r="37">
          <cell r="B37" t="str">
            <v>2181200 · Provision-Retirement</v>
          </cell>
          <cell r="E37">
            <v>406686</v>
          </cell>
          <cell r="F37">
            <v>-406686</v>
          </cell>
        </row>
        <row r="38">
          <cell r="B38" t="str">
            <v>3181000 · Paid In Capital</v>
          </cell>
          <cell r="E38">
            <v>5000000</v>
          </cell>
          <cell r="F38">
            <v>-5000000</v>
          </cell>
        </row>
        <row r="39">
          <cell r="B39" t="str">
            <v>3182001 · Capital Invested-Cray Inc</v>
          </cell>
          <cell r="C39">
            <v>0</v>
          </cell>
          <cell r="F39">
            <v>0</v>
          </cell>
        </row>
        <row r="40">
          <cell r="B40" t="str">
            <v>3189000 · Retained Earnings</v>
          </cell>
          <cell r="C40">
            <v>329680.34999999998</v>
          </cell>
          <cell r="F40">
            <v>329680.34999999998</v>
          </cell>
        </row>
        <row r="41">
          <cell r="B41" t="str">
            <v>4212080 · H/W Contract (X1)</v>
          </cell>
          <cell r="C41">
            <v>0</v>
          </cell>
          <cell r="F41">
            <v>0</v>
          </cell>
        </row>
        <row r="42">
          <cell r="B42" t="str">
            <v>4212130 · H/W Contract (XT5)</v>
          </cell>
          <cell r="C42">
            <v>0</v>
          </cell>
          <cell r="F42">
            <v>0</v>
          </cell>
        </row>
        <row r="43">
          <cell r="B43" t="str">
            <v>4401001 · Marketing Cost Recovery</v>
          </cell>
          <cell r="E43">
            <v>8184255.3300000001</v>
          </cell>
          <cell r="F43">
            <v>-8184255.3300000001</v>
          </cell>
        </row>
        <row r="44">
          <cell r="B44" t="str">
            <v>4402001 · Admin Markup Revenue</v>
          </cell>
          <cell r="E44">
            <v>818426</v>
          </cell>
          <cell r="F44">
            <v>-818426</v>
          </cell>
        </row>
        <row r="45">
          <cell r="B45" t="str">
            <v>6110010 · Regular Salary (SLS)</v>
          </cell>
          <cell r="C45">
            <v>638400</v>
          </cell>
          <cell r="F45">
            <v>638400</v>
          </cell>
        </row>
        <row r="46">
          <cell r="B46" t="str">
            <v>6110050 · Commissions (SLS)</v>
          </cell>
          <cell r="C46">
            <v>20395</v>
          </cell>
          <cell r="F46">
            <v>20395</v>
          </cell>
        </row>
        <row r="47">
          <cell r="B47" t="str">
            <v>6110070 · Vacation Accrual (SLS)</v>
          </cell>
          <cell r="C47">
            <v>175149</v>
          </cell>
          <cell r="F47">
            <v>175149</v>
          </cell>
        </row>
        <row r="48">
          <cell r="B48" t="str">
            <v>6110080 · Vacation Taken (SLS)</v>
          </cell>
          <cell r="E48">
            <v>122735</v>
          </cell>
          <cell r="F48">
            <v>-122735</v>
          </cell>
        </row>
        <row r="49">
          <cell r="B49" t="str">
            <v>6110090 · Retirement/Superanuation (SLS)</v>
          </cell>
          <cell r="C49">
            <v>114000</v>
          </cell>
          <cell r="F49">
            <v>114000</v>
          </cell>
        </row>
        <row r="50">
          <cell r="B50" t="str">
            <v>6110110 · Conveyance (SLS)</v>
          </cell>
          <cell r="C50">
            <v>1600</v>
          </cell>
          <cell r="F50">
            <v>1600</v>
          </cell>
        </row>
        <row r="51">
          <cell r="B51" t="str">
            <v>6110120 · HRA (SLS)</v>
          </cell>
          <cell r="C51">
            <v>255360</v>
          </cell>
          <cell r="F51">
            <v>255360</v>
          </cell>
        </row>
        <row r="52">
          <cell r="B52" t="str">
            <v>6110130 · LTA (SLS)</v>
          </cell>
          <cell r="C52">
            <v>351108</v>
          </cell>
          <cell r="F52">
            <v>351108</v>
          </cell>
        </row>
        <row r="53">
          <cell r="B53" t="str">
            <v>6110140 · Special (SLS)</v>
          </cell>
          <cell r="C53">
            <v>404532</v>
          </cell>
          <cell r="F53">
            <v>404532</v>
          </cell>
        </row>
        <row r="54">
          <cell r="B54" t="str">
            <v>6110150 · Driver (SLS)</v>
          </cell>
          <cell r="C54">
            <v>136800</v>
          </cell>
          <cell r="F54">
            <v>136800</v>
          </cell>
        </row>
        <row r="55">
          <cell r="B55" t="str">
            <v>6110160 · Entertainment Reimb. (SLS)</v>
          </cell>
          <cell r="C55">
            <v>171000</v>
          </cell>
          <cell r="F55">
            <v>171000</v>
          </cell>
        </row>
        <row r="56">
          <cell r="B56" t="str">
            <v>6110170 · Medical (SLS)</v>
          </cell>
          <cell r="C56">
            <v>15000</v>
          </cell>
          <cell r="F56">
            <v>15000</v>
          </cell>
        </row>
        <row r="57">
          <cell r="B57" t="str">
            <v>6110180 · Prof Development (SLS)</v>
          </cell>
          <cell r="C57">
            <v>102600</v>
          </cell>
          <cell r="F57">
            <v>102600</v>
          </cell>
        </row>
        <row r="58">
          <cell r="B58" t="str">
            <v>6110190 · Vehicle (SLS)</v>
          </cell>
          <cell r="C58">
            <v>203600</v>
          </cell>
          <cell r="F58">
            <v>203600</v>
          </cell>
        </row>
        <row r="59">
          <cell r="B59" t="str">
            <v>6110200 · Health Plan (SLS)</v>
          </cell>
          <cell r="C59">
            <v>18747</v>
          </cell>
          <cell r="F59">
            <v>18747</v>
          </cell>
        </row>
        <row r="60">
          <cell r="B60" t="str">
            <v>6110220 · Life Insurance (SLS)</v>
          </cell>
          <cell r="C60">
            <v>8286</v>
          </cell>
          <cell r="F60">
            <v>8286</v>
          </cell>
        </row>
        <row r="61">
          <cell r="B61" t="str">
            <v>6120010 · Airfare-Domestic (SLS)</v>
          </cell>
          <cell r="C61">
            <v>574083</v>
          </cell>
          <cell r="F61">
            <v>574083</v>
          </cell>
        </row>
        <row r="62">
          <cell r="B62" t="str">
            <v>6120020 · Airfare-International (SLS)</v>
          </cell>
          <cell r="C62">
            <v>132878</v>
          </cell>
          <cell r="F62">
            <v>132878</v>
          </cell>
        </row>
        <row r="63">
          <cell r="B63" t="str">
            <v>6120030 · Motor Vehicles (SLS)</v>
          </cell>
          <cell r="C63">
            <v>37260</v>
          </cell>
          <cell r="F63">
            <v>37260</v>
          </cell>
        </row>
        <row r="64">
          <cell r="B64" t="str">
            <v>6120040 · Train &amp; Taxi fare (SLS)</v>
          </cell>
          <cell r="C64">
            <v>140209</v>
          </cell>
          <cell r="F64">
            <v>140209</v>
          </cell>
        </row>
        <row r="65">
          <cell r="B65" t="str">
            <v>6120050 · Car-Hire (SLS)</v>
          </cell>
          <cell r="C65">
            <v>1217</v>
          </cell>
          <cell r="F65">
            <v>1217</v>
          </cell>
        </row>
        <row r="66">
          <cell r="B66" t="str">
            <v>6120070 · Accomodation (SLS)</v>
          </cell>
          <cell r="C66">
            <v>323726</v>
          </cell>
          <cell r="F66">
            <v>323726</v>
          </cell>
        </row>
        <row r="67">
          <cell r="B67" t="str">
            <v>6120100 · Meals (SLS)</v>
          </cell>
          <cell r="C67">
            <v>43799</v>
          </cell>
          <cell r="F67">
            <v>43799</v>
          </cell>
        </row>
        <row r="68">
          <cell r="B68" t="str">
            <v>6120110 · Other Travel (SLS)</v>
          </cell>
          <cell r="C68">
            <v>2325</v>
          </cell>
          <cell r="F68">
            <v>2325</v>
          </cell>
        </row>
        <row r="69">
          <cell r="B69" t="str">
            <v>6120300 · Entertainment (SLS)</v>
          </cell>
          <cell r="C69">
            <v>8895</v>
          </cell>
          <cell r="F69">
            <v>8895</v>
          </cell>
        </row>
        <row r="70">
          <cell r="B70" t="str">
            <v>6130100 · General/Office Supplies (SLS)</v>
          </cell>
          <cell r="C70">
            <v>22464</v>
          </cell>
          <cell r="F70">
            <v>22464</v>
          </cell>
        </row>
        <row r="71">
          <cell r="B71" t="str">
            <v>6130250 · Exp. Assets-LocalTax Rs5K (SLS)</v>
          </cell>
          <cell r="C71">
            <v>4450</v>
          </cell>
          <cell r="F71">
            <v>4450</v>
          </cell>
        </row>
        <row r="72">
          <cell r="B72" t="str">
            <v>6160100 · Dep'n-Assets (SLS)</v>
          </cell>
          <cell r="C72">
            <v>16150</v>
          </cell>
          <cell r="F72">
            <v>16150</v>
          </cell>
        </row>
        <row r="73">
          <cell r="B73" t="str">
            <v>6170200 · Telephone/Cellular (SLS)</v>
          </cell>
          <cell r="C73">
            <v>41674</v>
          </cell>
          <cell r="F73">
            <v>41674</v>
          </cell>
        </row>
        <row r="74">
          <cell r="B74" t="str">
            <v>6170250 · Internet (SLS)</v>
          </cell>
          <cell r="C74">
            <v>21229</v>
          </cell>
          <cell r="F74">
            <v>21229</v>
          </cell>
        </row>
        <row r="75">
          <cell r="B75" t="str">
            <v>6170450 · Freight &amp; Postage (SLS)</v>
          </cell>
          <cell r="C75">
            <v>11975</v>
          </cell>
          <cell r="F75">
            <v>11975</v>
          </cell>
        </row>
        <row r="76">
          <cell r="B76" t="str">
            <v>6170550 · Subscriptions &amp; Dues (SLS)</v>
          </cell>
          <cell r="C76">
            <v>599</v>
          </cell>
          <cell r="F76">
            <v>599</v>
          </cell>
        </row>
        <row r="77">
          <cell r="B77" t="str">
            <v>6170950 · Other Miscellaneous Exp (SLS)</v>
          </cell>
          <cell r="C77">
            <v>3500</v>
          </cell>
          <cell r="F77">
            <v>3500</v>
          </cell>
        </row>
        <row r="78">
          <cell r="B78" t="str">
            <v>6190100 · Admin Allocation In (SLS)</v>
          </cell>
          <cell r="C78">
            <v>588621.5</v>
          </cell>
          <cell r="F78">
            <v>588621.5</v>
          </cell>
        </row>
        <row r="79">
          <cell r="B79" t="str">
            <v>6210010 · Regular Salary (PRS)</v>
          </cell>
          <cell r="C79">
            <v>468999</v>
          </cell>
          <cell r="F79">
            <v>468999</v>
          </cell>
        </row>
        <row r="80">
          <cell r="B80" t="str">
            <v>6210060 · Bonus (PRS)</v>
          </cell>
          <cell r="C80">
            <v>13427</v>
          </cell>
          <cell r="F80">
            <v>13427</v>
          </cell>
        </row>
        <row r="81">
          <cell r="B81" t="str">
            <v>6210070 · Vacation Accrual (PRS)</v>
          </cell>
          <cell r="C81">
            <v>80332</v>
          </cell>
          <cell r="F81">
            <v>80332</v>
          </cell>
        </row>
        <row r="82">
          <cell r="B82" t="str">
            <v>6210080 · Vacation Taken (PRS)</v>
          </cell>
          <cell r="E82">
            <v>42354</v>
          </cell>
          <cell r="F82">
            <v>-42354</v>
          </cell>
        </row>
        <row r="83">
          <cell r="B83" t="str">
            <v>6210090 · Retirement/Superanuation (PRS)</v>
          </cell>
          <cell r="C83">
            <v>50523</v>
          </cell>
          <cell r="F83">
            <v>50523</v>
          </cell>
        </row>
        <row r="84">
          <cell r="B84" t="str">
            <v>6210110 · Conveyance (PRS)</v>
          </cell>
          <cell r="C84">
            <v>1600</v>
          </cell>
          <cell r="F84">
            <v>1600</v>
          </cell>
        </row>
        <row r="85">
          <cell r="B85" t="str">
            <v>6210120 · HRA (PRS)</v>
          </cell>
          <cell r="C85">
            <v>222750</v>
          </cell>
          <cell r="F85">
            <v>222750</v>
          </cell>
        </row>
        <row r="86">
          <cell r="B86" t="str">
            <v>6210130 · LTA (PRS)</v>
          </cell>
          <cell r="C86">
            <v>98701</v>
          </cell>
          <cell r="F86">
            <v>98701</v>
          </cell>
        </row>
        <row r="87">
          <cell r="B87" t="str">
            <v>6210140 · Special (PRS)</v>
          </cell>
          <cell r="C87">
            <v>201596</v>
          </cell>
          <cell r="F87">
            <v>201596</v>
          </cell>
        </row>
        <row r="88">
          <cell r="B88" t="str">
            <v>6210170 · Medical (PRS)</v>
          </cell>
          <cell r="C88">
            <v>11250</v>
          </cell>
          <cell r="F88">
            <v>11250</v>
          </cell>
        </row>
        <row r="89">
          <cell r="B89" t="str">
            <v>6210190 · Vehicle (PRS)</v>
          </cell>
          <cell r="C89">
            <v>5600</v>
          </cell>
          <cell r="F89">
            <v>5600</v>
          </cell>
        </row>
        <row r="90">
          <cell r="B90" t="str">
            <v>6210200 · Health Plan (PRS)</v>
          </cell>
          <cell r="C90">
            <v>10472</v>
          </cell>
          <cell r="F90">
            <v>10472</v>
          </cell>
        </row>
        <row r="91">
          <cell r="B91" t="str">
            <v>6210400 · Recruitment (PRS)</v>
          </cell>
          <cell r="C91">
            <v>1654</v>
          </cell>
          <cell r="F91">
            <v>1654</v>
          </cell>
        </row>
        <row r="92">
          <cell r="B92" t="str">
            <v>6220010 · Airfare-Domestic (PRS)</v>
          </cell>
          <cell r="C92">
            <v>74176</v>
          </cell>
          <cell r="F92">
            <v>74176</v>
          </cell>
        </row>
        <row r="93">
          <cell r="B93" t="str">
            <v>6220030 · Motor Vehicles (PRS)</v>
          </cell>
          <cell r="C93">
            <v>4240</v>
          </cell>
          <cell r="F93">
            <v>4240</v>
          </cell>
        </row>
        <row r="94">
          <cell r="B94" t="str">
            <v>6220040 · Train &amp; Taxi fare (PRS)</v>
          </cell>
          <cell r="C94">
            <v>5147</v>
          </cell>
          <cell r="F94">
            <v>5147</v>
          </cell>
        </row>
        <row r="95">
          <cell r="B95" t="str">
            <v>6220050 · Car-Hire (PRS)</v>
          </cell>
          <cell r="C95">
            <v>7384</v>
          </cell>
          <cell r="F95">
            <v>7384</v>
          </cell>
        </row>
        <row r="96">
          <cell r="B96" t="str">
            <v>6220070 · Accomodation (PRS)</v>
          </cell>
          <cell r="C96">
            <v>7554</v>
          </cell>
          <cell r="F96">
            <v>7554</v>
          </cell>
        </row>
        <row r="97">
          <cell r="B97" t="str">
            <v>6220100 · Meals (PRS)</v>
          </cell>
          <cell r="C97">
            <v>3740</v>
          </cell>
          <cell r="F97">
            <v>3740</v>
          </cell>
        </row>
        <row r="98">
          <cell r="B98" t="str">
            <v>6230100 · General/Office Supplies (PRS)</v>
          </cell>
          <cell r="C98">
            <v>3597</v>
          </cell>
          <cell r="F98">
            <v>3597</v>
          </cell>
        </row>
        <row r="99">
          <cell r="B99" t="str">
            <v>6260100 · Dep'n-Assets (PRS)</v>
          </cell>
          <cell r="C99">
            <v>25167</v>
          </cell>
          <cell r="F99">
            <v>25167</v>
          </cell>
        </row>
        <row r="100">
          <cell r="B100" t="str">
            <v>6270200 · Telephone/Cellular (PRS)</v>
          </cell>
          <cell r="C100">
            <v>10101</v>
          </cell>
          <cell r="F100">
            <v>10101</v>
          </cell>
        </row>
        <row r="101">
          <cell r="B101" t="str">
            <v>6270250 · Internet (PRS)</v>
          </cell>
          <cell r="C101">
            <v>7762</v>
          </cell>
          <cell r="F101">
            <v>7762</v>
          </cell>
        </row>
        <row r="102">
          <cell r="B102" t="str">
            <v>6290100 · Admin Allocation In (PRS)</v>
          </cell>
          <cell r="C102">
            <v>304165.37</v>
          </cell>
          <cell r="F102">
            <v>304165.37</v>
          </cell>
        </row>
        <row r="103">
          <cell r="B103" t="str">
            <v>6410010 · Regular Salary (SVC)</v>
          </cell>
          <cell r="C103">
            <v>335500</v>
          </cell>
          <cell r="F103">
            <v>335500</v>
          </cell>
        </row>
        <row r="104">
          <cell r="B104" t="str">
            <v>6410070 · Vacation Accrual (SVC)</v>
          </cell>
          <cell r="C104">
            <v>65788</v>
          </cell>
          <cell r="F104">
            <v>65788</v>
          </cell>
        </row>
        <row r="105">
          <cell r="B105" t="str">
            <v>6410090 · Retirement/Superanuation (SVC)</v>
          </cell>
          <cell r="C105">
            <v>42663</v>
          </cell>
          <cell r="F105">
            <v>42663</v>
          </cell>
        </row>
        <row r="106">
          <cell r="B106" t="str">
            <v>6410120 · HRA (SVC)</v>
          </cell>
          <cell r="C106">
            <v>153800</v>
          </cell>
          <cell r="F106">
            <v>153800</v>
          </cell>
        </row>
        <row r="107">
          <cell r="B107" t="str">
            <v>6410130 · LTA (SVC)</v>
          </cell>
          <cell r="C107">
            <v>88468</v>
          </cell>
          <cell r="F107">
            <v>88468</v>
          </cell>
        </row>
        <row r="108">
          <cell r="B108" t="str">
            <v>6410140 · Special (SVC)</v>
          </cell>
          <cell r="C108">
            <v>269065</v>
          </cell>
          <cell r="F108">
            <v>269065</v>
          </cell>
        </row>
        <row r="109">
          <cell r="B109" t="str">
            <v>6410170 · Medical (SVC)</v>
          </cell>
          <cell r="C109">
            <v>10167</v>
          </cell>
          <cell r="F109">
            <v>10167</v>
          </cell>
        </row>
        <row r="110">
          <cell r="B110" t="str">
            <v>6410220 · Life Insurance (SVC)</v>
          </cell>
          <cell r="C110">
            <v>5106</v>
          </cell>
          <cell r="F110">
            <v>5106</v>
          </cell>
        </row>
        <row r="111">
          <cell r="B111" t="str">
            <v>6420010 · Airfare-Domestic (SVC)</v>
          </cell>
          <cell r="C111">
            <v>58607</v>
          </cell>
          <cell r="F111">
            <v>58607</v>
          </cell>
        </row>
        <row r="112">
          <cell r="B112" t="str">
            <v>6420020 · Airfare-International (SVC)</v>
          </cell>
          <cell r="C112">
            <v>81812</v>
          </cell>
          <cell r="F112">
            <v>81812</v>
          </cell>
        </row>
        <row r="113">
          <cell r="B113" t="str">
            <v>6420030 · Motor Vehicles (SVC)</v>
          </cell>
          <cell r="C113">
            <v>4600</v>
          </cell>
          <cell r="F113">
            <v>4600</v>
          </cell>
        </row>
        <row r="114">
          <cell r="B114" t="str">
            <v>6420040 · Train &amp; Taxi fare (SVC)</v>
          </cell>
          <cell r="C114">
            <v>13366</v>
          </cell>
          <cell r="F114">
            <v>13366</v>
          </cell>
        </row>
        <row r="115">
          <cell r="B115" t="str">
            <v>6420070 · Accomodation (SVC)</v>
          </cell>
          <cell r="C115">
            <v>30903</v>
          </cell>
          <cell r="F115">
            <v>30903</v>
          </cell>
        </row>
        <row r="116">
          <cell r="B116" t="str">
            <v>6420100 · Meals (SVC)</v>
          </cell>
          <cell r="C116">
            <v>37721</v>
          </cell>
          <cell r="F116">
            <v>37721</v>
          </cell>
        </row>
        <row r="117">
          <cell r="B117" t="str">
            <v>6420110 · Other Travel (SVC)</v>
          </cell>
          <cell r="C117">
            <v>18251</v>
          </cell>
          <cell r="F117">
            <v>18251</v>
          </cell>
        </row>
        <row r="118">
          <cell r="B118" t="str">
            <v>6420300 · Entertainment (SVC)</v>
          </cell>
          <cell r="C118">
            <v>553</v>
          </cell>
          <cell r="F118">
            <v>553</v>
          </cell>
        </row>
        <row r="119">
          <cell r="B119" t="str">
            <v>6430100 · General/Office Supplies (SVC)</v>
          </cell>
          <cell r="C119">
            <v>1804</v>
          </cell>
          <cell r="F119">
            <v>1804</v>
          </cell>
        </row>
        <row r="120">
          <cell r="B120" t="str">
            <v>6430250 · Exp. Assets-LocalTax Rs5K (SVC)</v>
          </cell>
          <cell r="C120">
            <v>60</v>
          </cell>
          <cell r="F120">
            <v>60</v>
          </cell>
        </row>
        <row r="121">
          <cell r="B121" t="str">
            <v>6460100 · Dep'n-Assets (SVC)</v>
          </cell>
          <cell r="C121">
            <v>9147</v>
          </cell>
          <cell r="F121">
            <v>9147</v>
          </cell>
        </row>
        <row r="122">
          <cell r="B122" t="str">
            <v>6470200 · Telephone/Cellular (SVC)</v>
          </cell>
          <cell r="C122">
            <v>13435</v>
          </cell>
          <cell r="F122">
            <v>13435</v>
          </cell>
        </row>
        <row r="123">
          <cell r="B123" t="str">
            <v>6470250 · Internet (SVC)</v>
          </cell>
          <cell r="C123">
            <v>6470</v>
          </cell>
          <cell r="F123">
            <v>6470</v>
          </cell>
        </row>
        <row r="124">
          <cell r="B124" t="str">
            <v>6470450 · Freight &amp; Postage (SVC)</v>
          </cell>
          <cell r="C124">
            <v>430</v>
          </cell>
          <cell r="F124">
            <v>430</v>
          </cell>
        </row>
        <row r="125">
          <cell r="B125" t="str">
            <v>6490100 · Admin Allocation In (SVC)</v>
          </cell>
          <cell r="C125">
            <v>185404.46</v>
          </cell>
          <cell r="F125">
            <v>185404.46</v>
          </cell>
        </row>
        <row r="126">
          <cell r="B126" t="str">
            <v>6830010 · General/Office Supplies (ADM)</v>
          </cell>
          <cell r="C126">
            <v>75851.850000000006</v>
          </cell>
          <cell r="F126">
            <v>75851.850000000006</v>
          </cell>
        </row>
        <row r="127">
          <cell r="B127" t="str">
            <v>6850100 · Legal Services (ADM)</v>
          </cell>
          <cell r="E127">
            <v>20000</v>
          </cell>
          <cell r="F127">
            <v>-20000</v>
          </cell>
        </row>
        <row r="128">
          <cell r="B128" t="str">
            <v>6850250 · Other Outside Services (ADM)</v>
          </cell>
          <cell r="C128">
            <v>181304</v>
          </cell>
          <cell r="F128">
            <v>181304</v>
          </cell>
        </row>
        <row r="129">
          <cell r="B129" t="str">
            <v>6860100 · Dep'n-Assets (ADM)</v>
          </cell>
          <cell r="C129">
            <v>3160</v>
          </cell>
          <cell r="F129">
            <v>3160</v>
          </cell>
        </row>
        <row r="130">
          <cell r="B130" t="str">
            <v>6870010 · Rent (ADM)</v>
          </cell>
          <cell r="C130">
            <v>723264.69</v>
          </cell>
          <cell r="F130">
            <v>723264.69</v>
          </cell>
        </row>
        <row r="131">
          <cell r="B131" t="str">
            <v>6870200 · Telephone/Cellular (ADM)</v>
          </cell>
          <cell r="C131">
            <v>56782.44</v>
          </cell>
          <cell r="F131">
            <v>56782.44</v>
          </cell>
        </row>
        <row r="132">
          <cell r="B132" t="str">
            <v>6870320 · Property Insurance (ADM)</v>
          </cell>
          <cell r="C132">
            <v>42305</v>
          </cell>
          <cell r="F132">
            <v>42305</v>
          </cell>
        </row>
        <row r="133">
          <cell r="B133" t="str">
            <v>6870500 · Bank Charges (ADM)</v>
          </cell>
          <cell r="C133">
            <v>15523.35</v>
          </cell>
          <cell r="F133">
            <v>15523.35</v>
          </cell>
        </row>
        <row r="134">
          <cell r="B134" t="str">
            <v>6890200 · Admin Allocation Out (ADM)</v>
          </cell>
          <cell r="E134">
            <v>1078191.33</v>
          </cell>
          <cell r="F134">
            <v>-1078191.33</v>
          </cell>
        </row>
        <row r="135">
          <cell r="B135" t="str">
            <v>6950150 · Accounting &amp; Advisory (FIN)</v>
          </cell>
          <cell r="C135">
            <v>583874</v>
          </cell>
          <cell r="F135">
            <v>583874</v>
          </cell>
        </row>
        <row r="136">
          <cell r="B136" t="str">
            <v>6950180 · Audit Services (FIN)</v>
          </cell>
          <cell r="C136">
            <v>74412</v>
          </cell>
          <cell r="F136">
            <v>74412</v>
          </cell>
        </row>
        <row r="137">
          <cell r="B137" t="str">
            <v>6950200 · Tax Services (FIN)</v>
          </cell>
          <cell r="C137">
            <v>46369</v>
          </cell>
          <cell r="F137">
            <v>46369</v>
          </cell>
        </row>
        <row r="138">
          <cell r="B138" t="str">
            <v>7000200 · Unrealised FX Gain</v>
          </cell>
          <cell r="E138">
            <v>135316.01</v>
          </cell>
          <cell r="F138">
            <v>-135316.01</v>
          </cell>
        </row>
        <row r="139">
          <cell r="B139" t="str">
            <v>7000250 · FX Gain</v>
          </cell>
          <cell r="E139">
            <v>157299.79</v>
          </cell>
          <cell r="F139">
            <v>-157299.79</v>
          </cell>
        </row>
        <row r="140">
          <cell r="B140" t="str">
            <v>8000300 · Interest Expense</v>
          </cell>
          <cell r="C140">
            <v>89</v>
          </cell>
          <cell r="F140">
            <v>89</v>
          </cell>
        </row>
        <row r="141">
          <cell r="B141" t="str">
            <v>8000990 · Other Miscellaneous Expense</v>
          </cell>
          <cell r="C141">
            <v>0.64</v>
          </cell>
          <cell r="F141">
            <v>0.64</v>
          </cell>
        </row>
        <row r="142">
          <cell r="B142" t="str">
            <v>9000150 · Deferred Tax Expense</v>
          </cell>
          <cell r="E142">
            <v>112236</v>
          </cell>
          <cell r="F142">
            <v>-112236</v>
          </cell>
        </row>
        <row r="143">
          <cell r="B143" t="str">
            <v>9000100 · Income Tax Expense</v>
          </cell>
          <cell r="C143">
            <v>455139</v>
          </cell>
          <cell r="F143">
            <v>455139</v>
          </cell>
        </row>
        <row r="144">
          <cell r="C144">
            <v>17581880.460000001</v>
          </cell>
          <cell r="E144">
            <v>17581880.460000001</v>
          </cell>
          <cell r="F144">
            <v>-1.0477378964424133E-9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6"/>
      <sheetName val="master"/>
      <sheetName val="entitlements"/>
      <sheetName val="FORM_16"/>
      <sheetName val="Notes"/>
      <sheetName val="overseas "/>
      <sheetName val="Indian"/>
      <sheetName val="Cover"/>
      <sheetName val="Ann A"/>
      <sheetName val="Ann B"/>
      <sheetName val="ANN C"/>
      <sheetName val="ann D"/>
      <sheetName val="FORM 3"/>
      <sheetName val="Schedule A"/>
      <sheetName val="Schedule B"/>
      <sheetName val="Schedule C"/>
      <sheetName val="Schedule D"/>
      <sheetName val="Schedule E"/>
      <sheetName val="Schedule F "/>
      <sheetName val="Schedule G"/>
      <sheetName val="Schedule  H"/>
      <sheetName val="Ann E"/>
      <sheetName val="New Form 16"/>
      <sheetName val="Form 12BA"/>
      <sheetName val="Ann-Form 12BA"/>
      <sheetName val="Saral (2)"/>
      <sheetName val="NOA Quaterly Data"/>
      <sheetName val="for challans"/>
      <sheetName val="Switch costs lookup"/>
      <sheetName val="PLJAN"/>
      <sheetName val="Switch_costs_lookup"/>
      <sheetName val="PN_01-02_21May02"/>
      <sheetName val="Expansion needed"/>
      <sheetName val="ALL"/>
      <sheetName val="AR"/>
      <sheetName val="Dels"/>
      <sheetName val="SC-E-02-03"/>
      <sheetName val="TB-JUNE-2003-18.7.03"/>
      <sheetName val="Ref"/>
      <sheetName val="Performance Report"/>
      <sheetName val="Pub Rts 1.5 Standalone"/>
      <sheetName val="ESI"/>
      <sheetName val="Sheet1"/>
      <sheetName val="Delhi"/>
      <sheetName val="overseas_"/>
      <sheetName val="Ann_A"/>
      <sheetName val="Ann_B"/>
      <sheetName val="ANN_C"/>
      <sheetName val="ann_D"/>
      <sheetName val="Ann_E"/>
      <sheetName val="New_Form_16"/>
      <sheetName val="Form_12BA"/>
      <sheetName val="Ann-Form_12BA"/>
      <sheetName val="Saral_(2)"/>
      <sheetName val="FORM_3"/>
      <sheetName val="Schedule_A"/>
      <sheetName val="Schedule_B"/>
      <sheetName val="Schedule_C"/>
      <sheetName val="Schedule_D"/>
      <sheetName val="Schedule_E"/>
      <sheetName val="Schedule_F_"/>
      <sheetName val="Schedule_G"/>
      <sheetName val="Schedule__H"/>
      <sheetName val="CRITERIA4"/>
      <sheetName val="COA-IPCL"/>
      <sheetName val="SPS DETAIL"/>
      <sheetName val="Expansion"/>
      <sheetName val="Input Form"/>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cell>
        </row>
        <row r="22">
          <cell r="A22" t="str">
            <v>DETAILS OF SALARY PAID AND ANY OTHER INCOME AND TAX DEDUCTED</v>
          </cell>
        </row>
        <row r="24">
          <cell r="I24" t="str">
            <v>Rs.</v>
          </cell>
          <cell r="J24" t="str">
            <v>Rs.</v>
          </cell>
        </row>
        <row r="25">
          <cell r="A25" t="str">
            <v>1.</v>
          </cell>
          <cell r="B25" t="str">
            <v xml:space="preserve">GROSS SALARY * </v>
          </cell>
          <cell r="I25">
            <v>5572690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5572690</v>
          </cell>
        </row>
        <row r="32">
          <cell r="A32" t="str">
            <v>4.</v>
          </cell>
          <cell r="B32" t="str">
            <v>DEDUCTIONS :</v>
          </cell>
        </row>
        <row r="33">
          <cell r="B33" t="str">
            <v>(a)  Standard deduction</v>
          </cell>
          <cell r="F33" t="str">
            <v/>
          </cell>
          <cell r="H33">
            <v>0</v>
          </cell>
        </row>
        <row r="34">
          <cell r="B34" t="str">
            <v>(b)  Entertainment allowance</v>
          </cell>
          <cell r="F34" t="str">
            <v/>
          </cell>
        </row>
        <row r="35">
          <cell r="B35" t="str">
            <v>(c)  Tax on Employment</v>
          </cell>
          <cell r="F35" t="str">
            <v/>
          </cell>
        </row>
        <row r="37">
          <cell r="A37" t="str">
            <v>5.</v>
          </cell>
          <cell r="B37" t="str">
            <v>AGGREGATE OF 4 (a to c)</v>
          </cell>
          <cell r="H37" t="str">
            <v/>
          </cell>
        </row>
        <row r="39">
          <cell r="A39" t="str">
            <v>6.</v>
          </cell>
          <cell r="B39" t="str">
            <v>INCOME CHARGEABLE UNDER</v>
          </cell>
        </row>
        <row r="40">
          <cell r="B40" t="str">
            <v>THE HEAD SALARIES (3-5)</v>
          </cell>
          <cell r="J40">
            <v>5572690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5572690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cell>
        </row>
        <row r="56">
          <cell r="B56" t="str">
            <v>Chapter VI-A</v>
          </cell>
          <cell r="J56">
            <v>0</v>
          </cell>
        </row>
        <row r="57">
          <cell r="J57" t="str">
            <v/>
          </cell>
        </row>
        <row r="58">
          <cell r="A58" t="str">
            <v>11.</v>
          </cell>
          <cell r="B58" t="str">
            <v>TOTAL INCOME (8-10)</v>
          </cell>
          <cell r="J58">
            <v>5572690</v>
          </cell>
        </row>
        <row r="59">
          <cell r="J59" t="str">
            <v/>
          </cell>
        </row>
        <row r="60">
          <cell r="A60" t="str">
            <v>12.</v>
          </cell>
          <cell r="B60" t="str">
            <v>TAX ON TOTAL INCOME</v>
          </cell>
          <cell r="J60">
            <v>1645807</v>
          </cell>
        </row>
      </sheetData>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block"/>
      <sheetName val="Table 41"/>
      <sheetName val="Table 9"/>
      <sheetName val="Table11"/>
      <sheetName val="K-1"/>
      <sheetName val="K-2"/>
      <sheetName val="Sheet1"/>
      <sheetName val="K-3"/>
      <sheetName val="Table 1"/>
      <sheetName val="Table 2"/>
      <sheetName val="Table 3"/>
      <sheetName val="Table 4"/>
      <sheetName val="Table 5"/>
      <sheetName val="Table 6"/>
      <sheetName val="Pivot"/>
      <sheetName val="Pivot 2"/>
      <sheetName val="DOT-Customer-data"/>
      <sheetName val="Fund Utilisation"/>
      <sheetName val="Consol"/>
      <sheetName val="Hyderabad_NLA"/>
      <sheetName val="Silokhera_NLA"/>
      <sheetName val="Cyber City_NLA"/>
      <sheetName val="Chennai_NLA"/>
      <sheetName val="Summary"/>
      <sheetName val="Chennai "/>
      <sheetName val="Tenant-Chennai"/>
      <sheetName val="Hyderabad"/>
      <sheetName val="Tanent-W Block"/>
      <sheetName val="W block (2)"/>
      <sheetName val="Silokhera"/>
      <sheetName val="Table 7"/>
      <sheetName val="Project Data"/>
      <sheetName val="Unleased area"/>
      <sheetName val="Assumption"/>
      <sheetName val="Pivot (2)"/>
      <sheetName val="Building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E1">
            <v>3.7037037037037035E-2</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at"/>
      <sheetName val="FOS2003"/>
      <sheetName val="FOS Actual"/>
      <sheetName val="FOS Plan"/>
      <sheetName val="FOS Format"/>
      <sheetName val="ARA"/>
      <sheetName val="Title"/>
      <sheetName val="PPV by Material Type NZ"/>
      <sheetName val="PPV by Material Type Australia"/>
      <sheetName val="PPV Warehouse"/>
      <sheetName val="PPV Aerosols"/>
      <sheetName val="PPV W'Park"/>
      <sheetName val="PPV Household"/>
      <sheetName val="PPV"/>
      <sheetName val="Jan-00"/>
      <sheetName val="Jan"/>
      <sheetName val="Feb-00"/>
      <sheetName val="Feb"/>
      <sheetName val="Mar-00"/>
      <sheetName val="Mar"/>
      <sheetName val="Apr-00"/>
      <sheetName val="Apr"/>
      <sheetName val="May-00"/>
      <sheetName val="May"/>
      <sheetName val="Jun-00"/>
      <sheetName val="Jun"/>
      <sheetName val="Jul-00"/>
      <sheetName val="Jul"/>
      <sheetName val="Cust-July"/>
      <sheetName val="Aug-00"/>
      <sheetName val="Aug"/>
      <sheetName val="Cust-Aug"/>
      <sheetName val="Sep-00"/>
      <sheetName val="Sep"/>
      <sheetName val="Cust-Sep"/>
      <sheetName val="Oct-00"/>
      <sheetName val="Oct"/>
      <sheetName val="Nov-00"/>
      <sheetName val="Nov"/>
      <sheetName val="Dec-00 "/>
      <sheetName val="Dec"/>
      <sheetName val="Cash Sales"/>
      <sheetName val="Cash Control"/>
      <sheetName val="CM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 val="Sheet1"/>
      <sheetName val="MAPPINGS"/>
      <sheetName val="RES"/>
      <sheetName val="Total M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Changes"/>
      <sheetName val="Copyright"/>
      <sheetName val="b"/>
      <sheetName val="Instructions"/>
      <sheetName val="Assumptions"/>
      <sheetName val="Supporting Sheet"/>
      <sheetName val="Input"/>
      <sheetName val="TV"/>
      <sheetName val="NOPAT"/>
      <sheetName val="Capital"/>
      <sheetName val="Valuation"/>
      <sheetName val="Dashboard"/>
      <sheetName val="EVA vs FCF Graph"/>
      <sheetName val="IRR"/>
      <sheetName val="Payback"/>
      <sheetName val="Payback Chart"/>
      <sheetName val="Sensitivity-Tornado"/>
      <sheetName val="Scenario Analysis"/>
      <sheetName val="Summary Output"/>
      <sheetName val="Sample Monte Carlo REPORT"/>
      <sheetName val="Depr 1"/>
      <sheetName val="Depr 2"/>
      <sheetName val="Depr 3"/>
      <sheetName val="Depr 4"/>
      <sheetName val="Depr 5"/>
      <sheetName val="Amort"/>
      <sheetName val="Module2"/>
      <sheetName val="Module1"/>
      <sheetName val="Dialog1"/>
      <sheetName val="Module4"/>
      <sheetName val="Chart1"/>
      <sheetName val="Rebuild Option"/>
      <sheetName val="Replace Option"/>
      <sheetName val="Divest Analy"/>
      <sheetName val="ANNEX-I(21(B)"/>
      <sheetName val="ANNEX-J(P)"/>
      <sheetName val="ANX-D(16b)"/>
      <sheetName val="HI-TAR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soh"/>
      <sheetName val="ADD LOAN"/>
      <sheetName val="COLL-LOAN"/>
      <sheetName val="GCF-COL-SOH"/>
      <sheetName val="GCF-COL-UMFC"/>
      <sheetName val="GCF-ADDLOAN"/>
      <sheetName val="GCF-COL-LOAN"/>
      <sheetName val="cdrlevel_GCF"/>
      <sheetName val="cdr level_afs"/>
      <sheetName val="AFS US NEA WITH US TB"/>
      <sheetName val="NEA-AFS"/>
      <sheetName val="GCF US NEA WITH US TB"/>
      <sheetName val="NEA-GCF"/>
      <sheetName val="GE6CRITERIA"/>
      <sheetName val="TOP SHEET"/>
      <sheetName val="CW-KPMG"/>
      <sheetName val="Sheet1"/>
      <sheetName val="Open-Item"/>
      <sheetName val="RECON"/>
      <sheetName val="Opens"/>
      <sheetName val="Curr Month Movement"/>
      <sheetName val="Home-loans"/>
    </sheetNames>
    <sheetDataSet>
      <sheetData sheetId="0">
        <row r="170">
          <cell r="A170" t="str">
            <v>GE  COUNTRYWIDE CONSUMER FINANCIAL SERVICES LTD.</v>
          </cell>
        </row>
      </sheetData>
      <sheetData sheetId="1"/>
      <sheetData sheetId="2"/>
      <sheetData sheetId="3"/>
      <sheetData sheetId="4"/>
      <sheetData sheetId="5"/>
      <sheetData sheetId="6"/>
      <sheetData sheetId="7"/>
      <sheetData sheetId="8"/>
      <sheetData sheetId="9"/>
      <sheetData sheetId="10"/>
      <sheetData sheetId="11"/>
      <sheetData sheetId="12"/>
      <sheetData sheetId="13">
        <row r="170">
          <cell r="A170" t="str">
            <v>GE  COUNTRYWIDE CONSUMER FINANCIAL SERVICES LTD.</v>
          </cell>
        </row>
        <row r="171">
          <cell r="A171" t="str">
            <v>Legal Entity:</v>
          </cell>
          <cell r="B171">
            <v>662</v>
          </cell>
        </row>
        <row r="172">
          <cell r="A172" t="str">
            <v>Office Code:</v>
          </cell>
          <cell r="B172" t="str">
            <v>CAS</v>
          </cell>
        </row>
        <row r="173">
          <cell r="A173" t="str">
            <v>BSLA:</v>
          </cell>
          <cell r="B173" t="str">
            <v>BCXINR</v>
          </cell>
        </row>
        <row r="175">
          <cell r="A175" t="str">
            <v>Account Details</v>
          </cell>
        </row>
        <row r="176">
          <cell r="A176" t="str">
            <v>General Ledger Code:</v>
          </cell>
          <cell r="B176" t="str">
            <v>047001002-1003</v>
          </cell>
        </row>
        <row r="178">
          <cell r="A178" t="str">
            <v>Description:</v>
          </cell>
          <cell r="B178" t="str">
            <v>AFS Advance EMI</v>
          </cell>
        </row>
        <row r="179">
          <cell r="A179" t="str">
            <v>Purpose:</v>
          </cell>
          <cell r="B179" t="str">
            <v xml:space="preserve">Advance Installments received from Customers against Loan amount </v>
          </cell>
        </row>
        <row r="180">
          <cell r="A180" t="str">
            <v xml:space="preserve">Color: </v>
          </cell>
          <cell r="B180" t="str">
            <v>Credit</v>
          </cell>
        </row>
        <row r="181">
          <cell r="A181" t="str">
            <v>Risk</v>
          </cell>
          <cell r="B181" t="str">
            <v>High</v>
          </cell>
        </row>
        <row r="182">
          <cell r="A182" t="str">
            <v>Average Balance:</v>
          </cell>
          <cell r="B182">
            <v>0</v>
          </cell>
        </row>
        <row r="184">
          <cell r="A184" t="str">
            <v>Flow:</v>
          </cell>
        </row>
        <row r="186">
          <cell r="A186" t="str">
            <v>Addition Finacing Loans- AFS</v>
          </cell>
          <cell r="B186" t="str">
            <v>030001003-1001</v>
          </cell>
          <cell r="C186" t="str">
            <v>DR</v>
          </cell>
        </row>
        <row r="187">
          <cell r="A187" t="str">
            <v xml:space="preserve">AFS Advance EMI </v>
          </cell>
          <cell r="B187" t="str">
            <v>030001002-1003</v>
          </cell>
          <cell r="C187" t="str">
            <v>CR</v>
          </cell>
        </row>
        <row r="189">
          <cell r="A189" t="str">
            <v xml:space="preserve">AFS Advance EMI </v>
          </cell>
          <cell r="B189" t="str">
            <v>030001002-1003</v>
          </cell>
          <cell r="C189" t="str">
            <v>DR</v>
          </cell>
        </row>
        <row r="190">
          <cell r="A190" t="str">
            <v>Collection Financing Loans-AFS</v>
          </cell>
          <cell r="B190" t="str">
            <v>030001002-1002</v>
          </cell>
          <cell r="C190" t="str">
            <v>CR</v>
          </cell>
        </row>
        <row r="191">
          <cell r="A191" t="str">
            <v>Income on Loans</v>
          </cell>
          <cell r="C191" t="str">
            <v>CR</v>
          </cell>
        </row>
        <row r="195">
          <cell r="A195" t="str">
            <v>Recon Summary:</v>
          </cell>
        </row>
        <row r="196">
          <cell r="C196" t="str">
            <v>CAS</v>
          </cell>
          <cell r="D196" t="str">
            <v>HO</v>
          </cell>
          <cell r="E196" t="str">
            <v>K-COPS</v>
          </cell>
          <cell r="F196" t="str">
            <v>TB - BALANCE</v>
          </cell>
        </row>
        <row r="197">
          <cell r="B197" t="str">
            <v>047001001-1003</v>
          </cell>
          <cell r="C197">
            <v>0</v>
          </cell>
          <cell r="D197">
            <v>0</v>
          </cell>
          <cell r="E197">
            <v>0</v>
          </cell>
          <cell r="F197">
            <v>0</v>
          </cell>
        </row>
        <row r="198">
          <cell r="B198" t="str">
            <v>030002001-1003</v>
          </cell>
          <cell r="C198">
            <v>0</v>
          </cell>
          <cell r="D198">
            <v>0</v>
          </cell>
          <cell r="E198">
            <v>-12992562.800000001</v>
          </cell>
          <cell r="F198">
            <v>-12992562.800000001</v>
          </cell>
        </row>
        <row r="199">
          <cell r="B199" t="str">
            <v>047001002-1003</v>
          </cell>
          <cell r="C199">
            <v>0</v>
          </cell>
          <cell r="D199">
            <v>0</v>
          </cell>
          <cell r="E199">
            <v>0</v>
          </cell>
          <cell r="F199">
            <v>0</v>
          </cell>
        </row>
        <row r="200">
          <cell r="B200" t="str">
            <v>030002002-1003</v>
          </cell>
          <cell r="C200">
            <v>0</v>
          </cell>
          <cell r="D200">
            <v>0</v>
          </cell>
          <cell r="E200">
            <v>0</v>
          </cell>
          <cell r="F200">
            <v>0</v>
          </cell>
        </row>
        <row r="201">
          <cell r="B201" t="str">
            <v>047001004-1004</v>
          </cell>
          <cell r="C201">
            <v>0</v>
          </cell>
          <cell r="D201">
            <v>0</v>
          </cell>
          <cell r="E201">
            <v>0</v>
          </cell>
          <cell r="F201">
            <v>0</v>
          </cell>
        </row>
        <row r="202">
          <cell r="B202" t="str">
            <v>030002004-1003</v>
          </cell>
          <cell r="C202">
            <v>0</v>
          </cell>
          <cell r="D202">
            <v>0</v>
          </cell>
          <cell r="E202">
            <v>0</v>
          </cell>
          <cell r="F202">
            <v>0</v>
          </cell>
        </row>
        <row r="203">
          <cell r="A203" t="str">
            <v>Balance as per General Ledger</v>
          </cell>
          <cell r="B203">
            <v>38230</v>
          </cell>
          <cell r="C203">
            <v>0</v>
          </cell>
          <cell r="D203">
            <v>0</v>
          </cell>
          <cell r="E203">
            <v>-12992562.800000001</v>
          </cell>
          <cell r="F203">
            <v>-12992562.800000001</v>
          </cell>
        </row>
        <row r="205">
          <cell r="A205" t="str">
            <v>Reconciling Items - Schedule Attached</v>
          </cell>
          <cell r="C205">
            <v>0</v>
          </cell>
          <cell r="D205">
            <v>0</v>
          </cell>
          <cell r="E205">
            <v>0</v>
          </cell>
          <cell r="F205">
            <v>0</v>
          </cell>
        </row>
        <row r="207">
          <cell r="A207" t="str">
            <v>Balance as per schedule</v>
          </cell>
          <cell r="B207">
            <v>38230</v>
          </cell>
          <cell r="C207">
            <v>0</v>
          </cell>
          <cell r="D207">
            <v>0</v>
          </cell>
          <cell r="E207">
            <v>-12992562.800000001</v>
          </cell>
          <cell r="F207">
            <v>-12992562.800000001</v>
          </cell>
        </row>
        <row r="208">
          <cell r="B208" t="str">
            <v/>
          </cell>
        </row>
        <row r="209">
          <cell r="B209" t="str">
            <v>Difference.</v>
          </cell>
          <cell r="C209">
            <v>0</v>
          </cell>
          <cell r="D209">
            <v>0</v>
          </cell>
          <cell r="E209">
            <v>0</v>
          </cell>
          <cell r="F209">
            <v>0</v>
          </cell>
        </row>
        <row r="210">
          <cell r="D210" t="str">
            <v/>
          </cell>
          <cell r="E210" t="str">
            <v/>
          </cell>
        </row>
        <row r="211">
          <cell r="C211" t="str">
            <v/>
          </cell>
        </row>
        <row r="216">
          <cell r="A216" t="str">
            <v>Prepared by:</v>
          </cell>
          <cell r="B216" t="str">
            <v>Sundar.M.N</v>
          </cell>
        </row>
        <row r="218">
          <cell r="A218" t="str">
            <v>Reviewed by:</v>
          </cell>
          <cell r="B218" t="str">
            <v>Murali .A</v>
          </cell>
        </row>
        <row r="220">
          <cell r="A220" t="str">
            <v>Date of completion:</v>
          </cell>
          <cell r="B220">
            <v>38244</v>
          </cell>
        </row>
      </sheetData>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E4">
            <v>-13673165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ExportVar"/>
      <sheetName val="Part A"/>
      <sheetName val="Business_Organisation"/>
      <sheetName val="Directors"/>
      <sheetName val="Subsidiary Companies"/>
      <sheetName val="Beneficial Owners"/>
      <sheetName val="Balance sheet"/>
      <sheetName val="Profit and Loss"/>
      <sheetName val="Other Information"/>
      <sheetName val="Principal Item -Trading"/>
      <sheetName val="Principal Item - Raw material"/>
      <sheetName val="Principal Item - Products"/>
      <sheetName val="Schedule TI"/>
      <sheetName val="Part C"/>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s>
    <sheetDataSet>
      <sheetData sheetId="0" refreshError="1">
        <row r="16">
          <cell r="A16" t="str">
            <v xml:space="preserve">01 - ANDAMAN AND NICOBAR ISLANDS </v>
          </cell>
        </row>
        <row r="17">
          <cell r="A17" t="str">
            <v xml:space="preserve">02 - ANDHRA PRADESH </v>
          </cell>
        </row>
        <row r="18">
          <cell r="A18" t="str">
            <v xml:space="preserve">03 - ARUNACHAL PRADESH </v>
          </cell>
        </row>
        <row r="19">
          <cell r="A19" t="str">
            <v xml:space="preserve">04 - ASSAM </v>
          </cell>
        </row>
        <row r="20">
          <cell r="A20" t="str">
            <v xml:space="preserve">05 - BIHAR </v>
          </cell>
        </row>
        <row r="21">
          <cell r="A21" t="str">
            <v xml:space="preserve">06 - CHANDIGARH </v>
          </cell>
        </row>
        <row r="22">
          <cell r="A22" t="str">
            <v xml:space="preserve">07 - DADRA &amp; NAGAR HAVELI </v>
          </cell>
        </row>
        <row r="23">
          <cell r="A23" t="str">
            <v xml:space="preserve">08 - DAMAN &amp; DIU </v>
          </cell>
        </row>
        <row r="24">
          <cell r="A24" t="str">
            <v xml:space="preserve">09 - DELHI </v>
          </cell>
        </row>
        <row r="25">
          <cell r="A25" t="str">
            <v xml:space="preserve">10 - GOA </v>
          </cell>
        </row>
        <row r="26">
          <cell r="A26" t="str">
            <v xml:space="preserve">11 - GUJARAT </v>
          </cell>
        </row>
        <row r="27">
          <cell r="A27" t="str">
            <v xml:space="preserve">12 - HARYANA </v>
          </cell>
        </row>
        <row r="28">
          <cell r="A28" t="str">
            <v xml:space="preserve">13 - HIMACHAL PRADESH </v>
          </cell>
        </row>
        <row r="29">
          <cell r="A29" t="str">
            <v xml:space="preserve">14 - JAMMU &amp; KASHMIR </v>
          </cell>
        </row>
        <row r="30">
          <cell r="A30" t="str">
            <v xml:space="preserve">15 - KARNATAKA </v>
          </cell>
        </row>
        <row r="31">
          <cell r="A31" t="str">
            <v xml:space="preserve">16 - KERALA </v>
          </cell>
        </row>
        <row r="32">
          <cell r="A32" t="str">
            <v xml:space="preserve">17 - LAKHSWADEEP </v>
          </cell>
        </row>
        <row r="33">
          <cell r="A33" t="str">
            <v xml:space="preserve">18 - MADHYA PRADESH </v>
          </cell>
        </row>
        <row r="34">
          <cell r="A34" t="str">
            <v xml:space="preserve">19 - MAHARASHTRA </v>
          </cell>
        </row>
        <row r="35">
          <cell r="A35" t="str">
            <v xml:space="preserve">20 - MANIPUR </v>
          </cell>
        </row>
        <row r="36">
          <cell r="A36" t="str">
            <v xml:space="preserve">21 - MEGHALAYA </v>
          </cell>
        </row>
        <row r="37">
          <cell r="A37" t="str">
            <v xml:space="preserve">22 - MIZORAM </v>
          </cell>
        </row>
        <row r="38">
          <cell r="A38" t="str">
            <v xml:space="preserve">23 - NAGALAND </v>
          </cell>
        </row>
        <row r="39">
          <cell r="A39" t="str">
            <v xml:space="preserve">24 - ORISSA </v>
          </cell>
        </row>
        <row r="40">
          <cell r="A40" t="str">
            <v xml:space="preserve">25 - PONDICHERRY </v>
          </cell>
        </row>
        <row r="41">
          <cell r="A41" t="str">
            <v xml:space="preserve">26 - PUNJAB </v>
          </cell>
        </row>
        <row r="42">
          <cell r="A42" t="str">
            <v xml:space="preserve">27 - RAJASTHAN </v>
          </cell>
        </row>
        <row r="43">
          <cell r="A43" t="str">
            <v xml:space="preserve">28 - SIKKIM </v>
          </cell>
        </row>
        <row r="44">
          <cell r="A44" t="str">
            <v xml:space="preserve">29 - TAMILNADU </v>
          </cell>
        </row>
        <row r="45">
          <cell r="A45" t="str">
            <v xml:space="preserve">30 - TRIPURA </v>
          </cell>
        </row>
        <row r="46">
          <cell r="A46" t="str">
            <v xml:space="preserve">31 - UTTAR PRADESH </v>
          </cell>
        </row>
        <row r="47">
          <cell r="A47" t="str">
            <v xml:space="preserve">32 - WEST BENGAL </v>
          </cell>
        </row>
        <row r="48">
          <cell r="A48" t="str">
            <v xml:space="preserve">33 - CHHATISHGARH </v>
          </cell>
        </row>
        <row r="49">
          <cell r="A49" t="str">
            <v xml:space="preserve">34 - UTTARANCHAL </v>
          </cell>
        </row>
        <row r="50">
          <cell r="A50" t="str">
            <v>35 - JHARKHAND</v>
          </cell>
        </row>
        <row r="51">
          <cell r="A51" t="str">
            <v>99 - Foreign Person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7 - Stores &amp; Spares"/>
      <sheetName val="E_7 _ Stores _ Spares"/>
      <sheetName val="Lists"/>
    </sheetNames>
    <sheetDataSet>
      <sheetData sheetId="0" refreshError="1">
        <row r="1727">
          <cell r="E1727" t="str">
            <v>A-4</v>
          </cell>
        </row>
      </sheetData>
      <sheetData sheetId="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l Balances"/>
      <sheetName val="P&amp;L data Links"/>
      <sheetName val="BS data links"/>
      <sheetName val="P Rep Links"/>
      <sheetName val="Topsheet"/>
      <sheetName val="Contents"/>
      <sheetName val="Performance Report"/>
      <sheetName val="Revenue Statements"/>
      <sheetName val="Income Statements - Dec Month"/>
      <sheetName val="Comparative Income Statements"/>
      <sheetName val="Balance Sheet "/>
      <sheetName val="Cashflow"/>
      <sheetName val="syndicate codes"/>
      <sheetName val="Assumptions"/>
      <sheetName val="Licences"/>
      <sheetName val="Europe Consolidated"/>
      <sheetName val="Tariff ROM and Mum"/>
      <sheetName val="Usage - ROM"/>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Sheet"/>
      <sheetName val="P &amp; L"/>
      <sheetName val="Schdule form-I"/>
      <sheetName val="Sheet1"/>
      <sheetName val="Sheet2"/>
      <sheetName val="Schduel form-II"/>
      <sheetName val="Schduel form-I (2)"/>
      <sheetName val="grpng"/>
      <sheetName val="Abstract"/>
      <sheetName val="Net"/>
      <sheetName val="Sheet1 (2)"/>
      <sheetName val="Sheet3"/>
      <sheetName val="FA"/>
      <sheetName val="Inv"/>
      <sheetName val="Ingrouping"/>
      <sheetName val="Schduel form-I (3)"/>
      <sheetName val="JVSFROMUSLTOUTV"/>
      <sheetName val="JVSFROMUTVTOUSL"/>
      <sheetName val="jvs160104"/>
      <sheetName val="JVs"/>
      <sheetName val="jv"/>
      <sheetName val="inv (2)"/>
      <sheetName val="contb"/>
      <sheetName val="prov jvs-utv (2)"/>
      <sheetName val="woa_op_bal "/>
      <sheetName val="BalancesheetGrouping"/>
      <sheetName val="Expensesgrouping"/>
      <sheetName val="Corp ohs"/>
      <sheetName val="Sheet4"/>
      <sheetName val="final Combine"/>
      <sheetName val="Depriciation"/>
      <sheetName val="woa_op_bal"/>
      <sheetName val="wwww"/>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NL"/>
      <sheetName val="Sheet2"/>
      <sheetName val="SCHEDULE"/>
      <sheetName val="depreciation.income tax"/>
      <sheetName val="company act"/>
      <sheetName val="TrialBal (2)"/>
      <sheetName val="trial bal"/>
      <sheetName val="ABSTRACT"/>
      <sheetName val="DEPRECIATION. COMPANY"/>
      <sheetName val="computation "/>
      <sheetName val="Income tax"/>
    </sheetNames>
    <sheetDataSet>
      <sheetData sheetId="0"/>
      <sheetData sheetId="1"/>
      <sheetData sheetId="2"/>
      <sheetData sheetId="3">
        <row r="3">
          <cell r="A3" t="str">
            <v>K D SALES EXCEL  PRIVATE LIMITED</v>
          </cell>
        </row>
        <row r="5">
          <cell r="A5" t="str">
            <v>Schedule to the Accounts annexed to and forming part of the Balance sheets as at March 31, 2005</v>
          </cell>
        </row>
        <row r="8">
          <cell r="B8" t="str">
            <v>As at</v>
          </cell>
        </row>
        <row r="9">
          <cell r="A9" t="str">
            <v>Schedule to the Accounts</v>
          </cell>
          <cell r="B9" t="str">
            <v>March 31,2006</v>
          </cell>
        </row>
        <row r="11">
          <cell r="A11" t="str">
            <v>SCHEDULE   1</v>
          </cell>
        </row>
        <row r="12">
          <cell r="A12" t="str">
            <v>SHARE CAPITAL</v>
          </cell>
        </row>
        <row r="13">
          <cell r="A13" t="str">
            <v>Authorised</v>
          </cell>
        </row>
        <row r="14">
          <cell r="A14" t="str">
            <v>20,000 equity shares of Rs.10 each</v>
          </cell>
          <cell r="B14" t="e">
            <v>#REF!</v>
          </cell>
        </row>
        <row r="16">
          <cell r="A16" t="str">
            <v>Issued, Subscribed and Paid up</v>
          </cell>
        </row>
        <row r="17">
          <cell r="A17" t="str">
            <v>20000 equity shares of Rs.10 each fully paidup</v>
          </cell>
          <cell r="B17" t="e">
            <v>#REF!</v>
          </cell>
        </row>
        <row r="19">
          <cell r="B19" t="e">
            <v>#REF!</v>
          </cell>
        </row>
        <row r="21">
          <cell r="A21" t="str">
            <v>SCHEDULE   2</v>
          </cell>
        </row>
        <row r="22">
          <cell r="A22" t="str">
            <v>RESERVE AND SURPLUS</v>
          </cell>
        </row>
        <row r="23">
          <cell r="A23" t="str">
            <v>Opening Balance</v>
          </cell>
          <cell r="B23" t="e">
            <v>#REF!</v>
          </cell>
        </row>
        <row r="24">
          <cell r="A24" t="str">
            <v>Profit and Loss Account</v>
          </cell>
        </row>
        <row r="26">
          <cell r="B26" t="e">
            <v>#REF!</v>
          </cell>
        </row>
        <row r="28">
          <cell r="A28" t="str">
            <v>SCHEDULE   3</v>
          </cell>
        </row>
        <row r="29">
          <cell r="A29" t="str">
            <v>UNSECURED LOANS</v>
          </cell>
        </row>
        <row r="30">
          <cell r="A30" t="str">
            <v>Loan from Directors</v>
          </cell>
          <cell r="B30" t="e">
            <v>#REF!</v>
          </cell>
        </row>
        <row r="31">
          <cell r="A31" t="str">
            <v>Car Loan -Director</v>
          </cell>
          <cell r="B31" t="e">
            <v>#REF!</v>
          </cell>
        </row>
        <row r="32">
          <cell r="A32" t="str">
            <v>Car Loan -HDFC Bank</v>
          </cell>
          <cell r="B32" t="e">
            <v>#REF!</v>
          </cell>
        </row>
        <row r="33">
          <cell r="B33" t="e">
            <v>#REF!</v>
          </cell>
        </row>
        <row r="35">
          <cell r="A35" t="str">
            <v>SCHEDULE   5</v>
          </cell>
        </row>
        <row r="36">
          <cell r="A36" t="str">
            <v>SUNDRY DEBTORS</v>
          </cell>
        </row>
        <row r="37">
          <cell r="A37" t="str">
            <v>Others Debts</v>
          </cell>
        </row>
        <row r="38">
          <cell r="A38" t="str">
            <v>- Considered Good</v>
          </cell>
          <cell r="B38" t="e">
            <v>#REF!</v>
          </cell>
          <cell r="C38">
            <v>376460</v>
          </cell>
        </row>
        <row r="39">
          <cell r="A39" t="str">
            <v>Less: Provision for Doubtful Debts</v>
          </cell>
          <cell r="C39">
            <v>0</v>
          </cell>
        </row>
        <row r="41">
          <cell r="B41" t="e">
            <v>#REF!</v>
          </cell>
          <cell r="C41">
            <v>376460</v>
          </cell>
        </row>
        <row r="43">
          <cell r="A43" t="str">
            <v>SCHEDULE   6</v>
          </cell>
        </row>
        <row r="44">
          <cell r="A44" t="str">
            <v>CASH AND BANK BALANCES</v>
          </cell>
        </row>
        <row r="45">
          <cell r="A45" t="str">
            <v>Cash in Hand</v>
          </cell>
          <cell r="B45" t="e">
            <v>#REF!</v>
          </cell>
          <cell r="C45">
            <v>19882</v>
          </cell>
        </row>
        <row r="47">
          <cell r="A47" t="str">
            <v>Balance with scheduled banks</v>
          </cell>
        </row>
        <row r="48">
          <cell r="A48" t="str">
            <v>-On Current Accounts</v>
          </cell>
          <cell r="B48" t="e">
            <v>#REF!</v>
          </cell>
          <cell r="C48">
            <v>133111.4</v>
          </cell>
        </row>
        <row r="51">
          <cell r="B51" t="e">
            <v>#REF!</v>
          </cell>
          <cell r="C51">
            <v>152993.4</v>
          </cell>
        </row>
        <row r="53">
          <cell r="A53" t="str">
            <v>SCHEDULE   7</v>
          </cell>
        </row>
        <row r="54">
          <cell r="A54" t="str">
            <v xml:space="preserve">LOANS AND ADVANCES </v>
          </cell>
        </row>
        <row r="55">
          <cell r="A55" t="str">
            <v>(Unsecured and considered good unless otherwise stated)</v>
          </cell>
        </row>
        <row r="56">
          <cell r="A56" t="str">
            <v>Security Deposits</v>
          </cell>
          <cell r="B56" t="e">
            <v>#REF!</v>
          </cell>
          <cell r="C56">
            <v>71500</v>
          </cell>
        </row>
        <row r="57">
          <cell r="A57" t="str">
            <v>Tax Refundable</v>
          </cell>
          <cell r="B57" t="e">
            <v>#REF!</v>
          </cell>
          <cell r="C57">
            <v>135875.13</v>
          </cell>
        </row>
        <row r="58">
          <cell r="A58" t="str">
            <v>Service Tax Receivable</v>
          </cell>
          <cell r="C58">
            <v>46237</v>
          </cell>
        </row>
        <row r="59">
          <cell r="A59" t="str">
            <v>Service Tax Receivable</v>
          </cell>
          <cell r="B59" t="e">
            <v>#REF!</v>
          </cell>
        </row>
        <row r="60">
          <cell r="A60" t="str">
            <v xml:space="preserve">Income Tax FBT </v>
          </cell>
          <cell r="B60" t="e">
            <v>#REF!</v>
          </cell>
        </row>
        <row r="61">
          <cell r="A61" t="str">
            <v>Other loans &amp; Advances</v>
          </cell>
          <cell r="B61" t="e">
            <v>#REF!</v>
          </cell>
          <cell r="C61">
            <v>7679</v>
          </cell>
        </row>
        <row r="63">
          <cell r="B63" t="e">
            <v>#REF!</v>
          </cell>
          <cell r="C63">
            <v>215054.13</v>
          </cell>
        </row>
        <row r="65">
          <cell r="A65" t="str">
            <v>SCHEDULE   8</v>
          </cell>
        </row>
        <row r="66">
          <cell r="A66" t="str">
            <v>CURRENT LIABILITIES</v>
          </cell>
        </row>
        <row r="67">
          <cell r="A67" t="str">
            <v>Expenses Payable</v>
          </cell>
          <cell r="B67" t="e">
            <v>#REF!</v>
          </cell>
          <cell r="C67">
            <v>257298</v>
          </cell>
        </row>
        <row r="68">
          <cell r="A68" t="str">
            <v>Statutory Dues payable</v>
          </cell>
          <cell r="B68" t="e">
            <v>#REF!</v>
          </cell>
          <cell r="C68">
            <v>85298.39</v>
          </cell>
        </row>
        <row r="69">
          <cell r="A69" t="str">
            <v>Other Liabilities</v>
          </cell>
          <cell r="B69" t="e">
            <v>#REF!</v>
          </cell>
          <cell r="C69">
            <v>131497.70000000001</v>
          </cell>
        </row>
        <row r="70">
          <cell r="B70" t="e">
            <v>#REF!</v>
          </cell>
          <cell r="C70">
            <v>474094.09</v>
          </cell>
        </row>
        <row r="73">
          <cell r="A73" t="str">
            <v>SCHEDULE   9</v>
          </cell>
        </row>
        <row r="75">
          <cell r="A75" t="str">
            <v>MISCELLANEOUS EXPENDITURE</v>
          </cell>
        </row>
        <row r="76">
          <cell r="A76" t="str">
            <v>(To the extent not written off or adjusted)</v>
          </cell>
        </row>
        <row r="77">
          <cell r="A77" t="str">
            <v>Deferred Expenses</v>
          </cell>
        </row>
        <row r="78">
          <cell r="A78" t="str">
            <v>Balance brought forward</v>
          </cell>
          <cell r="B78">
            <v>-6400</v>
          </cell>
        </row>
        <row r="79">
          <cell r="A79" t="str">
            <v>Add: Filing fees paid during the year</v>
          </cell>
          <cell r="C79">
            <v>0</v>
          </cell>
        </row>
        <row r="80">
          <cell r="A80" t="str">
            <v>Preliminary expenses (Asset)</v>
          </cell>
          <cell r="B80" t="e">
            <v>#REF!</v>
          </cell>
        </row>
        <row r="81">
          <cell r="A81" t="str">
            <v>Less: Written off during the year</v>
          </cell>
          <cell r="C81">
            <v>-6400</v>
          </cell>
        </row>
        <row r="82">
          <cell r="B82" t="e">
            <v>#REF!</v>
          </cell>
          <cell r="C82">
            <v>-6400</v>
          </cell>
        </row>
      </sheetData>
      <sheetData sheetId="4"/>
      <sheetData sheetId="5"/>
      <sheetData sheetId="6"/>
      <sheetData sheetId="7"/>
      <sheetData sheetId="8"/>
      <sheetData sheetId="9"/>
      <sheetData sheetId="10"/>
      <sheetData sheetId="1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ussion"/>
      <sheetName val="Summary"/>
      <sheetName val="2000"/>
      <sheetName val="2001"/>
      <sheetName val="GBP Budget"/>
      <sheetName val="Actuals"/>
      <sheetName val="pageview graph"/>
      <sheetName val="Revenue graph"/>
      <sheetName val="graph data"/>
      <sheetName val="traffic by country"/>
      <sheetName val="Ad sales revenue"/>
      <sheetName val="Syndicate volumes"/>
      <sheetName val="LS Recharge"/>
      <sheetName val="BT Recharge"/>
      <sheetName val="Marketing"/>
      <sheetName val="Genie"/>
      <sheetName val="LS WAP"/>
      <sheetName val="Licencing"/>
      <sheetName val="Listings"/>
      <sheetName val="Barter"/>
      <sheetName val="Newsfeeds"/>
      <sheetName val="Travel"/>
      <sheetName val="Wages"/>
      <sheetName val="Accomodation"/>
      <sheetName val="Recruitment"/>
      <sheetName val="Staff Costs"/>
      <sheetName val="technical"/>
      <sheetName val="technical 6 july"/>
      <sheetName val="Depreciation"/>
      <sheetName val="AR"/>
      <sheetName val="ecomme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6CRITERIA"/>
      <sheetName val="CW-KPMG"/>
      <sheetName val="NEA-AFS"/>
      <sheetName val="NEA-GCF"/>
      <sheetName val="Curr Month Movement"/>
      <sheetName val="NEA-TB"/>
      <sheetName val="TBBAL_NEA"/>
    </sheetNames>
    <sheetDataSet>
      <sheetData sheetId="0" refreshError="1"/>
      <sheetData sheetId="1" refreshError="1"/>
      <sheetData sheetId="2" refreshError="1"/>
      <sheetData sheetId="3" refreshError="1"/>
      <sheetData sheetId="4">
        <row r="1">
          <cell r="B1">
            <v>1</v>
          </cell>
          <cell r="C1">
            <v>2</v>
          </cell>
          <cell r="D1">
            <v>3</v>
          </cell>
          <cell r="E1">
            <v>4</v>
          </cell>
          <cell r="F1">
            <v>5</v>
          </cell>
          <cell r="G1">
            <v>6</v>
          </cell>
          <cell r="H1">
            <v>7</v>
          </cell>
          <cell r="I1">
            <v>8</v>
          </cell>
        </row>
        <row r="3">
          <cell r="B3" t="str">
            <v>GN1662A2</v>
          </cell>
          <cell r="C3" t="str">
            <v>GN1662A3</v>
          </cell>
          <cell r="D3" t="str">
            <v>GN1662A4</v>
          </cell>
          <cell r="E3" t="str">
            <v>GN1662A5</v>
          </cell>
          <cell r="F3" t="str">
            <v>GN1662A6</v>
          </cell>
          <cell r="G3" t="str">
            <v>GN1662A7</v>
          </cell>
          <cell r="H3" t="str">
            <v>GN1662A8</v>
          </cell>
          <cell r="I3" t="str">
            <v>GN1662A9</v>
          </cell>
        </row>
        <row r="4">
          <cell r="B4" t="str">
            <v>AMRITSAR</v>
          </cell>
          <cell r="C4" t="str">
            <v>AJMER</v>
          </cell>
          <cell r="D4" t="str">
            <v>AKOLA</v>
          </cell>
          <cell r="E4" t="str">
            <v>ALLEPPEY</v>
          </cell>
          <cell r="F4" t="str">
            <v>ALLAHABAD</v>
          </cell>
          <cell r="G4" t="str">
            <v>ALWAR</v>
          </cell>
          <cell r="H4" t="str">
            <v>AMRAVATI</v>
          </cell>
          <cell r="I4" t="str">
            <v>AMBALA</v>
          </cell>
        </row>
        <row r="5">
          <cell r="A5" t="str">
            <v>MOVEMENT DURING APR-02  - FEB-03</v>
          </cell>
        </row>
        <row r="6">
          <cell r="A6" t="str">
            <v>SOH</v>
          </cell>
          <cell r="B6">
            <v>0</v>
          </cell>
          <cell r="C6">
            <v>9.9999997764825821E-3</v>
          </cell>
          <cell r="D6">
            <v>0</v>
          </cell>
          <cell r="E6">
            <v>0</v>
          </cell>
          <cell r="F6">
            <v>0</v>
          </cell>
          <cell r="G6">
            <v>0</v>
          </cell>
          <cell r="H6">
            <v>0</v>
          </cell>
          <cell r="I6">
            <v>0</v>
          </cell>
        </row>
        <row r="7">
          <cell r="A7" t="str">
            <v>UMFC</v>
          </cell>
          <cell r="B7">
            <v>7.2759576141834259E-10</v>
          </cell>
          <cell r="C7">
            <v>-1.0000000023865141E-2</v>
          </cell>
          <cell r="D7">
            <v>1.0004441719502211E-11</v>
          </cell>
          <cell r="E7">
            <v>9.9999999947613105E-3</v>
          </cell>
          <cell r="F7">
            <v>1.0913936421275139E-10</v>
          </cell>
          <cell r="G7">
            <v>3.0000000007930794E-2</v>
          </cell>
          <cell r="H7">
            <v>1.5063505998114124E-11</v>
          </cell>
          <cell r="I7">
            <v>1.0000000000161435E-2</v>
          </cell>
        </row>
        <row r="8">
          <cell r="A8" t="str">
            <v>LOAN</v>
          </cell>
          <cell r="B8">
            <v>0.20000001043081284</v>
          </cell>
          <cell r="C8">
            <v>-9.3152721092337742E-9</v>
          </cell>
          <cell r="D8">
            <v>-1.0000000125728548E-2</v>
          </cell>
          <cell r="E8">
            <v>9.9999997178201738E-3</v>
          </cell>
          <cell r="F8">
            <v>-1.9795152184087783E-9</v>
          </cell>
          <cell r="G8">
            <v>-8.7311491370201111E-10</v>
          </cell>
          <cell r="H8">
            <v>9.9999994855579644E-3</v>
          </cell>
          <cell r="I8">
            <v>1.6880221664905548E-9</v>
          </cell>
        </row>
        <row r="9">
          <cell r="A9" t="str">
            <v>ADV EMI</v>
          </cell>
          <cell r="B9">
            <v>0</v>
          </cell>
          <cell r="C9">
            <v>0</v>
          </cell>
          <cell r="D9">
            <v>0</v>
          </cell>
          <cell r="E9">
            <v>0</v>
          </cell>
          <cell r="F9">
            <v>0</v>
          </cell>
          <cell r="G9">
            <v>0</v>
          </cell>
          <cell r="H9">
            <v>0</v>
          </cell>
          <cell r="I9">
            <v>0</v>
          </cell>
        </row>
        <row r="10">
          <cell r="A10" t="str">
            <v>HP DEBTORS</v>
          </cell>
          <cell r="B10">
            <v>0</v>
          </cell>
          <cell r="C10">
            <v>0</v>
          </cell>
          <cell r="D10">
            <v>0</v>
          </cell>
          <cell r="E10">
            <v>0</v>
          </cell>
          <cell r="F10">
            <v>0</v>
          </cell>
          <cell r="G10">
            <v>0</v>
          </cell>
          <cell r="H10">
            <v>0</v>
          </cell>
          <cell r="I10">
            <v>0</v>
          </cell>
        </row>
        <row r="11">
          <cell r="A11" t="str">
            <v>LOAN DEBTORS</v>
          </cell>
          <cell r="B11">
            <v>0</v>
          </cell>
          <cell r="C11">
            <v>0</v>
          </cell>
          <cell r="D11">
            <v>0</v>
          </cell>
          <cell r="E11">
            <v>0</v>
          </cell>
          <cell r="F11">
            <v>0</v>
          </cell>
          <cell r="G11">
            <v>0</v>
          </cell>
          <cell r="H11">
            <v>0</v>
          </cell>
          <cell r="I11">
            <v>0</v>
          </cell>
        </row>
        <row r="13">
          <cell r="A13" t="str">
            <v>NEA DIFFERENCE</v>
          </cell>
          <cell r="B13">
            <v>0.2000000111584086</v>
          </cell>
          <cell r="C13">
            <v>-9.5626546681160107E-9</v>
          </cell>
          <cell r="D13">
            <v>-1.0000000115724106E-2</v>
          </cell>
          <cell r="E13">
            <v>1.9999999712581484E-2</v>
          </cell>
          <cell r="F13">
            <v>-1.8703758541960269E-9</v>
          </cell>
          <cell r="G13">
            <v>2.999999913481588E-2</v>
          </cell>
          <cell r="H13">
            <v>9.9999995006214704E-3</v>
          </cell>
          <cell r="I13">
            <v>1.0000001688183602E-2</v>
          </cell>
        </row>
        <row r="15">
          <cell r="A15" t="str">
            <v>MOVEMENT DURING APR-02  - MAR-03</v>
          </cell>
        </row>
        <row r="17">
          <cell r="A17" t="str">
            <v>SOH</v>
          </cell>
          <cell r="B17">
            <v>0</v>
          </cell>
          <cell r="C17">
            <v>0</v>
          </cell>
          <cell r="D17">
            <v>0</v>
          </cell>
          <cell r="E17">
            <v>0</v>
          </cell>
          <cell r="F17">
            <v>0</v>
          </cell>
          <cell r="G17">
            <v>0</v>
          </cell>
          <cell r="H17">
            <v>0</v>
          </cell>
          <cell r="I17">
            <v>0</v>
          </cell>
        </row>
        <row r="18">
          <cell r="A18" t="str">
            <v>UMFC</v>
          </cell>
          <cell r="B18">
            <v>8.7311491370201111E-11</v>
          </cell>
          <cell r="C18">
            <v>-5.4569682106375694E-11</v>
          </cell>
          <cell r="D18">
            <v>0</v>
          </cell>
          <cell r="E18">
            <v>0</v>
          </cell>
          <cell r="F18">
            <v>0</v>
          </cell>
          <cell r="G18">
            <v>1.8189894035458565E-11</v>
          </cell>
          <cell r="H18">
            <v>6.8212102632969618E-13</v>
          </cell>
          <cell r="I18">
            <v>0</v>
          </cell>
        </row>
        <row r="19">
          <cell r="A19" t="str">
            <v>LOAN</v>
          </cell>
          <cell r="B19">
            <v>0</v>
          </cell>
          <cell r="C19">
            <v>0</v>
          </cell>
          <cell r="D19">
            <v>0</v>
          </cell>
          <cell r="E19">
            <v>0</v>
          </cell>
          <cell r="F19">
            <v>0</v>
          </cell>
          <cell r="G19">
            <v>0</v>
          </cell>
          <cell r="H19">
            <v>0</v>
          </cell>
          <cell r="I19">
            <v>-2.1536834537982941E-9</v>
          </cell>
        </row>
        <row r="20">
          <cell r="A20" t="str">
            <v>ADV EMI</v>
          </cell>
          <cell r="B20">
            <v>0</v>
          </cell>
          <cell r="C20">
            <v>0</v>
          </cell>
          <cell r="D20">
            <v>0</v>
          </cell>
          <cell r="E20">
            <v>0</v>
          </cell>
          <cell r="F20">
            <v>0</v>
          </cell>
          <cell r="G20">
            <v>0</v>
          </cell>
          <cell r="H20">
            <v>0</v>
          </cell>
          <cell r="I20">
            <v>0</v>
          </cell>
        </row>
        <row r="21">
          <cell r="A21" t="str">
            <v>HP DEBTORS</v>
          </cell>
          <cell r="B21">
            <v>0</v>
          </cell>
          <cell r="C21">
            <v>0</v>
          </cell>
          <cell r="D21">
            <v>0</v>
          </cell>
          <cell r="E21">
            <v>0</v>
          </cell>
          <cell r="F21">
            <v>0</v>
          </cell>
          <cell r="G21">
            <v>0</v>
          </cell>
          <cell r="H21">
            <v>0</v>
          </cell>
          <cell r="I21">
            <v>0</v>
          </cell>
        </row>
        <row r="22">
          <cell r="A22" t="str">
            <v>LOAN DEBTORS</v>
          </cell>
          <cell r="B22">
            <v>0</v>
          </cell>
          <cell r="C22">
            <v>0</v>
          </cell>
          <cell r="D22">
            <v>0</v>
          </cell>
          <cell r="E22">
            <v>0</v>
          </cell>
          <cell r="F22">
            <v>0</v>
          </cell>
          <cell r="G22">
            <v>0</v>
          </cell>
          <cell r="H22">
            <v>0</v>
          </cell>
          <cell r="I22">
            <v>0</v>
          </cell>
        </row>
        <row r="24">
          <cell r="A24" t="str">
            <v>NEA DIFFERENCE</v>
          </cell>
          <cell r="B24">
            <v>8.7311491370201111E-11</v>
          </cell>
          <cell r="C24">
            <v>-5.4569682106375694E-11</v>
          </cell>
          <cell r="D24">
            <v>0</v>
          </cell>
          <cell r="E24">
            <v>0</v>
          </cell>
          <cell r="F24">
            <v>0</v>
          </cell>
          <cell r="G24">
            <v>1.8189894035458565E-11</v>
          </cell>
          <cell r="H24">
            <v>6.8212102632969618E-13</v>
          </cell>
          <cell r="I24">
            <v>-2.1536834537982941E-9</v>
          </cell>
        </row>
        <row r="26">
          <cell r="A26" t="str">
            <v>OPEN ITEMS DURING MAR-03</v>
          </cell>
        </row>
        <row r="28">
          <cell r="A28" t="str">
            <v>SOH</v>
          </cell>
          <cell r="B28">
            <v>0</v>
          </cell>
          <cell r="C28">
            <v>0</v>
          </cell>
          <cell r="D28">
            <v>0</v>
          </cell>
          <cell r="E28">
            <v>0</v>
          </cell>
          <cell r="F28">
            <v>0</v>
          </cell>
          <cell r="G28">
            <v>0</v>
          </cell>
          <cell r="H28">
            <v>0</v>
          </cell>
          <cell r="I28">
            <v>0</v>
          </cell>
        </row>
        <row r="29">
          <cell r="A29" t="str">
            <v>UMFC</v>
          </cell>
          <cell r="B29">
            <v>0</v>
          </cell>
          <cell r="C29">
            <v>0</v>
          </cell>
          <cell r="D29">
            <v>0</v>
          </cell>
          <cell r="E29">
            <v>0</v>
          </cell>
          <cell r="F29">
            <v>0</v>
          </cell>
          <cell r="G29">
            <v>0</v>
          </cell>
          <cell r="H29">
            <v>0</v>
          </cell>
          <cell r="I29">
            <v>0</v>
          </cell>
        </row>
        <row r="30">
          <cell r="A30" t="str">
            <v>LOAN</v>
          </cell>
          <cell r="B30">
            <v>0</v>
          </cell>
          <cell r="C30">
            <v>0</v>
          </cell>
          <cell r="D30">
            <v>0</v>
          </cell>
          <cell r="E30">
            <v>0</v>
          </cell>
          <cell r="F30">
            <v>0</v>
          </cell>
          <cell r="G30">
            <v>0</v>
          </cell>
          <cell r="H30">
            <v>0</v>
          </cell>
          <cell r="I30">
            <v>0</v>
          </cell>
        </row>
        <row r="31">
          <cell r="A31" t="str">
            <v>ADV EMI</v>
          </cell>
          <cell r="B31">
            <v>0</v>
          </cell>
          <cell r="C31">
            <v>0</v>
          </cell>
          <cell r="D31">
            <v>0</v>
          </cell>
          <cell r="E31">
            <v>0</v>
          </cell>
          <cell r="F31">
            <v>0</v>
          </cell>
          <cell r="G31">
            <v>0</v>
          </cell>
          <cell r="H31">
            <v>0</v>
          </cell>
          <cell r="I31">
            <v>0</v>
          </cell>
        </row>
        <row r="32">
          <cell r="A32" t="str">
            <v>HP DEBTORS</v>
          </cell>
          <cell r="B32">
            <v>0</v>
          </cell>
          <cell r="C32">
            <v>0</v>
          </cell>
          <cell r="D32">
            <v>0</v>
          </cell>
          <cell r="E32">
            <v>0</v>
          </cell>
          <cell r="F32">
            <v>0</v>
          </cell>
          <cell r="G32">
            <v>0</v>
          </cell>
          <cell r="H32">
            <v>0</v>
          </cell>
          <cell r="I32">
            <v>0</v>
          </cell>
        </row>
        <row r="33">
          <cell r="A33" t="str">
            <v>LOAN DEBTORS</v>
          </cell>
          <cell r="B33">
            <v>0</v>
          </cell>
          <cell r="C33">
            <v>0</v>
          </cell>
          <cell r="D33">
            <v>0</v>
          </cell>
          <cell r="E33">
            <v>0</v>
          </cell>
          <cell r="F33">
            <v>0</v>
          </cell>
          <cell r="G33">
            <v>0</v>
          </cell>
          <cell r="H33">
            <v>0</v>
          </cell>
          <cell r="I33">
            <v>0</v>
          </cell>
        </row>
        <row r="35">
          <cell r="A35" t="str">
            <v>NEA DIFFERENCE</v>
          </cell>
          <cell r="B35">
            <v>0</v>
          </cell>
          <cell r="C35">
            <v>0</v>
          </cell>
          <cell r="D35">
            <v>0</v>
          </cell>
          <cell r="E35">
            <v>0</v>
          </cell>
          <cell r="F35">
            <v>0</v>
          </cell>
          <cell r="G35">
            <v>0</v>
          </cell>
          <cell r="H35">
            <v>0</v>
          </cell>
          <cell r="I35">
            <v>0</v>
          </cell>
        </row>
        <row r="37">
          <cell r="A37" t="str">
            <v>MOVEMENT DURING  MAR-03</v>
          </cell>
        </row>
        <row r="39">
          <cell r="A39" t="str">
            <v>SOH</v>
          </cell>
          <cell r="B39">
            <v>0</v>
          </cell>
          <cell r="C39">
            <v>9.9999997764825821E-3</v>
          </cell>
          <cell r="D39">
            <v>0</v>
          </cell>
          <cell r="E39">
            <v>0</v>
          </cell>
          <cell r="F39">
            <v>0</v>
          </cell>
          <cell r="G39">
            <v>0</v>
          </cell>
          <cell r="H39">
            <v>0</v>
          </cell>
          <cell r="I39">
            <v>0</v>
          </cell>
        </row>
        <row r="40">
          <cell r="A40" t="str">
            <v>UMFC</v>
          </cell>
          <cell r="B40">
            <v>6.4028427004814148E-10</v>
          </cell>
          <cell r="C40">
            <v>-9.9999999692954589E-3</v>
          </cell>
          <cell r="D40">
            <v>1.0004441719502211E-11</v>
          </cell>
          <cell r="E40">
            <v>9.9999999947613105E-3</v>
          </cell>
          <cell r="F40">
            <v>1.0913936421275139E-10</v>
          </cell>
          <cell r="G40">
            <v>2.99999999897409E-2</v>
          </cell>
          <cell r="H40">
            <v>1.4381384971784428E-11</v>
          </cell>
          <cell r="I40">
            <v>1.0000000000161435E-2</v>
          </cell>
        </row>
        <row r="41">
          <cell r="A41" t="str">
            <v>LOAN</v>
          </cell>
          <cell r="B41">
            <v>0.20000001043081284</v>
          </cell>
          <cell r="C41">
            <v>-9.3152721092337742E-9</v>
          </cell>
          <cell r="D41">
            <v>-1.0000000125728548E-2</v>
          </cell>
          <cell r="E41">
            <v>9.9999997178201738E-3</v>
          </cell>
          <cell r="F41">
            <v>-1.9795152184087783E-9</v>
          </cell>
          <cell r="G41">
            <v>-8.7311491370201111E-10</v>
          </cell>
          <cell r="H41">
            <v>9.9999994855579644E-3</v>
          </cell>
          <cell r="I41">
            <v>3.8417056202888489E-9</v>
          </cell>
        </row>
        <row r="42">
          <cell r="A42" t="str">
            <v>ADV EMI</v>
          </cell>
          <cell r="B42">
            <v>0</v>
          </cell>
          <cell r="C42">
            <v>0</v>
          </cell>
          <cell r="D42">
            <v>0</v>
          </cell>
          <cell r="E42">
            <v>0</v>
          </cell>
          <cell r="F42">
            <v>0</v>
          </cell>
          <cell r="G42">
            <v>0</v>
          </cell>
          <cell r="H42">
            <v>0</v>
          </cell>
          <cell r="I42">
            <v>0</v>
          </cell>
        </row>
        <row r="43">
          <cell r="A43" t="str">
            <v>HP DEBTORS</v>
          </cell>
          <cell r="B43">
            <v>0</v>
          </cell>
          <cell r="C43">
            <v>0</v>
          </cell>
          <cell r="D43">
            <v>0</v>
          </cell>
          <cell r="E43">
            <v>0</v>
          </cell>
          <cell r="F43">
            <v>0</v>
          </cell>
          <cell r="G43">
            <v>0</v>
          </cell>
          <cell r="H43">
            <v>0</v>
          </cell>
          <cell r="I43">
            <v>0</v>
          </cell>
        </row>
        <row r="44">
          <cell r="A44" t="str">
            <v>LOAN DEBTORS</v>
          </cell>
          <cell r="B44">
            <v>0</v>
          </cell>
          <cell r="C44">
            <v>0</v>
          </cell>
          <cell r="D44">
            <v>0</v>
          </cell>
          <cell r="E44">
            <v>0</v>
          </cell>
          <cell r="F44">
            <v>0</v>
          </cell>
          <cell r="G44">
            <v>0</v>
          </cell>
          <cell r="H44">
            <v>0</v>
          </cell>
          <cell r="I44">
            <v>0</v>
          </cell>
        </row>
        <row r="46">
          <cell r="A46" t="str">
            <v>NEA DIFFERENCE</v>
          </cell>
          <cell r="B46">
            <v>0.20000001107109711</v>
          </cell>
          <cell r="C46">
            <v>-9.508084986009635E-9</v>
          </cell>
          <cell r="D46">
            <v>-1.0000000115724106E-2</v>
          </cell>
          <cell r="E46">
            <v>1.9999999712581484E-2</v>
          </cell>
          <cell r="F46">
            <v>-1.8703758541960269E-9</v>
          </cell>
          <cell r="G46">
            <v>2.9999999116625986E-2</v>
          </cell>
          <cell r="H46">
            <v>9.9999994999393493E-3</v>
          </cell>
          <cell r="I46">
            <v>1.0000003841867056E-2</v>
          </cell>
        </row>
      </sheetData>
      <sheetData sheetId="5" refreshError="1"/>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s"/>
      <sheetName val="T.P&amp;L"/>
      <sheetName val="U.BS"/>
      <sheetName val="W.CF"/>
      <sheetName val="2000"/>
    </sheetNames>
    <sheetDataSet>
      <sheetData sheetId="0" refreshError="1"/>
      <sheetData sheetId="1" refreshError="1"/>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rial_2Cut" displayName="Trial_2Cut" ref="A4:M448" totalsRowShown="0" headerRowDxfId="38" dataDxfId="37">
  <autoFilter ref="A4:M448" xr:uid="{00000000-0009-0000-0100-000002000000}"/>
  <tableColumns count="13">
    <tableColumn id="1" xr3:uid="{00000000-0010-0000-0000-000001000000}" name="Level 1" dataDxfId="36"/>
    <tableColumn id="2" xr3:uid="{00000000-0010-0000-0000-000002000000}" name="Level 2" dataDxfId="35"/>
    <tableColumn id="3" xr3:uid="{00000000-0010-0000-0000-000003000000}" name="Level 3" dataDxfId="34"/>
    <tableColumn id="4" xr3:uid="{00000000-0010-0000-0000-000004000000}" name="Account" dataDxfId="33"/>
    <tableColumn id="5" xr3:uid="{00000000-0010-0000-0000-000005000000}" name="Opening Balance" dataDxfId="32" dataCellStyle="Comma"/>
    <tableColumn id="6" xr3:uid="{00000000-0010-0000-0000-000006000000}" name="Debit" dataDxfId="31" dataCellStyle="Comma"/>
    <tableColumn id="7" xr3:uid="{00000000-0010-0000-0000-000007000000}" name="Credit" dataDxfId="30" dataCellStyle="Comma"/>
    <tableColumn id="8" xr3:uid="{00000000-0010-0000-0000-000008000000}" name="Net" dataDxfId="29" dataCellStyle="Comma"/>
    <tableColumn id="9" xr3:uid="{00000000-0010-0000-0000-000009000000}" name="Rs. In Hundereds" dataDxfId="28" dataCellStyle="Comma">
      <calculatedColumnFormula>ROUND(Trial_2Cut[[#This Row],[Net]]/10^3,2)</calculatedColumnFormula>
    </tableColumn>
    <tableColumn id="10" xr3:uid="{00000000-0010-0000-0000-00000A000000}" name="Group" dataDxfId="27" dataCellStyle="Comma"/>
    <tableColumn id="11" xr3:uid="{00000000-0010-0000-0000-00000B000000}" name="Sub Group" dataDxfId="26" dataCellStyle="Comma"/>
    <tableColumn id="13" xr3:uid="{00000000-0010-0000-0000-00000D000000}" name="BS&amp;PL_Face" dataDxfId="25" dataCellStyle="Comma 34">
      <calculatedColumnFormula>IFERROR(IF(OR(Trial_2Cut[[#This Row],[Level 1]]=$L$1,Trial_2Cut[[#This Row],[Level 1]]=$L$2),IF(SUMIF(Trial_2Cut[Sub Group],Trial_2Cut[[#This Row],[Sub Group]],Trial_2Cut[Rs. In Hundereds])&gt;0,$L$1,$L$2),IF(SUMIF(Trial_2Cut[Sub Group],Trial_2Cut[[#This Row],[Sub Group]],Trial_2Cut[Rs. In Hundereds])&gt;0,$M$2,$M$1)),Trial_2Cut[[#This Row],[Level 1]])</calculatedColumnFormula>
    </tableColumn>
    <tableColumn id="12" xr3:uid="{00000000-0010-0000-0000-00000C000000}" name="Remarks" dataDxfId="24" dataCellStyle="Comma"/>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rial_1Cut" displayName="Trial_1Cut" ref="A4:M301" totalsRowShown="0" headerRowDxfId="23" dataDxfId="22">
  <autoFilter ref="A4:M301" xr:uid="{00000000-0009-0000-0100-000001000000}"/>
  <tableColumns count="13">
    <tableColumn id="1" xr3:uid="{00000000-0010-0000-0100-000001000000}" name="Level 1" dataDxfId="21"/>
    <tableColumn id="2" xr3:uid="{00000000-0010-0000-0100-000002000000}" name="Level 2" dataDxfId="20"/>
    <tableColumn id="3" xr3:uid="{00000000-0010-0000-0100-000003000000}" name="Level 3" dataDxfId="19"/>
    <tableColumn id="4" xr3:uid="{00000000-0010-0000-0100-000004000000}" name="Account" dataDxfId="18"/>
    <tableColumn id="5" xr3:uid="{00000000-0010-0000-0100-000005000000}" name="Opening Balance" dataDxfId="17" dataCellStyle="Comma"/>
    <tableColumn id="6" xr3:uid="{00000000-0010-0000-0100-000006000000}" name="Debit" dataDxfId="16" dataCellStyle="Comma"/>
    <tableColumn id="7" xr3:uid="{00000000-0010-0000-0100-000007000000}" name="Credit" dataDxfId="15" dataCellStyle="Comma"/>
    <tableColumn id="8" xr3:uid="{00000000-0010-0000-0100-000008000000}" name="Net" dataDxfId="14" dataCellStyle="Comma"/>
    <tableColumn id="9" xr3:uid="{00000000-0010-0000-0100-000009000000}" name="Rs. In Hundereds" dataDxfId="13" dataCellStyle="Comma">
      <calculatedColumnFormula>ROUND(Trial_1Cut[[#This Row],[Net]]/10^2,2)</calculatedColumnFormula>
    </tableColumn>
    <tableColumn id="10" xr3:uid="{00000000-0010-0000-0100-00000A000000}" name="Group" dataDxfId="12" dataCellStyle="Comma"/>
    <tableColumn id="11" xr3:uid="{00000000-0010-0000-0100-00000B000000}" name="Sub Group" dataDxfId="11" dataCellStyle="Comma"/>
    <tableColumn id="13" xr3:uid="{00000000-0010-0000-0100-00000D000000}" name="BS&amp;PL_Face" dataDxfId="10" dataCellStyle="Comma 34">
      <calculatedColumnFormula>IFERROR(IF(OR(Trial_1Cut[[#This Row],[Level 1]]=$L$1,Trial_1Cut[[#This Row],[Level 1]]=$L$2),IF(SUMIF(Trial_1Cut[Sub Group],Trial_1Cut[[#This Row],[Sub Group]],Trial_1Cut[Rs. In Hundereds])&gt;0,$L$1,$L$2),IF(SUMIF(Trial_1Cut[Sub Group],Trial_1Cut[[#This Row],[Sub Group]],Trial_1Cut[Rs. In Hundereds])&gt;0,$M$2,$M$1)),Trial_1Cut[[#This Row],[Level 1]])</calculatedColumnFormula>
    </tableColumn>
    <tableColumn id="12" xr3:uid="{00000000-0010-0000-0100-00000C000000}" name="Remarks" dataDxfId="9" dataCellStyle="Comma"/>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caakshay.agml@gmail.com" TargetMode="External"/><Relationship Id="rId1" Type="http://schemas.openxmlformats.org/officeDocument/2006/relationships/hyperlink" Target="mailto:abc@gmail.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252"/>
  <sheetViews>
    <sheetView showGridLines="0" view="pageBreakPreview" topLeftCell="A40" zoomScaleSheetLayoutView="100" workbookViewId="0">
      <selection activeCell="M60" sqref="M60"/>
    </sheetView>
  </sheetViews>
  <sheetFormatPr defaultColWidth="8" defaultRowHeight="12.75"/>
  <cols>
    <col min="1" max="1" width="4.42578125" style="92" customWidth="1"/>
    <col min="2" max="2" width="3.42578125" style="92" customWidth="1"/>
    <col min="3" max="4" width="8" style="92"/>
    <col min="5" max="5" width="9.140625" style="92" customWidth="1"/>
    <col min="6" max="6" width="8.85546875" style="92" customWidth="1"/>
    <col min="7" max="7" width="17.5703125" style="92" bestFit="1" customWidth="1"/>
    <col min="8" max="8" width="9.5703125" style="92" bestFit="1" customWidth="1"/>
    <col min="9" max="10" width="8" style="92"/>
    <col min="11" max="11" width="14.42578125" style="92" customWidth="1"/>
    <col min="12" max="12" width="26.140625" style="92" bestFit="1" customWidth="1"/>
    <col min="13" max="16384" width="8" style="92"/>
  </cols>
  <sheetData>
    <row r="1" spans="1:11" ht="15.75">
      <c r="A1" s="1022" t="s">
        <v>213</v>
      </c>
      <c r="B1" s="1022"/>
      <c r="C1" s="1022"/>
      <c r="D1" s="1022"/>
      <c r="E1" s="1022"/>
      <c r="F1" s="1022"/>
      <c r="G1" s="1022"/>
      <c r="H1" s="1022"/>
      <c r="I1" s="1022"/>
      <c r="J1" s="1022"/>
      <c r="K1" s="1022"/>
    </row>
    <row r="2" spans="1:11" ht="15.75">
      <c r="A2" s="1022" t="s">
        <v>165</v>
      </c>
      <c r="B2" s="1022"/>
      <c r="C2" s="1022"/>
      <c r="D2" s="1022"/>
      <c r="E2" s="1022"/>
      <c r="F2" s="1022"/>
      <c r="G2" s="1022"/>
      <c r="H2" s="1022"/>
      <c r="I2" s="1022"/>
      <c r="J2" s="1022"/>
      <c r="K2" s="1022"/>
    </row>
    <row r="3" spans="1:11" ht="15.75">
      <c r="A3" s="1023" t="s">
        <v>212</v>
      </c>
      <c r="B3" s="1023"/>
      <c r="C3" s="1023"/>
      <c r="D3" s="1023"/>
      <c r="E3" s="1023"/>
      <c r="F3" s="1023"/>
      <c r="G3" s="1023"/>
      <c r="H3" s="1023"/>
      <c r="I3" s="1023"/>
      <c r="J3" s="1023"/>
      <c r="K3" s="1023"/>
    </row>
    <row r="4" spans="1:11" ht="15.75">
      <c r="A4" s="114"/>
      <c r="B4" s="115" t="s">
        <v>166</v>
      </c>
      <c r="C4" s="115" t="s">
        <v>167</v>
      </c>
      <c r="D4" s="115"/>
      <c r="E4" s="115"/>
      <c r="F4" s="115"/>
      <c r="G4" s="115"/>
      <c r="H4" s="115"/>
      <c r="I4" s="115"/>
      <c r="J4" s="114"/>
      <c r="K4" s="114"/>
    </row>
    <row r="5" spans="1:11" ht="15.75">
      <c r="A5" s="114"/>
      <c r="B5" s="115"/>
      <c r="C5" s="115" t="s">
        <v>168</v>
      </c>
      <c r="D5" s="115"/>
      <c r="E5" s="115"/>
      <c r="F5" s="115"/>
      <c r="G5" s="173" t="s">
        <v>215</v>
      </c>
      <c r="H5" s="115"/>
      <c r="I5" s="115"/>
      <c r="J5" s="114"/>
      <c r="K5" s="114"/>
    </row>
    <row r="6" spans="1:11" ht="15.75">
      <c r="A6" s="114"/>
      <c r="B6" s="115"/>
      <c r="C6" s="115" t="s">
        <v>169</v>
      </c>
      <c r="D6" s="115"/>
      <c r="E6" s="115"/>
      <c r="F6" s="115"/>
      <c r="G6" s="115"/>
      <c r="H6" s="115"/>
      <c r="I6" s="115"/>
      <c r="J6" s="114"/>
      <c r="K6" s="114"/>
    </row>
    <row r="7" spans="1:11" ht="15.75">
      <c r="A7" s="114"/>
      <c r="B7" s="115"/>
      <c r="C7" s="115" t="s">
        <v>170</v>
      </c>
      <c r="D7" s="115"/>
      <c r="E7" s="115"/>
      <c r="F7" s="115"/>
      <c r="G7" s="116" t="s">
        <v>214</v>
      </c>
      <c r="H7" s="115"/>
      <c r="I7" s="115"/>
      <c r="J7" s="114"/>
      <c r="K7" s="114"/>
    </row>
    <row r="8" spans="1:11" ht="15.75">
      <c r="A8" s="114"/>
      <c r="B8" s="115"/>
      <c r="C8" s="115"/>
      <c r="D8" s="115"/>
      <c r="E8" s="115"/>
      <c r="F8" s="115"/>
      <c r="G8" s="115"/>
      <c r="H8" s="115"/>
      <c r="I8" s="115"/>
      <c r="J8" s="114"/>
      <c r="K8" s="114"/>
    </row>
    <row r="9" spans="1:11" ht="15.75">
      <c r="A9" s="114"/>
      <c r="B9" s="115" t="s">
        <v>171</v>
      </c>
      <c r="C9" s="115" t="s">
        <v>172</v>
      </c>
      <c r="D9" s="115"/>
      <c r="E9" s="115"/>
      <c r="F9" s="115"/>
      <c r="G9" s="115"/>
      <c r="H9" s="115"/>
      <c r="I9" s="115"/>
      <c r="J9" s="114"/>
      <c r="K9" s="114"/>
    </row>
    <row r="10" spans="1:11" ht="15.75">
      <c r="A10" s="114"/>
      <c r="B10" s="115"/>
      <c r="C10" s="115" t="s">
        <v>173</v>
      </c>
      <c r="D10" s="115"/>
      <c r="E10" s="115"/>
      <c r="F10" s="115"/>
      <c r="G10" s="115"/>
      <c r="H10" s="115"/>
      <c r="I10" s="115"/>
      <c r="J10" s="114"/>
      <c r="K10" s="114"/>
    </row>
    <row r="11" spans="1:11" ht="15.75">
      <c r="A11" s="114"/>
      <c r="B11" s="115"/>
      <c r="C11" s="115" t="s">
        <v>174</v>
      </c>
      <c r="D11" s="115"/>
      <c r="E11" s="115"/>
      <c r="F11" s="115"/>
      <c r="G11" s="117">
        <v>0</v>
      </c>
      <c r="H11" s="115"/>
      <c r="I11" s="115"/>
      <c r="J11" s="114"/>
      <c r="K11" s="114"/>
    </row>
    <row r="12" spans="1:11" ht="15.75">
      <c r="A12" s="114"/>
      <c r="B12" s="115"/>
      <c r="C12" s="115" t="s">
        <v>175</v>
      </c>
      <c r="D12" s="115"/>
      <c r="E12" s="115"/>
      <c r="F12" s="115"/>
      <c r="G12" s="117">
        <v>0</v>
      </c>
      <c r="H12" s="115"/>
      <c r="I12" s="115"/>
      <c r="J12" s="114"/>
      <c r="K12" s="114"/>
    </row>
    <row r="13" spans="1:11" ht="15.75">
      <c r="A13" s="114"/>
      <c r="B13" s="115"/>
      <c r="C13" s="115" t="s">
        <v>176</v>
      </c>
      <c r="D13" s="115"/>
      <c r="E13" s="115"/>
      <c r="F13" s="115"/>
      <c r="G13" s="117">
        <v>0</v>
      </c>
      <c r="H13" s="115"/>
      <c r="I13" s="115"/>
      <c r="J13" s="114"/>
      <c r="K13" s="114"/>
    </row>
    <row r="14" spans="1:11" ht="15.75">
      <c r="A14" s="114"/>
      <c r="B14" s="115"/>
      <c r="C14" s="115" t="s">
        <v>177</v>
      </c>
      <c r="D14" s="115"/>
      <c r="E14" s="115"/>
      <c r="F14" s="115"/>
      <c r="G14" s="117">
        <v>2</v>
      </c>
      <c r="H14" s="115"/>
      <c r="I14" s="115"/>
      <c r="J14" s="114"/>
      <c r="K14" s="114"/>
    </row>
    <row r="15" spans="1:11" ht="15.75">
      <c r="A15" s="114"/>
      <c r="B15" s="115"/>
      <c r="C15" s="115"/>
      <c r="D15" s="115"/>
      <c r="E15" s="115"/>
      <c r="F15" s="115"/>
      <c r="G15" s="117"/>
      <c r="H15" s="115"/>
      <c r="I15" s="115"/>
      <c r="J15" s="114"/>
      <c r="K15" s="114"/>
    </row>
    <row r="16" spans="1:11" ht="15.75">
      <c r="A16" s="114"/>
      <c r="B16" s="115" t="s">
        <v>178</v>
      </c>
      <c r="C16" s="115" t="s">
        <v>179</v>
      </c>
      <c r="D16" s="115"/>
      <c r="E16" s="115"/>
      <c r="F16" s="115"/>
      <c r="G16" s="115"/>
      <c r="H16" s="115"/>
      <c r="I16" s="115"/>
      <c r="J16" s="114"/>
      <c r="K16" s="114"/>
    </row>
    <row r="17" spans="1:12" ht="15.75">
      <c r="A17" s="114"/>
      <c r="B17" s="115"/>
      <c r="C17" s="115" t="s">
        <v>180</v>
      </c>
      <c r="D17" s="115"/>
      <c r="E17" s="115"/>
      <c r="F17" s="115"/>
      <c r="G17" s="115"/>
      <c r="H17" s="115"/>
      <c r="I17" s="115"/>
      <c r="J17" s="114"/>
      <c r="K17" s="114"/>
    </row>
    <row r="18" spans="1:12" ht="15.75">
      <c r="A18" s="114"/>
      <c r="B18" s="115"/>
      <c r="C18" s="115" t="s">
        <v>181</v>
      </c>
      <c r="D18" s="115"/>
      <c r="E18" s="115"/>
      <c r="F18" s="115"/>
      <c r="G18" s="115"/>
      <c r="H18" s="115"/>
      <c r="I18" s="115"/>
      <c r="J18" s="114"/>
      <c r="K18" s="114"/>
    </row>
    <row r="19" spans="1:12" ht="15.75">
      <c r="A19" s="114"/>
      <c r="B19" s="115"/>
      <c r="C19" s="115" t="s">
        <v>182</v>
      </c>
      <c r="D19" s="115"/>
      <c r="E19" s="115"/>
      <c r="F19" s="115"/>
      <c r="G19" s="117">
        <f ca="1">BS!F27/100000</f>
        <v>12.122078074000001</v>
      </c>
      <c r="H19" s="115"/>
      <c r="I19" s="115"/>
      <c r="J19" s="114"/>
      <c r="K19" s="114"/>
    </row>
    <row r="20" spans="1:12" ht="15.75">
      <c r="A20" s="114"/>
      <c r="B20" s="115"/>
      <c r="C20" s="115" t="s">
        <v>183</v>
      </c>
      <c r="D20" s="115"/>
      <c r="E20" s="115"/>
      <c r="F20" s="115"/>
      <c r="G20" s="117">
        <f ca="1">BS!F47/100000</f>
        <v>0.11756040000000001</v>
      </c>
      <c r="H20" s="115"/>
      <c r="I20" s="115"/>
      <c r="J20" s="114"/>
      <c r="K20" s="114"/>
    </row>
    <row r="21" spans="1:12" ht="15.75">
      <c r="A21" s="114"/>
      <c r="B21" s="115"/>
      <c r="C21" s="115" t="s">
        <v>184</v>
      </c>
      <c r="D21" s="115"/>
      <c r="E21" s="115"/>
      <c r="F21" s="115"/>
      <c r="G21" s="115"/>
      <c r="H21" s="115"/>
      <c r="I21" s="115"/>
      <c r="J21" s="114"/>
      <c r="K21" s="114"/>
      <c r="L21" s="94"/>
    </row>
    <row r="22" spans="1:12" ht="15.75">
      <c r="A22" s="114"/>
      <c r="B22" s="115"/>
      <c r="C22" s="115" t="s">
        <v>185</v>
      </c>
      <c r="D22" s="115"/>
      <c r="E22" s="115"/>
      <c r="F22" s="115"/>
      <c r="G22" s="118">
        <f>BS!F10/100000</f>
        <v>0.01</v>
      </c>
      <c r="H22" s="115"/>
      <c r="I22" s="115"/>
      <c r="J22" s="114"/>
      <c r="K22" s="114"/>
      <c r="L22" s="94"/>
    </row>
    <row r="23" spans="1:12" ht="15.75">
      <c r="A23" s="114"/>
      <c r="B23" s="115"/>
      <c r="C23" s="115" t="s">
        <v>186</v>
      </c>
      <c r="D23" s="115"/>
      <c r="E23" s="115"/>
      <c r="F23" s="115"/>
      <c r="G23" s="118">
        <f ca="1">BS!F11/100000</f>
        <v>12.0437086</v>
      </c>
      <c r="H23" s="115"/>
      <c r="I23" s="115"/>
      <c r="J23" s="114"/>
      <c r="K23" s="114"/>
      <c r="L23" s="94"/>
    </row>
    <row r="24" spans="1:12" ht="15.75">
      <c r="A24" s="114"/>
      <c r="B24" s="115"/>
      <c r="C24" s="115" t="s">
        <v>187</v>
      </c>
      <c r="D24" s="115"/>
      <c r="E24" s="115"/>
      <c r="F24" s="115"/>
      <c r="G24" s="119">
        <f ca="1">'Sch - liab'!B62/100000</f>
        <v>0</v>
      </c>
      <c r="H24" s="120"/>
      <c r="I24" s="115"/>
      <c r="J24" s="114"/>
      <c r="K24" s="114"/>
      <c r="L24" s="94"/>
    </row>
    <row r="25" spans="1:12" ht="15.75">
      <c r="A25" s="114"/>
      <c r="B25" s="115"/>
      <c r="C25" s="115" t="s">
        <v>188</v>
      </c>
      <c r="D25" s="115"/>
      <c r="E25" s="115"/>
      <c r="F25" s="115"/>
      <c r="G25" s="118">
        <f ca="1">'Sch - liab'!B35/100000</f>
        <v>-5.1538600000000004E-2</v>
      </c>
      <c r="H25" s="115"/>
      <c r="I25" s="115"/>
      <c r="J25" s="114"/>
      <c r="K25" s="114"/>
      <c r="L25" s="94"/>
    </row>
    <row r="26" spans="1:12" ht="15.75">
      <c r="A26" s="114"/>
      <c r="B26" s="115"/>
      <c r="C26" s="115"/>
      <c r="D26" s="115"/>
      <c r="E26" s="115"/>
      <c r="F26" s="115"/>
      <c r="G26" s="115"/>
      <c r="H26" s="115"/>
      <c r="I26" s="115"/>
      <c r="J26" s="114"/>
      <c r="K26" s="114"/>
      <c r="L26" s="94"/>
    </row>
    <row r="27" spans="1:12" ht="15.75">
      <c r="A27" s="114"/>
      <c r="B27" s="115"/>
      <c r="C27" s="115" t="s">
        <v>189</v>
      </c>
      <c r="D27" s="115"/>
      <c r="E27" s="115"/>
      <c r="F27" s="115"/>
      <c r="G27" s="115"/>
      <c r="H27" s="115"/>
      <c r="I27" s="115"/>
      <c r="J27" s="114"/>
      <c r="K27" s="114"/>
      <c r="L27" s="94"/>
    </row>
    <row r="28" spans="1:12" ht="15.75">
      <c r="A28" s="114"/>
      <c r="B28" s="115"/>
      <c r="C28" s="115" t="s">
        <v>190</v>
      </c>
      <c r="D28" s="115"/>
      <c r="E28" s="115"/>
      <c r="F28" s="115"/>
      <c r="G28" s="117">
        <f>BS!F32/100000</f>
        <v>0</v>
      </c>
      <c r="H28" s="115"/>
      <c r="I28" s="115"/>
      <c r="J28" s="114"/>
      <c r="K28" s="114"/>
      <c r="L28" s="94"/>
    </row>
    <row r="29" spans="1:12" ht="15.75">
      <c r="A29" s="114"/>
      <c r="B29" s="115"/>
      <c r="C29" s="115" t="s">
        <v>191</v>
      </c>
      <c r="D29" s="115"/>
      <c r="E29" s="115"/>
      <c r="F29" s="115"/>
      <c r="G29" s="117">
        <f ca="1">BS!F35/100000</f>
        <v>0</v>
      </c>
      <c r="H29" s="117"/>
      <c r="I29" s="115"/>
      <c r="J29" s="114"/>
      <c r="K29" s="114"/>
    </row>
    <row r="30" spans="1:12" ht="15.75">
      <c r="A30" s="114"/>
      <c r="B30" s="115"/>
      <c r="C30" s="115" t="s">
        <v>192</v>
      </c>
      <c r="D30" s="115"/>
      <c r="E30" s="115"/>
      <c r="F30" s="115"/>
      <c r="G30" s="117">
        <f ca="1">(BS!F42+BS!F43+BS!F44+BS!F45-BS!F21-BS!F24-BS!F25-BS!F16)/100000</f>
        <v>-3.7209473999999992E-2</v>
      </c>
      <c r="H30" s="115" t="s">
        <v>81</v>
      </c>
      <c r="I30" s="115"/>
      <c r="J30" s="114"/>
      <c r="K30" s="114"/>
    </row>
    <row r="31" spans="1:12" ht="15.75">
      <c r="A31" s="114"/>
      <c r="B31" s="115"/>
      <c r="C31" s="115" t="s">
        <v>97</v>
      </c>
      <c r="D31" s="115"/>
      <c r="E31" s="115"/>
      <c r="F31" s="115"/>
      <c r="G31" s="120">
        <f ca="1">BS!F46/100000</f>
        <v>0</v>
      </c>
      <c r="H31" s="115"/>
      <c r="I31" s="115"/>
      <c r="J31" s="114"/>
      <c r="K31" s="114"/>
    </row>
    <row r="32" spans="1:12" ht="15.75">
      <c r="A32" s="114"/>
      <c r="B32" s="115" t="s">
        <v>193</v>
      </c>
      <c r="C32" s="115" t="s">
        <v>194</v>
      </c>
      <c r="D32" s="115"/>
      <c r="E32" s="115"/>
      <c r="F32" s="115"/>
      <c r="G32" s="115"/>
      <c r="H32" s="115"/>
      <c r="I32" s="115"/>
      <c r="J32" s="114"/>
      <c r="K32" s="114"/>
    </row>
    <row r="33" spans="1:256" ht="15.75">
      <c r="A33" s="114"/>
      <c r="B33" s="115"/>
      <c r="C33" s="115" t="s">
        <v>195</v>
      </c>
      <c r="D33" s="115"/>
      <c r="E33" s="115"/>
      <c r="F33" s="115"/>
      <c r="G33" s="115"/>
      <c r="H33" s="115"/>
      <c r="I33" s="115"/>
      <c r="J33" s="114"/>
      <c r="K33" s="114"/>
    </row>
    <row r="34" spans="1:256" ht="15.75">
      <c r="A34" s="114"/>
      <c r="B34" s="115"/>
      <c r="C34" s="115" t="s">
        <v>196</v>
      </c>
      <c r="D34" s="115"/>
      <c r="E34" s="115"/>
      <c r="F34" s="115"/>
      <c r="G34" s="117">
        <f ca="1">PL!F12/100000</f>
        <v>0</v>
      </c>
      <c r="H34" s="115"/>
      <c r="I34" s="115"/>
      <c r="J34" s="114"/>
      <c r="K34" s="114"/>
    </row>
    <row r="35" spans="1:256" ht="15.75">
      <c r="A35" s="114"/>
      <c r="B35" s="115"/>
      <c r="C35" s="115" t="s">
        <v>197</v>
      </c>
      <c r="D35" s="115"/>
      <c r="E35" s="115"/>
      <c r="F35" s="115"/>
      <c r="G35" s="117">
        <f ca="1">PL!F23/100000</f>
        <v>6.9526900000000003E-2</v>
      </c>
      <c r="H35" s="115"/>
      <c r="I35" s="115"/>
      <c r="J35" s="114"/>
      <c r="K35" s="114"/>
    </row>
    <row r="36" spans="1:256" ht="15.75">
      <c r="A36" s="114"/>
      <c r="B36" s="115"/>
      <c r="C36" s="115" t="s">
        <v>198</v>
      </c>
      <c r="D36" s="115"/>
      <c r="E36" s="115"/>
      <c r="F36" s="115"/>
      <c r="G36" s="117">
        <f ca="1">PL!F25/100000</f>
        <v>-6.9526900000000003E-2</v>
      </c>
      <c r="H36" s="117"/>
      <c r="I36" s="115"/>
      <c r="J36" s="114"/>
      <c r="K36" s="114"/>
    </row>
    <row r="37" spans="1:256" ht="15.75">
      <c r="A37" s="114"/>
      <c r="B37" s="115"/>
      <c r="C37" s="115" t="s">
        <v>199</v>
      </c>
      <c r="D37" s="115"/>
      <c r="E37" s="115"/>
      <c r="F37" s="115"/>
      <c r="G37" s="117" t="e">
        <f>PL!#REF!/100000</f>
        <v>#REF!</v>
      </c>
      <c r="H37" s="115"/>
      <c r="I37" s="115"/>
      <c r="J37" s="114"/>
      <c r="K37" s="114"/>
    </row>
    <row r="38" spans="1:256" ht="15.75">
      <c r="A38" s="114"/>
      <c r="B38" s="115"/>
      <c r="C38" s="115" t="s">
        <v>200</v>
      </c>
      <c r="D38" s="115"/>
      <c r="E38" s="115"/>
      <c r="F38" s="115"/>
      <c r="G38" s="117">
        <f ca="1">PL!F48</f>
        <v>-106.736374</v>
      </c>
      <c r="H38" s="115"/>
      <c r="I38" s="115"/>
      <c r="J38" s="114"/>
      <c r="K38" s="114"/>
    </row>
    <row r="39" spans="1:256" ht="15.75">
      <c r="A39" s="114"/>
      <c r="B39" s="115"/>
      <c r="C39" s="115" t="s">
        <v>201</v>
      </c>
      <c r="D39" s="115"/>
      <c r="E39" s="115"/>
      <c r="F39" s="115"/>
      <c r="G39" s="115">
        <v>0</v>
      </c>
      <c r="H39" s="115"/>
      <c r="I39" s="115"/>
      <c r="J39" s="114"/>
      <c r="K39" s="114"/>
    </row>
    <row r="40" spans="1:256" ht="15.75">
      <c r="A40" s="114"/>
      <c r="B40" s="115"/>
      <c r="C40" s="115"/>
      <c r="D40" s="115"/>
      <c r="E40" s="115"/>
      <c r="F40" s="115"/>
      <c r="G40" s="115"/>
      <c r="H40" s="115"/>
      <c r="I40" s="115"/>
      <c r="J40" s="114"/>
      <c r="K40" s="114"/>
    </row>
    <row r="41" spans="1:256" ht="15.75">
      <c r="A41" s="114"/>
      <c r="B41" s="115" t="s">
        <v>202</v>
      </c>
      <c r="C41" s="115" t="s">
        <v>203</v>
      </c>
      <c r="D41" s="115"/>
      <c r="E41" s="115"/>
      <c r="F41" s="115"/>
      <c r="G41" s="115"/>
      <c r="H41" s="115"/>
      <c r="I41" s="115"/>
      <c r="J41" s="114"/>
      <c r="K41" s="114"/>
    </row>
    <row r="42" spans="1:256" ht="15.75">
      <c r="A42" s="114"/>
      <c r="B42" s="115"/>
      <c r="C42" s="115" t="s">
        <v>204</v>
      </c>
      <c r="D42" s="115"/>
      <c r="E42" s="115"/>
      <c r="F42" s="115"/>
      <c r="G42" s="115"/>
      <c r="H42" s="115"/>
      <c r="I42" s="115"/>
      <c r="J42" s="114"/>
      <c r="K42" s="114"/>
    </row>
    <row r="43" spans="1:256" ht="14.25">
      <c r="A43" s="121"/>
      <c r="B43" s="121"/>
      <c r="C43" s="121"/>
      <c r="D43" s="121"/>
      <c r="E43" s="121"/>
      <c r="F43" s="121"/>
      <c r="G43" s="121"/>
      <c r="H43" s="121"/>
      <c r="I43" s="121"/>
      <c r="J43" s="121"/>
      <c r="K43" s="121"/>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95"/>
      <c r="FD43" s="95"/>
      <c r="FE43" s="95"/>
      <c r="FF43" s="95"/>
      <c r="FG43" s="95"/>
      <c r="FH43" s="95"/>
      <c r="FI43" s="95"/>
      <c r="FJ43" s="95"/>
      <c r="FK43" s="95"/>
      <c r="FL43" s="95"/>
      <c r="FM43" s="95"/>
      <c r="FN43" s="95"/>
      <c r="FO43" s="95"/>
      <c r="FP43" s="95"/>
      <c r="FQ43" s="95"/>
      <c r="FR43" s="95"/>
      <c r="FS43" s="95"/>
      <c r="FT43" s="95"/>
      <c r="FU43" s="95"/>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95"/>
      <c r="HB43" s="95"/>
      <c r="HC43" s="95"/>
      <c r="HD43" s="95"/>
      <c r="HE43" s="95"/>
      <c r="HF43" s="95"/>
      <c r="HG43" s="95"/>
      <c r="HH43" s="95"/>
      <c r="HI43" s="95"/>
      <c r="HJ43" s="95"/>
      <c r="HK43" s="95"/>
      <c r="HL43" s="95"/>
      <c r="HM43" s="95"/>
      <c r="HN43" s="95"/>
      <c r="HO43" s="95"/>
      <c r="HP43" s="95"/>
      <c r="HQ43" s="95"/>
      <c r="HR43" s="95"/>
      <c r="HS43" s="95"/>
      <c r="HT43" s="95"/>
      <c r="HU43" s="95"/>
      <c r="HV43" s="95"/>
      <c r="HW43" s="95"/>
      <c r="HX43" s="95"/>
      <c r="HY43" s="95"/>
      <c r="HZ43" s="95"/>
      <c r="IA43" s="95"/>
      <c r="IB43" s="95"/>
      <c r="IC43" s="95"/>
      <c r="ID43" s="95"/>
      <c r="IE43" s="95"/>
      <c r="IF43" s="95"/>
      <c r="IG43" s="95"/>
      <c r="IH43" s="95"/>
      <c r="II43" s="95"/>
      <c r="IJ43" s="95"/>
      <c r="IK43" s="95"/>
      <c r="IL43" s="95"/>
      <c r="IM43" s="95"/>
      <c r="IN43" s="95"/>
      <c r="IO43" s="95"/>
      <c r="IP43" s="95"/>
      <c r="IQ43" s="95"/>
      <c r="IR43" s="95"/>
      <c r="IS43" s="95"/>
      <c r="IT43" s="95"/>
      <c r="IU43" s="95"/>
      <c r="IV43" s="95"/>
    </row>
    <row r="44" spans="1:256" ht="15.75">
      <c r="A44" s="121"/>
      <c r="B44" s="122" t="s">
        <v>103</v>
      </c>
      <c r="C44" s="121"/>
      <c r="D44" s="121"/>
      <c r="E44" s="121"/>
      <c r="F44" s="121"/>
      <c r="G44" s="121"/>
      <c r="H44" s="121"/>
      <c r="I44" s="121"/>
      <c r="J44" s="121"/>
      <c r="K44" s="121"/>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c r="CO44" s="95"/>
      <c r="CP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95"/>
      <c r="EA44" s="95"/>
      <c r="EB44" s="95"/>
      <c r="EC44" s="95"/>
      <c r="ED44" s="95"/>
      <c r="EE44" s="95"/>
      <c r="EF44" s="95"/>
      <c r="EG44" s="95"/>
      <c r="EH44" s="95"/>
      <c r="EI44" s="95"/>
      <c r="EJ44" s="95"/>
      <c r="EK44" s="95"/>
      <c r="EL44" s="95"/>
      <c r="EM44" s="95"/>
      <c r="EN44" s="95"/>
      <c r="EO44" s="95"/>
      <c r="EP44" s="95"/>
      <c r="EQ44" s="95"/>
      <c r="ER44" s="95"/>
      <c r="ES44" s="95"/>
      <c r="ET44" s="95"/>
      <c r="EU44" s="95"/>
      <c r="EV44" s="95"/>
      <c r="EW44" s="95"/>
      <c r="EX44" s="95"/>
      <c r="EY44" s="95"/>
      <c r="EZ44" s="95"/>
      <c r="FA44" s="95"/>
      <c r="FB44" s="95"/>
      <c r="FC44" s="95"/>
      <c r="FD44" s="95"/>
      <c r="FE44" s="95"/>
      <c r="FF44" s="95"/>
      <c r="FG44" s="95"/>
      <c r="FH44" s="95"/>
      <c r="FI44" s="95"/>
      <c r="FJ44" s="95"/>
      <c r="FK44" s="95"/>
      <c r="FL44" s="95"/>
      <c r="FM44" s="95"/>
      <c r="FN44" s="95"/>
      <c r="FO44" s="95"/>
      <c r="FP44" s="95"/>
      <c r="FQ44" s="95"/>
      <c r="FR44" s="95"/>
      <c r="FS44" s="95"/>
      <c r="FT44" s="95"/>
      <c r="FU44" s="95"/>
      <c r="FV44" s="95"/>
      <c r="FW44" s="95"/>
      <c r="FX44" s="95"/>
      <c r="FY44" s="95"/>
      <c r="FZ44" s="95"/>
      <c r="GA44" s="95"/>
      <c r="GB44" s="95"/>
      <c r="GC44" s="95"/>
      <c r="GD44" s="95"/>
      <c r="GE44" s="95"/>
      <c r="GF44" s="95"/>
      <c r="GG44" s="95"/>
      <c r="GH44" s="95"/>
      <c r="GI44" s="95"/>
      <c r="GJ44" s="95"/>
      <c r="GK44" s="95"/>
      <c r="GL44" s="95"/>
      <c r="GM44" s="95"/>
      <c r="GN44" s="95"/>
      <c r="GO44" s="95"/>
      <c r="GP44" s="95"/>
      <c r="GQ44" s="95"/>
      <c r="GR44" s="95"/>
      <c r="GS44" s="95"/>
      <c r="GT44" s="95"/>
      <c r="GU44" s="95"/>
      <c r="GV44" s="95"/>
      <c r="GW44" s="95"/>
      <c r="GX44" s="95"/>
      <c r="GY44" s="95"/>
      <c r="GZ44" s="95"/>
      <c r="HA44" s="95"/>
      <c r="HB44" s="95"/>
      <c r="HC44" s="95"/>
      <c r="HD44" s="95"/>
      <c r="HE44" s="95"/>
      <c r="HF44" s="95"/>
      <c r="HG44" s="95"/>
      <c r="HH44" s="95"/>
      <c r="HI44" s="95"/>
      <c r="HJ44" s="95"/>
      <c r="HK44" s="95"/>
      <c r="HL44" s="95"/>
      <c r="HM44" s="95"/>
      <c r="HN44" s="95"/>
      <c r="HO44" s="95"/>
      <c r="HP44" s="95"/>
      <c r="HQ44" s="95"/>
      <c r="HR44" s="95"/>
      <c r="HS44" s="95"/>
      <c r="HT44" s="95"/>
      <c r="HU44" s="95"/>
      <c r="HV44" s="95"/>
      <c r="HW44" s="95"/>
      <c r="HX44" s="95"/>
      <c r="HY44" s="95"/>
      <c r="HZ44" s="95"/>
      <c r="IA44" s="95"/>
      <c r="IB44" s="95"/>
      <c r="IC44" s="95"/>
      <c r="ID44" s="95"/>
      <c r="IE44" s="95"/>
      <c r="IF44" s="95"/>
      <c r="IG44" s="95"/>
      <c r="IH44" s="95"/>
      <c r="II44" s="95"/>
      <c r="IJ44" s="95"/>
      <c r="IK44" s="95"/>
      <c r="IL44" s="95"/>
      <c r="IM44" s="95"/>
      <c r="IN44" s="95"/>
      <c r="IO44" s="95"/>
      <c r="IP44" s="95"/>
      <c r="IQ44" s="95"/>
      <c r="IR44" s="95"/>
      <c r="IS44" s="95"/>
      <c r="IT44" s="95"/>
      <c r="IU44" s="95"/>
      <c r="IV44" s="95"/>
    </row>
    <row r="45" spans="1:256" ht="15.75">
      <c r="A45" s="114"/>
      <c r="B45" s="115"/>
      <c r="C45" s="115"/>
      <c r="D45" s="115"/>
      <c r="E45" s="115"/>
      <c r="F45" s="115"/>
      <c r="G45" s="115"/>
      <c r="H45" s="115"/>
      <c r="I45" s="115"/>
      <c r="J45" s="114"/>
      <c r="K45" s="114"/>
    </row>
    <row r="46" spans="1:256" ht="15.75">
      <c r="A46" s="123"/>
      <c r="B46" s="124" t="str">
        <f>BS!A50</f>
        <v>For A XXXXXXXXXXXociates</v>
      </c>
      <c r="C46" s="125"/>
      <c r="D46" s="125"/>
      <c r="E46" s="125"/>
      <c r="F46" s="125"/>
      <c r="G46" s="126" t="str">
        <f>BS!F51</f>
        <v>Abc Private Limited</v>
      </c>
      <c r="H46" s="123"/>
      <c r="I46" s="127"/>
      <c r="J46" s="123"/>
      <c r="K46" s="123"/>
    </row>
    <row r="47" spans="1:256" ht="15.75">
      <c r="A47" s="123"/>
      <c r="B47" s="128" t="s">
        <v>119</v>
      </c>
      <c r="C47" s="125"/>
      <c r="D47" s="125"/>
      <c r="E47" s="125"/>
      <c r="F47" s="125"/>
      <c r="G47" s="125"/>
      <c r="H47" s="129"/>
      <c r="I47" s="129"/>
      <c r="J47" s="129"/>
      <c r="K47" s="129"/>
    </row>
    <row r="48" spans="1:256" ht="15.75">
      <c r="A48" s="123"/>
      <c r="B48" s="125"/>
      <c r="C48" s="125"/>
      <c r="D48" s="125"/>
      <c r="E48" s="125"/>
      <c r="F48" s="125"/>
      <c r="G48" s="125"/>
      <c r="H48" s="130"/>
      <c r="I48" s="127"/>
      <c r="J48" s="123"/>
      <c r="K48" s="123"/>
    </row>
    <row r="49" spans="1:14" ht="15.75">
      <c r="A49" s="123"/>
      <c r="B49" s="131" t="str">
        <f>BS!A56</f>
        <v>Akshay Garg</v>
      </c>
      <c r="C49" s="125"/>
      <c r="D49" s="125"/>
      <c r="E49" s="125"/>
      <c r="F49" s="125"/>
      <c r="G49" s="125"/>
      <c r="H49" s="130" t="str">
        <f>BS!F56</f>
        <v>Director 1</v>
      </c>
      <c r="I49" s="127"/>
      <c r="J49" s="123"/>
      <c r="K49" s="130" t="str">
        <f>BS!G56</f>
        <v>Director 2</v>
      </c>
    </row>
    <row r="50" spans="1:14" ht="15.75">
      <c r="A50" s="123"/>
      <c r="B50" s="131" t="str">
        <f>BS!A57</f>
        <v>Partner</v>
      </c>
      <c r="C50" s="125"/>
      <c r="D50" s="125"/>
      <c r="E50" s="125"/>
      <c r="F50" s="125"/>
      <c r="G50" s="125"/>
      <c r="H50" s="130" t="str">
        <f>BS!F57</f>
        <v>(DIRECTOR)</v>
      </c>
      <c r="I50" s="130"/>
      <c r="J50" s="123"/>
      <c r="K50" s="130" t="str">
        <f>BS!G57</f>
        <v>(DIRECTOR)</v>
      </c>
    </row>
    <row r="51" spans="1:14" ht="15.75">
      <c r="A51" s="123"/>
      <c r="B51" s="131"/>
      <c r="C51" s="125"/>
      <c r="D51" s="125"/>
      <c r="E51" s="125"/>
      <c r="F51" s="125"/>
      <c r="G51" s="125"/>
      <c r="H51" s="130" t="str">
        <f>BS!F58</f>
        <v>DIN - 00XXXX70</v>
      </c>
      <c r="I51" s="125"/>
      <c r="J51" s="123"/>
      <c r="K51" s="130" t="str">
        <f>BS!G58</f>
        <v>DIN - 00XXXX70</v>
      </c>
    </row>
    <row r="52" spans="1:14" ht="15.75">
      <c r="A52" s="123"/>
      <c r="B52" s="131"/>
      <c r="C52" s="125"/>
      <c r="D52" s="125"/>
      <c r="E52" s="125"/>
      <c r="F52" s="125"/>
      <c r="G52" s="125"/>
      <c r="H52" s="125"/>
      <c r="I52" s="125"/>
      <c r="J52" s="123"/>
      <c r="K52" s="123"/>
    </row>
    <row r="53" spans="1:14" ht="15.75">
      <c r="A53" s="123"/>
      <c r="B53" s="131" t="str">
        <f>BS!A59</f>
        <v>Date</v>
      </c>
      <c r="C53" s="125"/>
      <c r="D53" s="125"/>
      <c r="E53" s="125"/>
      <c r="F53" s="125"/>
      <c r="G53" s="125"/>
      <c r="H53" s="125"/>
      <c r="I53" s="125"/>
      <c r="J53" s="123"/>
      <c r="K53" s="123"/>
    </row>
    <row r="54" spans="1:14" ht="15.75">
      <c r="A54" s="123"/>
      <c r="B54" s="131" t="str">
        <f>BS!A60</f>
        <v>Place</v>
      </c>
      <c r="C54" s="125"/>
      <c r="D54" s="125"/>
      <c r="E54" s="125"/>
      <c r="F54" s="125"/>
      <c r="G54" s="125"/>
      <c r="H54" s="125"/>
      <c r="I54" s="125"/>
      <c r="J54" s="123"/>
      <c r="K54" s="123"/>
    </row>
    <row r="55" spans="1:14" ht="15.75">
      <c r="B55" s="98"/>
      <c r="C55" s="93"/>
      <c r="D55" s="93"/>
      <c r="E55" s="93"/>
      <c r="F55" s="93"/>
      <c r="G55" s="93"/>
      <c r="H55" s="93"/>
      <c r="I55" s="93"/>
    </row>
    <row r="56" spans="1:14" ht="15.75">
      <c r="B56" s="98"/>
      <c r="C56" s="93"/>
      <c r="D56" s="93"/>
      <c r="E56" s="93"/>
      <c r="F56" s="93"/>
      <c r="G56" s="93"/>
      <c r="H56" s="93"/>
      <c r="I56" s="93"/>
    </row>
    <row r="57" spans="1:14" ht="15.75">
      <c r="B57" s="98"/>
      <c r="C57" s="93"/>
      <c r="D57" s="93"/>
      <c r="E57" s="93"/>
      <c r="F57" s="93"/>
      <c r="G57" s="93"/>
      <c r="H57" s="93"/>
      <c r="I57" s="93"/>
    </row>
    <row r="58" spans="1:14" ht="15.75">
      <c r="B58" s="98"/>
      <c r="C58" s="96"/>
      <c r="D58" s="96"/>
      <c r="E58" s="93"/>
      <c r="I58" s="93"/>
    </row>
    <row r="59" spans="1:14" ht="15.75">
      <c r="A59" s="99"/>
      <c r="B59" s="100"/>
      <c r="C59" s="100"/>
      <c r="D59" s="100"/>
      <c r="E59" s="100"/>
      <c r="F59" s="100"/>
      <c r="G59" s="100"/>
      <c r="H59" s="100"/>
      <c r="I59" s="100"/>
      <c r="J59" s="99"/>
      <c r="K59" s="99"/>
    </row>
    <row r="60" spans="1:14" ht="15.75">
      <c r="A60" s="99"/>
      <c r="B60" s="100"/>
      <c r="C60" s="100"/>
      <c r="D60" s="100"/>
      <c r="E60" s="100"/>
      <c r="F60" s="100"/>
      <c r="G60" s="100"/>
      <c r="H60" s="100"/>
      <c r="I60" s="100"/>
      <c r="J60" s="99"/>
      <c r="K60" s="99"/>
    </row>
    <row r="61" spans="1:14" ht="15.75">
      <c r="A61" s="99"/>
      <c r="B61" s="100"/>
      <c r="C61" s="100"/>
      <c r="D61" s="100"/>
      <c r="E61" s="100"/>
      <c r="F61" s="100"/>
      <c r="G61" s="100"/>
      <c r="H61" s="100"/>
      <c r="I61" s="100"/>
      <c r="J61" s="99"/>
      <c r="K61" s="99"/>
    </row>
    <row r="62" spans="1:14" ht="15.75">
      <c r="A62" s="99"/>
      <c r="B62" s="100"/>
      <c r="C62" s="100"/>
      <c r="D62" s="100"/>
      <c r="E62" s="100"/>
      <c r="F62" s="100"/>
      <c r="G62" s="100"/>
      <c r="H62" s="100"/>
      <c r="I62" s="100"/>
      <c r="J62" s="99"/>
      <c r="K62" s="99"/>
    </row>
    <row r="63" spans="1:14" ht="15.75">
      <c r="A63" s="101"/>
      <c r="B63" s="101"/>
      <c r="C63" s="101"/>
      <c r="D63" s="101"/>
      <c r="E63" s="102"/>
      <c r="F63" s="101"/>
      <c r="G63" s="101"/>
      <c r="H63" s="101"/>
      <c r="I63" s="101"/>
      <c r="J63" s="101"/>
      <c r="K63" s="101"/>
      <c r="L63" s="93"/>
      <c r="M63" s="93"/>
      <c r="N63" s="93"/>
    </row>
    <row r="64" spans="1:14" ht="15.75">
      <c r="A64" s="101"/>
      <c r="B64" s="101"/>
      <c r="C64" s="101"/>
      <c r="D64" s="101"/>
      <c r="E64" s="102"/>
      <c r="F64" s="101"/>
      <c r="G64" s="101"/>
      <c r="H64" s="101"/>
      <c r="I64" s="101"/>
      <c r="J64" s="101"/>
      <c r="K64" s="101"/>
      <c r="L64" s="93"/>
      <c r="M64" s="93"/>
      <c r="N64" s="93"/>
    </row>
    <row r="65" spans="1:14" ht="15.75">
      <c r="A65" s="101"/>
      <c r="B65" s="101"/>
      <c r="C65" s="101"/>
      <c r="D65" s="101"/>
      <c r="E65" s="102"/>
      <c r="F65" s="101"/>
      <c r="G65" s="101"/>
      <c r="H65" s="101"/>
      <c r="I65" s="101"/>
      <c r="J65" s="101"/>
      <c r="K65" s="101"/>
      <c r="L65" s="93"/>
      <c r="M65" s="93"/>
      <c r="N65" s="93"/>
    </row>
    <row r="66" spans="1:14" ht="15.75">
      <c r="A66" s="101"/>
      <c r="B66" s="101"/>
      <c r="C66" s="101"/>
      <c r="D66" s="101"/>
      <c r="E66" s="102"/>
      <c r="F66" s="101"/>
      <c r="G66" s="101"/>
      <c r="H66" s="101"/>
      <c r="I66" s="101"/>
      <c r="J66" s="101"/>
      <c r="K66" s="101"/>
      <c r="L66" s="93"/>
      <c r="M66" s="93"/>
      <c r="N66" s="93"/>
    </row>
    <row r="67" spans="1:14" ht="15.75">
      <c r="A67" s="101"/>
      <c r="B67" s="101"/>
      <c r="C67" s="101"/>
      <c r="D67" s="101"/>
      <c r="E67" s="102"/>
      <c r="F67" s="101"/>
      <c r="G67" s="101"/>
      <c r="H67" s="101"/>
      <c r="I67" s="101"/>
      <c r="J67" s="101"/>
      <c r="K67" s="101"/>
      <c r="L67" s="93"/>
      <c r="M67" s="93"/>
      <c r="N67" s="93"/>
    </row>
    <row r="68" spans="1:14" ht="22.5" customHeight="1">
      <c r="A68" s="1020"/>
      <c r="B68" s="1021"/>
      <c r="C68" s="1021"/>
      <c r="D68" s="1021"/>
      <c r="E68" s="1021"/>
      <c r="F68" s="1021"/>
      <c r="G68" s="1021"/>
      <c r="H68" s="1021"/>
      <c r="I68" s="1021"/>
      <c r="J68" s="1021"/>
      <c r="K68" s="1021"/>
      <c r="L68" s="93"/>
      <c r="M68" s="93"/>
      <c r="N68" s="93"/>
    </row>
    <row r="69" spans="1:14" ht="15.75">
      <c r="A69" s="100"/>
      <c r="B69" s="100"/>
      <c r="C69" s="100"/>
      <c r="D69" s="100"/>
      <c r="E69" s="100"/>
      <c r="F69" s="100"/>
      <c r="G69" s="100"/>
      <c r="H69" s="100"/>
      <c r="I69" s="100"/>
      <c r="J69" s="100"/>
      <c r="K69" s="100"/>
      <c r="L69" s="93"/>
      <c r="M69" s="93"/>
      <c r="N69" s="93"/>
    </row>
    <row r="70" spans="1:14" ht="15.75">
      <c r="A70" s="100"/>
      <c r="B70" s="100"/>
      <c r="C70" s="100"/>
      <c r="D70" s="100"/>
      <c r="E70" s="100"/>
      <c r="F70" s="100"/>
      <c r="G70" s="100"/>
      <c r="H70" s="100"/>
      <c r="I70" s="100"/>
      <c r="J70" s="100"/>
      <c r="K70" s="100"/>
      <c r="L70" s="93"/>
      <c r="M70" s="93"/>
      <c r="N70" s="93"/>
    </row>
    <row r="71" spans="1:14" ht="15.75">
      <c r="A71" s="100"/>
      <c r="B71" s="100"/>
      <c r="C71" s="100"/>
      <c r="D71" s="100"/>
      <c r="E71" s="100"/>
      <c r="F71" s="100"/>
      <c r="G71" s="100"/>
      <c r="H71" s="100"/>
      <c r="I71" s="100"/>
      <c r="J71" s="100"/>
      <c r="K71" s="100"/>
      <c r="L71" s="93"/>
      <c r="M71" s="93"/>
      <c r="N71" s="93"/>
    </row>
    <row r="72" spans="1:14" ht="15.75">
      <c r="A72" s="100"/>
      <c r="B72" s="100"/>
      <c r="C72" s="100"/>
      <c r="D72" s="100"/>
      <c r="E72" s="100"/>
      <c r="F72" s="100"/>
      <c r="G72" s="100"/>
      <c r="H72" s="100"/>
      <c r="I72" s="100"/>
      <c r="J72" s="100"/>
      <c r="K72" s="100"/>
      <c r="L72" s="93"/>
      <c r="M72" s="93"/>
      <c r="N72" s="93"/>
    </row>
    <row r="73" spans="1:14" ht="15.75">
      <c r="A73" s="100"/>
      <c r="B73" s="100"/>
      <c r="C73" s="100"/>
      <c r="D73" s="100"/>
      <c r="E73" s="100"/>
      <c r="F73" s="100"/>
      <c r="G73" s="100"/>
      <c r="H73" s="100"/>
      <c r="I73" s="100"/>
      <c r="J73" s="100"/>
      <c r="K73" s="100"/>
      <c r="L73" s="93"/>
      <c r="M73" s="93"/>
      <c r="N73" s="93"/>
    </row>
    <row r="74" spans="1:14" ht="15.75">
      <c r="A74" s="100"/>
      <c r="B74" s="100"/>
      <c r="C74" s="100"/>
      <c r="D74" s="100"/>
      <c r="E74" s="100"/>
      <c r="F74" s="100"/>
      <c r="G74" s="100"/>
      <c r="H74" s="100"/>
      <c r="I74" s="100"/>
      <c r="J74" s="100"/>
      <c r="K74" s="100"/>
      <c r="L74" s="93"/>
      <c r="M74" s="93"/>
      <c r="N74" s="93"/>
    </row>
    <row r="75" spans="1:14" ht="15.75">
      <c r="A75" s="100"/>
      <c r="B75" s="100"/>
      <c r="C75" s="100"/>
      <c r="D75" s="100"/>
      <c r="E75" s="100"/>
      <c r="F75" s="100"/>
      <c r="G75" s="100"/>
      <c r="H75" s="100"/>
      <c r="I75" s="100"/>
      <c r="J75" s="100"/>
      <c r="K75" s="100"/>
      <c r="L75" s="93"/>
      <c r="M75" s="93"/>
      <c r="N75" s="93"/>
    </row>
    <row r="76" spans="1:14" ht="15.75">
      <c r="A76" s="93"/>
      <c r="B76" s="93"/>
      <c r="C76" s="93"/>
      <c r="D76" s="93"/>
      <c r="E76" s="93"/>
      <c r="F76" s="93"/>
      <c r="G76" s="93"/>
      <c r="H76" s="93"/>
      <c r="I76" s="93"/>
      <c r="J76" s="93"/>
      <c r="K76" s="93"/>
      <c r="L76" s="93"/>
      <c r="M76" s="93"/>
      <c r="N76" s="93"/>
    </row>
    <row r="77" spans="1:14" ht="15.75">
      <c r="A77" s="93"/>
      <c r="B77" s="93"/>
      <c r="C77" s="93"/>
      <c r="D77" s="93"/>
      <c r="E77" s="93"/>
      <c r="F77" s="93"/>
      <c r="G77" s="93"/>
      <c r="H77" s="93"/>
      <c r="I77" s="93"/>
      <c r="J77" s="93"/>
      <c r="K77" s="93"/>
      <c r="L77" s="93"/>
      <c r="M77" s="93"/>
      <c r="N77" s="93"/>
    </row>
    <row r="78" spans="1:14" ht="15.75">
      <c r="A78" s="93"/>
      <c r="B78" s="93"/>
      <c r="C78" s="93"/>
      <c r="D78" s="93"/>
      <c r="E78" s="93"/>
      <c r="F78" s="93"/>
      <c r="G78" s="93"/>
      <c r="H78" s="93"/>
      <c r="I78" s="93"/>
      <c r="J78" s="93"/>
      <c r="K78" s="93"/>
      <c r="L78" s="93"/>
      <c r="M78" s="93"/>
      <c r="N78" s="93"/>
    </row>
    <row r="79" spans="1:14" ht="15.75">
      <c r="A79" s="93"/>
      <c r="B79" s="93"/>
      <c r="C79" s="93"/>
      <c r="D79" s="93"/>
      <c r="E79" s="93"/>
      <c r="F79" s="93"/>
      <c r="G79" s="93"/>
      <c r="H79" s="93"/>
      <c r="I79" s="93"/>
      <c r="J79" s="93"/>
      <c r="K79" s="93"/>
      <c r="L79" s="93"/>
      <c r="M79" s="93"/>
      <c r="N79" s="93"/>
    </row>
    <row r="80" spans="1:14" ht="15.75">
      <c r="A80" s="93"/>
      <c r="B80" s="93"/>
      <c r="C80" s="93"/>
      <c r="D80" s="93"/>
      <c r="E80" s="93"/>
      <c r="F80" s="93"/>
      <c r="G80" s="93"/>
      <c r="H80" s="93"/>
      <c r="I80" s="93"/>
      <c r="J80" s="93"/>
      <c r="K80" s="93"/>
      <c r="L80" s="93"/>
      <c r="M80" s="93"/>
      <c r="N80" s="93"/>
    </row>
    <row r="81" spans="1:14" ht="15.75">
      <c r="A81" s="93"/>
      <c r="B81" s="93"/>
      <c r="C81" s="93"/>
      <c r="D81" s="93"/>
      <c r="E81" s="93"/>
      <c r="F81" s="93"/>
      <c r="G81" s="93"/>
      <c r="H81" s="93"/>
      <c r="I81" s="93"/>
      <c r="J81" s="93"/>
      <c r="K81" s="93"/>
      <c r="L81" s="93"/>
      <c r="M81" s="93"/>
      <c r="N81" s="93"/>
    </row>
    <row r="82" spans="1:14" ht="15.75">
      <c r="A82" s="93"/>
      <c r="B82" s="93"/>
      <c r="C82" s="93"/>
      <c r="D82" s="93"/>
      <c r="E82" s="93"/>
      <c r="F82" s="93"/>
      <c r="G82" s="93"/>
      <c r="H82" s="93"/>
      <c r="I82" s="93"/>
      <c r="J82" s="93"/>
      <c r="K82" s="93"/>
      <c r="L82" s="93"/>
      <c r="M82" s="93"/>
      <c r="N82" s="93"/>
    </row>
    <row r="83" spans="1:14" ht="15.75">
      <c r="A83" s="93"/>
      <c r="B83" s="93"/>
      <c r="C83" s="93"/>
      <c r="D83" s="93"/>
      <c r="E83" s="93"/>
      <c r="F83" s="93"/>
      <c r="G83" s="93"/>
      <c r="H83" s="93"/>
      <c r="I83" s="93"/>
      <c r="J83" s="93"/>
      <c r="K83" s="93"/>
      <c r="L83" s="93"/>
      <c r="M83" s="93"/>
      <c r="N83" s="93"/>
    </row>
    <row r="84" spans="1:14" ht="15.75">
      <c r="A84" s="93"/>
      <c r="B84" s="93"/>
      <c r="C84" s="93"/>
      <c r="D84" s="93"/>
      <c r="E84" s="93"/>
      <c r="F84" s="93"/>
      <c r="G84" s="93"/>
      <c r="H84" s="93"/>
      <c r="I84" s="93"/>
      <c r="J84" s="93"/>
      <c r="K84" s="93"/>
      <c r="L84" s="93"/>
      <c r="M84" s="93"/>
      <c r="N84" s="93"/>
    </row>
    <row r="85" spans="1:14" ht="15.75">
      <c r="A85" s="93"/>
      <c r="B85" s="93"/>
      <c r="C85" s="93"/>
      <c r="D85" s="93"/>
      <c r="E85" s="93"/>
      <c r="F85" s="93"/>
      <c r="G85" s="93"/>
      <c r="H85" s="93"/>
      <c r="I85" s="93"/>
      <c r="J85" s="93"/>
      <c r="K85" s="93"/>
      <c r="L85" s="93"/>
      <c r="M85" s="93"/>
      <c r="N85" s="93"/>
    </row>
    <row r="86" spans="1:14" ht="15.75">
      <c r="A86" s="93"/>
      <c r="B86" s="93"/>
      <c r="C86" s="93"/>
      <c r="D86" s="93"/>
      <c r="E86" s="93"/>
      <c r="F86" s="93"/>
      <c r="G86" s="93"/>
      <c r="H86" s="93"/>
      <c r="I86" s="93"/>
      <c r="J86" s="93"/>
      <c r="K86" s="93"/>
      <c r="L86" s="93"/>
      <c r="M86" s="93"/>
      <c r="N86" s="93"/>
    </row>
    <row r="87" spans="1:14" ht="15.75">
      <c r="A87" s="93"/>
      <c r="B87" s="93"/>
      <c r="C87" s="93"/>
      <c r="D87" s="93"/>
      <c r="E87" s="93"/>
      <c r="F87" s="93"/>
      <c r="G87" s="93"/>
      <c r="H87" s="93"/>
      <c r="I87" s="93"/>
      <c r="J87" s="93"/>
      <c r="K87" s="93"/>
      <c r="L87" s="93"/>
      <c r="M87" s="93"/>
      <c r="N87" s="93"/>
    </row>
    <row r="88" spans="1:14" ht="15.75">
      <c r="A88" s="93"/>
      <c r="B88" s="93"/>
      <c r="C88" s="93"/>
      <c r="D88" s="93"/>
      <c r="E88" s="93"/>
      <c r="F88" s="93"/>
      <c r="G88" s="93"/>
      <c r="H88" s="93"/>
      <c r="I88" s="93"/>
      <c r="J88" s="93"/>
      <c r="K88" s="93"/>
      <c r="L88" s="93"/>
      <c r="M88" s="93"/>
      <c r="N88" s="93"/>
    </row>
    <row r="89" spans="1:14" ht="15.75">
      <c r="A89" s="93"/>
      <c r="B89" s="93"/>
      <c r="C89" s="93"/>
      <c r="D89" s="93"/>
      <c r="E89" s="93"/>
      <c r="F89" s="93"/>
      <c r="G89" s="93"/>
      <c r="H89" s="93"/>
      <c r="I89" s="93"/>
      <c r="J89" s="93"/>
      <c r="K89" s="93"/>
      <c r="L89" s="93"/>
      <c r="M89" s="93"/>
      <c r="N89" s="93"/>
    </row>
    <row r="90" spans="1:14" ht="15.75">
      <c r="A90" s="93"/>
      <c r="B90" s="93"/>
      <c r="C90" s="93"/>
      <c r="D90" s="93"/>
      <c r="E90" s="93"/>
      <c r="F90" s="93"/>
      <c r="G90" s="93"/>
      <c r="H90" s="93"/>
      <c r="I90" s="93"/>
      <c r="J90" s="93"/>
      <c r="K90" s="93"/>
      <c r="L90" s="93"/>
      <c r="M90" s="93"/>
      <c r="N90" s="93"/>
    </row>
    <row r="91" spans="1:14" ht="15.75">
      <c r="A91" s="93"/>
      <c r="B91" s="93"/>
      <c r="C91" s="93"/>
      <c r="D91" s="93"/>
      <c r="E91" s="93"/>
      <c r="F91" s="93"/>
      <c r="G91" s="93"/>
      <c r="H91" s="93"/>
      <c r="I91" s="93"/>
      <c r="J91" s="93"/>
      <c r="K91" s="93"/>
      <c r="L91" s="93"/>
      <c r="M91" s="93"/>
      <c r="N91" s="93"/>
    </row>
    <row r="92" spans="1:14" ht="15.75">
      <c r="A92" s="93"/>
      <c r="B92" s="93"/>
      <c r="C92" s="93"/>
      <c r="D92" s="93"/>
      <c r="E92" s="93"/>
      <c r="F92" s="93"/>
      <c r="G92" s="93"/>
      <c r="H92" s="93"/>
      <c r="I92" s="93"/>
      <c r="J92" s="93"/>
      <c r="K92" s="93"/>
      <c r="L92" s="93"/>
      <c r="M92" s="93"/>
      <c r="N92" s="93"/>
    </row>
    <row r="93" spans="1:14" ht="15.75">
      <c r="A93" s="93"/>
      <c r="B93" s="93"/>
      <c r="C93" s="93"/>
      <c r="D93" s="93"/>
      <c r="E93" s="93"/>
      <c r="F93" s="93"/>
      <c r="G93" s="93"/>
      <c r="H93" s="93"/>
      <c r="I93" s="93"/>
      <c r="J93" s="93"/>
      <c r="K93" s="93"/>
      <c r="L93" s="93"/>
      <c r="M93" s="93"/>
      <c r="N93" s="93"/>
    </row>
    <row r="94" spans="1:14" ht="15.75">
      <c r="A94" s="93"/>
      <c r="B94" s="93"/>
      <c r="C94" s="93"/>
      <c r="D94" s="93"/>
      <c r="E94" s="93"/>
      <c r="F94" s="93"/>
      <c r="G94" s="93"/>
      <c r="H94" s="93"/>
      <c r="I94" s="93"/>
      <c r="J94" s="93"/>
      <c r="K94" s="93"/>
      <c r="L94" s="93"/>
      <c r="M94" s="93"/>
      <c r="N94" s="93"/>
    </row>
    <row r="95" spans="1:14" ht="15.75">
      <c r="A95" s="93"/>
      <c r="B95" s="93"/>
      <c r="C95" s="93"/>
      <c r="D95" s="93"/>
      <c r="E95" s="93"/>
      <c r="F95" s="93"/>
      <c r="G95" s="93"/>
      <c r="H95" s="93"/>
      <c r="I95" s="93"/>
      <c r="J95" s="93"/>
      <c r="K95" s="93"/>
      <c r="L95" s="93"/>
      <c r="M95" s="93"/>
      <c r="N95" s="93"/>
    </row>
    <row r="96" spans="1:14" ht="15.75">
      <c r="A96" s="93"/>
      <c r="B96" s="93"/>
      <c r="C96" s="93"/>
      <c r="D96" s="93"/>
      <c r="E96" s="93"/>
      <c r="F96" s="93"/>
      <c r="G96" s="93"/>
      <c r="H96" s="93"/>
      <c r="I96" s="93"/>
      <c r="J96" s="93"/>
      <c r="K96" s="93"/>
      <c r="L96" s="93"/>
      <c r="M96" s="93"/>
      <c r="N96" s="93"/>
    </row>
    <row r="97" spans="1:14" ht="15.75">
      <c r="A97" s="93"/>
      <c r="B97" s="93"/>
      <c r="C97" s="93"/>
      <c r="D97" s="93"/>
      <c r="E97" s="93"/>
      <c r="F97" s="93"/>
      <c r="G97" s="93"/>
      <c r="H97" s="93"/>
      <c r="I97" s="93"/>
      <c r="J97" s="93"/>
      <c r="K97" s="93"/>
      <c r="L97" s="93"/>
      <c r="M97" s="93"/>
      <c r="N97" s="93"/>
    </row>
    <row r="98" spans="1:14" ht="15.75">
      <c r="A98" s="93"/>
      <c r="B98" s="93"/>
      <c r="C98" s="93"/>
      <c r="D98" s="93"/>
      <c r="E98" s="93"/>
      <c r="F98" s="93"/>
      <c r="G98" s="93"/>
      <c r="H98" s="93"/>
      <c r="I98" s="93"/>
      <c r="J98" s="93"/>
      <c r="K98" s="93"/>
      <c r="L98" s="93"/>
      <c r="M98" s="93"/>
      <c r="N98" s="93"/>
    </row>
    <row r="99" spans="1:14" ht="15.75">
      <c r="A99" s="93"/>
      <c r="B99" s="93"/>
      <c r="C99" s="93"/>
      <c r="D99" s="93"/>
      <c r="E99" s="93"/>
      <c r="F99" s="93"/>
      <c r="G99" s="93"/>
      <c r="H99" s="93"/>
      <c r="I99" s="93"/>
      <c r="J99" s="93"/>
      <c r="K99" s="93"/>
      <c r="L99" s="93"/>
      <c r="M99" s="93"/>
      <c r="N99" s="93"/>
    </row>
    <row r="100" spans="1:14" ht="15.75">
      <c r="A100" s="93"/>
      <c r="B100" s="93"/>
      <c r="C100" s="93"/>
      <c r="D100" s="93"/>
      <c r="E100" s="93"/>
      <c r="F100" s="93"/>
      <c r="G100" s="93"/>
      <c r="H100" s="93"/>
      <c r="I100" s="93"/>
      <c r="J100" s="93"/>
      <c r="K100" s="93"/>
      <c r="L100" s="93"/>
      <c r="M100" s="93"/>
      <c r="N100" s="93"/>
    </row>
    <row r="101" spans="1:14" ht="15.75">
      <c r="A101" s="93"/>
      <c r="B101" s="93"/>
      <c r="C101" s="93"/>
      <c r="D101" s="93"/>
      <c r="E101" s="93"/>
      <c r="F101" s="93"/>
      <c r="G101" s="93"/>
      <c r="H101" s="93"/>
      <c r="I101" s="93"/>
      <c r="J101" s="93"/>
      <c r="K101" s="93"/>
      <c r="L101" s="93"/>
      <c r="M101" s="93"/>
      <c r="N101" s="93"/>
    </row>
    <row r="102" spans="1:14" ht="15.75">
      <c r="A102" s="93"/>
      <c r="B102" s="93"/>
      <c r="C102" s="93"/>
      <c r="D102" s="93"/>
      <c r="E102" s="93"/>
      <c r="F102" s="93"/>
      <c r="G102" s="93"/>
      <c r="H102" s="93"/>
      <c r="I102" s="93"/>
      <c r="J102" s="93"/>
      <c r="K102" s="93"/>
      <c r="L102" s="93"/>
      <c r="M102" s="93"/>
      <c r="N102" s="93"/>
    </row>
    <row r="103" spans="1:14" ht="15.75">
      <c r="A103" s="93"/>
      <c r="B103" s="93"/>
      <c r="C103" s="93"/>
      <c r="D103" s="93"/>
      <c r="E103" s="93"/>
      <c r="F103" s="93"/>
      <c r="G103" s="93"/>
      <c r="H103" s="93"/>
      <c r="I103" s="93"/>
      <c r="J103" s="93"/>
      <c r="K103" s="93"/>
      <c r="L103" s="93"/>
      <c r="M103" s="93"/>
      <c r="N103" s="93"/>
    </row>
    <row r="104" spans="1:14" ht="15.75">
      <c r="A104" s="93"/>
      <c r="B104" s="93"/>
      <c r="C104" s="93"/>
      <c r="D104" s="93"/>
      <c r="E104" s="93"/>
      <c r="F104" s="93"/>
      <c r="G104" s="93"/>
      <c r="H104" s="93"/>
      <c r="I104" s="93"/>
      <c r="J104" s="93"/>
      <c r="K104" s="93"/>
      <c r="L104" s="93"/>
      <c r="M104" s="93"/>
      <c r="N104" s="93"/>
    </row>
    <row r="105" spans="1:14" ht="15.75">
      <c r="A105" s="93"/>
      <c r="B105" s="93"/>
      <c r="C105" s="93"/>
      <c r="D105" s="93"/>
      <c r="E105" s="93"/>
      <c r="F105" s="93"/>
      <c r="G105" s="93"/>
      <c r="H105" s="93"/>
      <c r="I105" s="93"/>
      <c r="J105" s="93"/>
      <c r="K105" s="93"/>
      <c r="L105" s="93"/>
      <c r="M105" s="93"/>
      <c r="N105" s="93"/>
    </row>
    <row r="106" spans="1:14" ht="15.75">
      <c r="A106" s="93"/>
      <c r="B106" s="93"/>
      <c r="C106" s="93"/>
      <c r="D106" s="93"/>
      <c r="E106" s="93"/>
      <c r="F106" s="93"/>
      <c r="G106" s="93"/>
      <c r="H106" s="93"/>
      <c r="I106" s="93"/>
      <c r="J106" s="93"/>
      <c r="K106" s="93"/>
      <c r="L106" s="93"/>
      <c r="M106" s="93"/>
      <c r="N106" s="93"/>
    </row>
    <row r="107" spans="1:14" ht="15.75">
      <c r="A107" s="93"/>
      <c r="B107" s="93"/>
      <c r="C107" s="93"/>
      <c r="D107" s="93"/>
      <c r="E107" s="93"/>
      <c r="F107" s="93"/>
      <c r="G107" s="93"/>
      <c r="H107" s="93"/>
      <c r="I107" s="93"/>
      <c r="J107" s="93"/>
      <c r="K107" s="93"/>
      <c r="L107" s="93"/>
      <c r="M107" s="93"/>
      <c r="N107" s="93"/>
    </row>
    <row r="108" spans="1:14" ht="15.75">
      <c r="A108" s="93"/>
      <c r="B108" s="93"/>
      <c r="C108" s="93"/>
      <c r="D108" s="93"/>
      <c r="E108" s="93"/>
      <c r="F108" s="93"/>
      <c r="G108" s="93"/>
      <c r="H108" s="93"/>
      <c r="I108" s="93"/>
      <c r="J108" s="93"/>
      <c r="K108" s="93"/>
      <c r="L108" s="93"/>
      <c r="M108" s="93"/>
      <c r="N108" s="93"/>
    </row>
    <row r="109" spans="1:14" ht="15.75">
      <c r="A109" s="93"/>
      <c r="B109" s="93"/>
      <c r="C109" s="93"/>
      <c r="D109" s="93"/>
      <c r="E109" s="93"/>
      <c r="F109" s="93"/>
      <c r="G109" s="93"/>
      <c r="H109" s="93"/>
      <c r="I109" s="93"/>
      <c r="J109" s="93"/>
      <c r="K109" s="93"/>
      <c r="L109" s="93"/>
      <c r="M109" s="93"/>
      <c r="N109" s="93"/>
    </row>
    <row r="110" spans="1:14" ht="15.75">
      <c r="A110" s="93"/>
      <c r="B110" s="93"/>
      <c r="C110" s="93"/>
      <c r="D110" s="93"/>
      <c r="E110" s="93"/>
      <c r="F110" s="93"/>
      <c r="G110" s="93"/>
      <c r="H110" s="93"/>
      <c r="I110" s="93"/>
      <c r="J110" s="93"/>
      <c r="K110" s="93"/>
      <c r="L110" s="93"/>
      <c r="M110" s="93"/>
      <c r="N110" s="93"/>
    </row>
    <row r="111" spans="1:14" ht="15.75">
      <c r="A111" s="93"/>
      <c r="B111" s="93"/>
      <c r="C111" s="93"/>
      <c r="D111" s="93"/>
      <c r="E111" s="93"/>
      <c r="F111" s="93"/>
      <c r="G111" s="93"/>
      <c r="H111" s="93"/>
      <c r="I111" s="93"/>
      <c r="J111" s="93"/>
      <c r="K111" s="93"/>
      <c r="L111" s="93"/>
      <c r="M111" s="93"/>
      <c r="N111" s="93"/>
    </row>
    <row r="112" spans="1:14" ht="15.75">
      <c r="A112" s="93"/>
      <c r="B112" s="93"/>
      <c r="C112" s="93"/>
      <c r="D112" s="93"/>
      <c r="E112" s="93"/>
      <c r="F112" s="93"/>
      <c r="G112" s="93"/>
      <c r="H112" s="93"/>
      <c r="I112" s="93"/>
      <c r="J112" s="93"/>
      <c r="K112" s="93"/>
      <c r="L112" s="93"/>
      <c r="M112" s="93"/>
      <c r="N112" s="93"/>
    </row>
    <row r="113" spans="1:14" ht="15.75">
      <c r="A113" s="93"/>
      <c r="B113" s="93"/>
      <c r="C113" s="93"/>
      <c r="D113" s="93"/>
      <c r="E113" s="93"/>
      <c r="F113" s="93"/>
      <c r="G113" s="93"/>
      <c r="H113" s="93"/>
      <c r="I113" s="93"/>
      <c r="J113" s="93"/>
      <c r="K113" s="93"/>
      <c r="L113" s="93"/>
      <c r="M113" s="93"/>
      <c r="N113" s="93"/>
    </row>
    <row r="114" spans="1:14" ht="15.75">
      <c r="A114" s="93"/>
      <c r="B114" s="93"/>
      <c r="C114" s="93"/>
      <c r="D114" s="93"/>
      <c r="E114" s="93"/>
      <c r="F114" s="93"/>
      <c r="G114" s="93"/>
      <c r="H114" s="93"/>
      <c r="I114" s="93"/>
      <c r="J114" s="93"/>
      <c r="K114" s="93"/>
      <c r="L114" s="93"/>
      <c r="M114" s="93"/>
      <c r="N114" s="93"/>
    </row>
    <row r="115" spans="1:14" ht="15.75">
      <c r="A115" s="93"/>
      <c r="B115" s="93"/>
      <c r="C115" s="93"/>
      <c r="D115" s="93"/>
      <c r="E115" s="93"/>
      <c r="F115" s="93"/>
      <c r="G115" s="93"/>
      <c r="H115" s="93"/>
      <c r="I115" s="93"/>
      <c r="J115" s="93"/>
      <c r="K115" s="93"/>
      <c r="L115" s="93"/>
      <c r="M115" s="93"/>
      <c r="N115" s="93"/>
    </row>
    <row r="116" spans="1:14" ht="15.75">
      <c r="A116" s="93"/>
      <c r="B116" s="93"/>
      <c r="C116" s="93"/>
      <c r="D116" s="93"/>
      <c r="E116" s="93"/>
      <c r="F116" s="93"/>
      <c r="G116" s="93"/>
      <c r="H116" s="93"/>
      <c r="I116" s="93"/>
      <c r="J116" s="93"/>
      <c r="K116" s="93"/>
      <c r="L116" s="93"/>
      <c r="M116" s="93"/>
      <c r="N116" s="93"/>
    </row>
    <row r="117" spans="1:14" ht="15.75">
      <c r="A117" s="93"/>
      <c r="B117" s="93"/>
      <c r="C117" s="93"/>
      <c r="D117" s="93"/>
      <c r="E117" s="93"/>
      <c r="F117" s="93"/>
      <c r="G117" s="93"/>
      <c r="H117" s="93"/>
      <c r="I117" s="93"/>
      <c r="J117" s="93"/>
      <c r="K117" s="93"/>
      <c r="L117" s="93"/>
      <c r="M117" s="93"/>
      <c r="N117" s="93"/>
    </row>
    <row r="118" spans="1:14" ht="15.75">
      <c r="A118" s="93"/>
      <c r="B118" s="93"/>
      <c r="C118" s="93"/>
      <c r="D118" s="93"/>
      <c r="E118" s="93"/>
      <c r="F118" s="93"/>
      <c r="G118" s="93"/>
      <c r="H118" s="93"/>
      <c r="I118" s="93"/>
      <c r="J118" s="93"/>
      <c r="K118" s="93"/>
      <c r="L118" s="93"/>
      <c r="M118" s="93"/>
      <c r="N118" s="93"/>
    </row>
    <row r="119" spans="1:14" ht="15.75">
      <c r="A119" s="103"/>
      <c r="B119" s="96"/>
      <c r="C119" s="104"/>
      <c r="D119" s="105"/>
      <c r="E119" s="105"/>
      <c r="F119" s="93"/>
      <c r="G119" s="93"/>
      <c r="H119" s="93"/>
      <c r="I119" s="93"/>
      <c r="J119" s="93"/>
      <c r="K119" s="93"/>
      <c r="L119" s="93"/>
      <c r="M119" s="93"/>
      <c r="N119" s="93"/>
    </row>
    <row r="120" spans="1:14" ht="15.75">
      <c r="A120" s="96"/>
      <c r="C120" s="104"/>
      <c r="D120" s="105"/>
      <c r="E120" s="105"/>
      <c r="F120" s="93"/>
      <c r="G120" s="93"/>
      <c r="H120" s="93"/>
      <c r="I120" s="93"/>
      <c r="J120" s="93"/>
      <c r="K120" s="93"/>
      <c r="L120" s="93"/>
      <c r="M120" s="93"/>
      <c r="N120" s="93"/>
    </row>
    <row r="121" spans="1:14" ht="15.75">
      <c r="A121" s="104"/>
      <c r="B121" s="96"/>
      <c r="C121" s="104"/>
      <c r="D121" s="105"/>
      <c r="E121" s="105"/>
      <c r="F121" s="93"/>
      <c r="G121" s="93"/>
      <c r="H121" s="93"/>
      <c r="I121" s="93"/>
      <c r="J121" s="93"/>
      <c r="K121" s="93"/>
      <c r="L121" s="93"/>
      <c r="M121" s="93"/>
      <c r="N121" s="93"/>
    </row>
    <row r="122" spans="1:14" ht="15.75">
      <c r="A122" s="104"/>
      <c r="C122" s="104"/>
      <c r="D122" s="105"/>
      <c r="E122" s="105"/>
      <c r="F122" s="93"/>
      <c r="G122" s="93"/>
      <c r="H122" s="93"/>
      <c r="I122" s="93"/>
      <c r="J122" s="93"/>
      <c r="K122" s="93"/>
      <c r="L122" s="93"/>
      <c r="M122" s="93"/>
      <c r="N122" s="93"/>
    </row>
    <row r="123" spans="1:14" ht="15.75">
      <c r="A123" s="93"/>
      <c r="B123" s="104"/>
      <c r="C123" s="105"/>
      <c r="E123" s="105"/>
      <c r="F123" s="93"/>
      <c r="G123" s="93"/>
      <c r="H123" s="93"/>
      <c r="I123" s="93"/>
      <c r="J123" s="93"/>
      <c r="K123" s="93"/>
      <c r="L123" s="93"/>
      <c r="M123" s="93"/>
      <c r="N123" s="93"/>
    </row>
    <row r="124" spans="1:14" ht="15.75">
      <c r="A124" s="96"/>
      <c r="B124" s="104"/>
      <c r="C124" s="105"/>
      <c r="E124" s="105"/>
      <c r="F124" s="93"/>
      <c r="G124" s="93"/>
      <c r="H124" s="93"/>
      <c r="I124" s="93"/>
      <c r="J124" s="93"/>
      <c r="K124" s="93"/>
      <c r="L124" s="93"/>
      <c r="M124" s="93"/>
      <c r="N124" s="93"/>
    </row>
    <row r="125" spans="1:14" ht="15.75">
      <c r="A125" s="96"/>
      <c r="B125" s="104"/>
      <c r="C125" s="105"/>
      <c r="E125" s="105"/>
      <c r="F125" s="93"/>
      <c r="G125" s="93"/>
      <c r="H125" s="93"/>
      <c r="I125" s="93"/>
      <c r="J125" s="93"/>
      <c r="K125" s="93"/>
      <c r="L125" s="93"/>
      <c r="M125" s="93"/>
      <c r="N125" s="93"/>
    </row>
    <row r="126" spans="1:14" ht="15.75">
      <c r="A126" s="104"/>
      <c r="B126" s="96"/>
      <c r="C126" s="104"/>
      <c r="D126" s="105"/>
      <c r="E126" s="105"/>
      <c r="F126" s="93"/>
      <c r="G126" s="93"/>
      <c r="H126" s="93"/>
      <c r="I126" s="93"/>
      <c r="J126" s="93"/>
      <c r="K126" s="93"/>
      <c r="L126" s="93"/>
      <c r="M126" s="93"/>
      <c r="N126" s="93"/>
    </row>
    <row r="127" spans="1:14" ht="18.75">
      <c r="A127" s="106"/>
      <c r="B127" s="106"/>
      <c r="C127" s="106"/>
      <c r="D127" s="106"/>
      <c r="E127" s="106"/>
      <c r="F127" s="106"/>
      <c r="G127" s="106"/>
      <c r="H127" s="106"/>
      <c r="I127" s="106"/>
      <c r="J127" s="106"/>
      <c r="K127" s="106"/>
      <c r="L127" s="106"/>
      <c r="M127" s="106"/>
      <c r="N127" s="106"/>
    </row>
    <row r="128" spans="1:14" ht="15.75">
      <c r="A128" s="93"/>
      <c r="B128" s="93"/>
      <c r="C128" s="107"/>
      <c r="D128" s="96"/>
      <c r="E128" s="93"/>
      <c r="F128" s="93"/>
      <c r="G128" s="93"/>
      <c r="H128" s="93"/>
      <c r="I128" s="93"/>
      <c r="J128" s="93"/>
      <c r="K128" s="93"/>
      <c r="L128" s="108"/>
    </row>
    <row r="129" spans="1:12" ht="15.75">
      <c r="A129" s="93"/>
      <c r="B129" s="93"/>
      <c r="C129" s="107"/>
      <c r="D129" s="96"/>
      <c r="E129" s="93"/>
      <c r="F129" s="93"/>
      <c r="G129" s="93"/>
      <c r="H129" s="93"/>
      <c r="I129" s="93"/>
      <c r="J129" s="93"/>
      <c r="K129" s="93"/>
      <c r="L129" s="108"/>
    </row>
    <row r="130" spans="1:12" ht="15.75">
      <c r="A130" s="93"/>
      <c r="B130" s="93"/>
      <c r="C130" s="107"/>
      <c r="D130" s="96"/>
      <c r="E130" s="93"/>
      <c r="F130" s="93"/>
      <c r="G130" s="93"/>
      <c r="H130" s="93"/>
      <c r="I130" s="93"/>
      <c r="J130" s="93"/>
      <c r="K130" s="93"/>
      <c r="L130" s="108"/>
    </row>
    <row r="131" spans="1:12" ht="15.75">
      <c r="A131" s="93"/>
      <c r="B131" s="96"/>
      <c r="C131" s="107"/>
      <c r="D131" s="96"/>
      <c r="E131" s="93"/>
      <c r="F131" s="93"/>
      <c r="G131" s="93"/>
      <c r="H131" s="93"/>
      <c r="I131" s="93"/>
      <c r="J131" s="93"/>
      <c r="K131" s="93"/>
      <c r="L131" s="108"/>
    </row>
    <row r="132" spans="1:12" ht="15.75">
      <c r="A132" s="93"/>
      <c r="B132" s="93"/>
      <c r="C132" s="93"/>
      <c r="D132" s="93"/>
      <c r="E132" s="93"/>
      <c r="F132" s="93"/>
      <c r="G132" s="93"/>
      <c r="H132" s="93"/>
      <c r="I132" s="93"/>
      <c r="J132" s="93"/>
      <c r="K132" s="93"/>
      <c r="L132" s="108"/>
    </row>
    <row r="133" spans="1:12" ht="15.75">
      <c r="A133" s="93"/>
      <c r="B133" s="96"/>
      <c r="C133" s="93"/>
      <c r="D133" s="93"/>
      <c r="E133" s="93"/>
      <c r="F133" s="93"/>
      <c r="G133" s="93"/>
      <c r="H133" s="93"/>
      <c r="J133" s="93"/>
      <c r="K133" s="93"/>
      <c r="L133" s="108"/>
    </row>
    <row r="134" spans="1:12" ht="15.75">
      <c r="A134" s="93"/>
      <c r="B134" s="93"/>
      <c r="C134" s="93"/>
      <c r="D134" s="93"/>
      <c r="E134" s="93"/>
      <c r="F134" s="93"/>
      <c r="G134" s="93"/>
      <c r="H134" s="93"/>
      <c r="I134" s="93"/>
      <c r="J134" s="93"/>
      <c r="K134" s="93"/>
      <c r="L134" s="108"/>
    </row>
    <row r="135" spans="1:12" ht="15.75">
      <c r="A135" s="93"/>
      <c r="B135" s="93"/>
      <c r="C135" s="93"/>
      <c r="D135" s="93"/>
      <c r="E135" s="93"/>
      <c r="F135" s="93"/>
      <c r="G135" s="93"/>
      <c r="H135" s="93"/>
      <c r="I135" s="93"/>
      <c r="J135" s="93"/>
      <c r="K135" s="93"/>
      <c r="L135" s="108"/>
    </row>
    <row r="136" spans="1:12" ht="15.75">
      <c r="A136" s="93"/>
      <c r="B136" s="93"/>
      <c r="C136" s="93"/>
      <c r="D136" s="93"/>
      <c r="E136" s="93"/>
      <c r="F136" s="93"/>
      <c r="G136" s="93"/>
      <c r="H136" s="93"/>
      <c r="I136" s="93"/>
      <c r="J136" s="93"/>
      <c r="K136" s="93"/>
      <c r="L136" s="108"/>
    </row>
    <row r="137" spans="1:12" ht="15.75">
      <c r="A137" s="93"/>
      <c r="B137" s="93"/>
      <c r="C137" s="93"/>
      <c r="D137" s="93"/>
      <c r="E137" s="93"/>
      <c r="F137" s="93"/>
      <c r="G137" s="93"/>
      <c r="H137" s="93"/>
      <c r="I137" s="93"/>
      <c r="J137" s="93"/>
      <c r="K137" s="93"/>
      <c r="L137" s="108"/>
    </row>
    <row r="138" spans="1:12" ht="15.75">
      <c r="A138" s="93"/>
      <c r="B138" s="93"/>
      <c r="C138" s="93"/>
      <c r="D138" s="93"/>
      <c r="E138" s="93"/>
      <c r="F138" s="93"/>
      <c r="G138" s="93"/>
      <c r="H138" s="93"/>
      <c r="I138" s="93"/>
      <c r="J138" s="93"/>
      <c r="K138" s="93"/>
      <c r="L138" s="108"/>
    </row>
    <row r="139" spans="1:12" ht="15.75">
      <c r="A139" s="93"/>
      <c r="B139" s="93"/>
      <c r="C139" s="93"/>
      <c r="D139" s="93"/>
      <c r="E139" s="93"/>
      <c r="F139" s="93"/>
      <c r="G139" s="93"/>
      <c r="H139" s="93"/>
      <c r="I139" s="93"/>
      <c r="J139" s="93"/>
      <c r="K139" s="93"/>
      <c r="L139" s="108"/>
    </row>
    <row r="140" spans="1:12" ht="15.75">
      <c r="A140" s="93"/>
      <c r="B140" s="93"/>
      <c r="C140" s="93"/>
      <c r="D140" s="93"/>
      <c r="E140" s="93"/>
      <c r="F140" s="93"/>
      <c r="G140" s="93"/>
      <c r="H140" s="93"/>
      <c r="I140" s="93"/>
      <c r="J140" s="93"/>
      <c r="K140" s="93"/>
      <c r="L140" s="108"/>
    </row>
    <row r="141" spans="1:12" ht="15.75">
      <c r="A141" s="93"/>
      <c r="B141" s="93"/>
      <c r="C141" s="93"/>
      <c r="D141" s="93"/>
      <c r="E141" s="93"/>
      <c r="F141" s="93"/>
      <c r="G141" s="93"/>
      <c r="H141" s="93"/>
      <c r="I141" s="93"/>
      <c r="J141" s="93"/>
      <c r="K141" s="93"/>
      <c r="L141" s="108"/>
    </row>
    <row r="142" spans="1:12" ht="15.75">
      <c r="A142" s="93"/>
      <c r="B142" s="93"/>
      <c r="C142" s="93"/>
      <c r="D142" s="93"/>
      <c r="E142" s="93"/>
      <c r="F142" s="93"/>
      <c r="G142" s="93"/>
      <c r="H142" s="93"/>
      <c r="I142" s="93"/>
      <c r="J142" s="93"/>
      <c r="K142" s="93"/>
      <c r="L142" s="108"/>
    </row>
    <row r="143" spans="1:12" ht="15.75">
      <c r="A143" s="93"/>
      <c r="B143" s="93"/>
      <c r="C143" s="93"/>
      <c r="D143" s="93"/>
      <c r="E143" s="93"/>
      <c r="F143" s="93"/>
      <c r="G143" s="93"/>
      <c r="H143" s="93"/>
      <c r="I143" s="93"/>
      <c r="J143" s="93"/>
      <c r="K143" s="93"/>
      <c r="L143" s="108"/>
    </row>
    <row r="144" spans="1:12" ht="15.75">
      <c r="A144" s="93"/>
      <c r="B144" s="93"/>
      <c r="C144" s="93"/>
      <c r="D144" s="93"/>
      <c r="E144" s="93"/>
      <c r="F144" s="93"/>
      <c r="G144" s="93"/>
      <c r="H144" s="93"/>
      <c r="I144" s="93"/>
      <c r="J144" s="93"/>
      <c r="K144" s="93"/>
      <c r="L144" s="108"/>
    </row>
    <row r="145" spans="1:12" ht="15.75">
      <c r="A145" s="93"/>
      <c r="B145" s="93"/>
      <c r="C145" s="93"/>
      <c r="D145" s="93"/>
      <c r="E145" s="93"/>
      <c r="F145" s="93"/>
      <c r="G145" s="93"/>
      <c r="H145" s="93"/>
      <c r="I145" s="93"/>
      <c r="J145" s="93"/>
      <c r="K145" s="93"/>
      <c r="L145" s="108"/>
    </row>
    <row r="146" spans="1:12" ht="15.75">
      <c r="A146" s="93"/>
      <c r="B146" s="93"/>
      <c r="C146" s="93"/>
      <c r="D146" s="93"/>
      <c r="E146" s="93"/>
      <c r="F146" s="93"/>
      <c r="G146" s="93"/>
      <c r="H146" s="93"/>
      <c r="I146" s="93"/>
      <c r="J146" s="93"/>
      <c r="K146" s="93"/>
      <c r="L146" s="108"/>
    </row>
    <row r="147" spans="1:12" ht="15.75">
      <c r="A147" s="93"/>
      <c r="B147" s="93"/>
      <c r="C147" s="93"/>
      <c r="D147" s="93"/>
      <c r="E147" s="93"/>
      <c r="F147" s="93"/>
      <c r="G147" s="93"/>
      <c r="H147" s="93"/>
      <c r="I147" s="93"/>
      <c r="J147" s="93"/>
      <c r="K147" s="93"/>
      <c r="L147" s="108"/>
    </row>
    <row r="148" spans="1:12" ht="15.75">
      <c r="A148" s="93"/>
      <c r="B148" s="93"/>
      <c r="C148" s="93"/>
      <c r="D148" s="93"/>
      <c r="E148" s="93"/>
      <c r="F148" s="93"/>
      <c r="G148" s="93"/>
      <c r="H148" s="93"/>
      <c r="I148" s="93"/>
      <c r="J148" s="93"/>
      <c r="K148" s="93"/>
      <c r="L148" s="108"/>
    </row>
    <row r="149" spans="1:12" ht="15.75">
      <c r="A149" s="93"/>
      <c r="B149" s="93"/>
      <c r="C149" s="93"/>
      <c r="D149" s="93"/>
      <c r="E149" s="93"/>
      <c r="F149" s="93"/>
      <c r="G149" s="93"/>
      <c r="H149" s="93"/>
      <c r="I149" s="93"/>
      <c r="J149" s="93"/>
      <c r="K149" s="93"/>
      <c r="L149" s="108"/>
    </row>
    <row r="150" spans="1:12" ht="15.75">
      <c r="A150" s="93"/>
      <c r="B150" s="93"/>
      <c r="C150" s="93"/>
      <c r="D150" s="93"/>
      <c r="E150" s="93"/>
      <c r="F150" s="93"/>
      <c r="G150" s="93"/>
      <c r="H150" s="93"/>
      <c r="I150" s="93"/>
      <c r="J150" s="93"/>
      <c r="K150" s="93"/>
      <c r="L150" s="108"/>
    </row>
    <row r="151" spans="1:12" ht="15.75">
      <c r="A151" s="93"/>
      <c r="B151" s="93"/>
      <c r="C151" s="93"/>
      <c r="D151" s="93"/>
      <c r="E151" s="93"/>
      <c r="F151" s="93"/>
      <c r="G151" s="93"/>
      <c r="H151" s="93"/>
      <c r="I151" s="93"/>
      <c r="J151" s="93"/>
      <c r="K151" s="93"/>
      <c r="L151" s="108"/>
    </row>
    <row r="152" spans="1:12" ht="15.75">
      <c r="A152" s="93"/>
      <c r="B152" s="93"/>
      <c r="C152" s="93"/>
      <c r="D152" s="93"/>
      <c r="E152" s="93"/>
      <c r="F152" s="93"/>
      <c r="G152" s="93"/>
      <c r="H152" s="93"/>
      <c r="I152" s="93"/>
      <c r="J152" s="93"/>
      <c r="K152" s="93"/>
      <c r="L152" s="108"/>
    </row>
    <row r="153" spans="1:12" ht="15.75">
      <c r="A153" s="93"/>
      <c r="B153" s="93"/>
      <c r="C153" s="93"/>
      <c r="D153" s="93"/>
      <c r="E153" s="93"/>
      <c r="F153" s="93"/>
      <c r="G153" s="93"/>
      <c r="H153" s="93"/>
      <c r="I153" s="93"/>
      <c r="J153" s="93"/>
      <c r="K153" s="93"/>
      <c r="L153" s="108"/>
    </row>
    <row r="154" spans="1:12" ht="15.75">
      <c r="A154" s="93"/>
      <c r="B154" s="93"/>
      <c r="C154" s="93"/>
      <c r="D154" s="93"/>
      <c r="E154" s="93"/>
      <c r="F154" s="93"/>
      <c r="G154" s="93"/>
      <c r="H154" s="93"/>
      <c r="I154" s="93"/>
      <c r="J154" s="93"/>
      <c r="K154" s="93"/>
      <c r="L154" s="108"/>
    </row>
    <row r="155" spans="1:12" ht="15.75">
      <c r="A155" s="93"/>
      <c r="B155" s="93"/>
      <c r="C155" s="93"/>
      <c r="D155" s="93"/>
      <c r="E155" s="93"/>
      <c r="F155" s="93"/>
      <c r="G155" s="93"/>
      <c r="H155" s="93"/>
      <c r="I155" s="93"/>
      <c r="J155" s="93"/>
      <c r="K155" s="93"/>
      <c r="L155" s="108"/>
    </row>
    <row r="156" spans="1:12" ht="15.75">
      <c r="A156" s="93"/>
      <c r="B156" s="93"/>
      <c r="C156" s="93"/>
      <c r="D156" s="93"/>
      <c r="E156" s="93"/>
      <c r="F156" s="93"/>
      <c r="G156" s="93"/>
      <c r="H156" s="93"/>
      <c r="I156" s="93"/>
      <c r="J156" s="93"/>
      <c r="K156" s="93"/>
      <c r="L156" s="108"/>
    </row>
    <row r="157" spans="1:12" ht="15.75">
      <c r="A157" s="93"/>
      <c r="B157" s="93"/>
      <c r="C157" s="93"/>
      <c r="D157" s="93"/>
      <c r="E157" s="93"/>
      <c r="F157" s="93"/>
      <c r="G157" s="93"/>
      <c r="H157" s="93"/>
      <c r="I157" s="93"/>
      <c r="J157" s="93"/>
      <c r="K157" s="93"/>
      <c r="L157" s="108"/>
    </row>
    <row r="158" spans="1:12" ht="15.75">
      <c r="A158" s="93"/>
      <c r="B158" s="93"/>
      <c r="C158" s="93"/>
      <c r="D158" s="93"/>
      <c r="E158" s="93"/>
      <c r="F158" s="93"/>
      <c r="G158" s="93"/>
      <c r="H158" s="93"/>
      <c r="I158" s="93"/>
      <c r="J158" s="93"/>
      <c r="K158" s="93"/>
      <c r="L158" s="108"/>
    </row>
    <row r="159" spans="1:12" ht="15.75">
      <c r="A159" s="93"/>
      <c r="B159" s="93"/>
      <c r="C159" s="93"/>
      <c r="D159" s="93"/>
      <c r="E159" s="93"/>
      <c r="F159" s="93"/>
      <c r="G159" s="93"/>
      <c r="H159" s="93"/>
      <c r="I159" s="93"/>
      <c r="J159" s="93"/>
      <c r="K159" s="93"/>
      <c r="L159" s="108"/>
    </row>
    <row r="160" spans="1:12" ht="15.75">
      <c r="A160" s="93"/>
      <c r="B160" s="93"/>
      <c r="C160" s="93"/>
      <c r="D160" s="93"/>
      <c r="E160" s="93"/>
      <c r="F160" s="93"/>
      <c r="G160" s="93"/>
      <c r="H160" s="93"/>
      <c r="I160" s="93"/>
      <c r="J160" s="93"/>
      <c r="K160" s="93"/>
      <c r="L160" s="108"/>
    </row>
    <row r="161" spans="1:12" ht="15.75">
      <c r="A161" s="93"/>
      <c r="B161" s="93"/>
      <c r="C161" s="93"/>
      <c r="D161" s="93"/>
      <c r="E161" s="93"/>
      <c r="F161" s="93"/>
      <c r="G161" s="93"/>
      <c r="H161" s="93"/>
      <c r="I161" s="93"/>
      <c r="J161" s="93"/>
      <c r="K161" s="93"/>
      <c r="L161" s="108"/>
    </row>
    <row r="162" spans="1:12" ht="15.75">
      <c r="A162" s="93"/>
      <c r="B162" s="93"/>
      <c r="C162" s="93"/>
      <c r="D162" s="93"/>
      <c r="E162" s="93"/>
      <c r="F162" s="93"/>
      <c r="G162" s="93"/>
      <c r="H162" s="93"/>
      <c r="I162" s="93"/>
      <c r="J162" s="93"/>
      <c r="K162" s="93"/>
      <c r="L162" s="108"/>
    </row>
    <row r="163" spans="1:12" ht="15.75">
      <c r="A163" s="93"/>
      <c r="B163" s="93"/>
      <c r="C163" s="93"/>
      <c r="D163" s="93"/>
      <c r="E163" s="93"/>
      <c r="F163" s="93"/>
      <c r="G163" s="93"/>
      <c r="H163" s="93"/>
      <c r="I163" s="93"/>
      <c r="J163" s="93"/>
      <c r="K163" s="93"/>
      <c r="L163" s="108"/>
    </row>
    <row r="164" spans="1:12" ht="15.75">
      <c r="A164" s="93"/>
      <c r="B164" s="93"/>
      <c r="C164" s="93"/>
      <c r="D164" s="93"/>
      <c r="E164" s="93"/>
      <c r="F164" s="93"/>
      <c r="G164" s="93"/>
      <c r="H164" s="93"/>
      <c r="I164" s="93"/>
      <c r="J164" s="93"/>
      <c r="K164" s="93"/>
      <c r="L164" s="108"/>
    </row>
    <row r="165" spans="1:12" ht="15.75">
      <c r="A165" s="93"/>
      <c r="B165" s="93"/>
      <c r="C165" s="93"/>
      <c r="D165" s="93"/>
      <c r="E165" s="93"/>
      <c r="F165" s="93"/>
      <c r="G165" s="93"/>
      <c r="H165" s="93"/>
      <c r="I165" s="93"/>
      <c r="J165" s="93"/>
      <c r="K165" s="93"/>
      <c r="L165" s="108"/>
    </row>
    <row r="166" spans="1:12" ht="15.75">
      <c r="A166" s="93"/>
      <c r="B166" s="93"/>
      <c r="C166" s="93"/>
      <c r="D166" s="93"/>
      <c r="E166" s="93"/>
      <c r="F166" s="93"/>
      <c r="G166" s="93"/>
      <c r="H166" s="93"/>
      <c r="I166" s="93"/>
      <c r="J166" s="93"/>
      <c r="K166" s="93"/>
      <c r="L166" s="108"/>
    </row>
    <row r="167" spans="1:12" ht="15.75">
      <c r="A167" s="93"/>
      <c r="B167" s="93"/>
      <c r="C167" s="93"/>
      <c r="D167" s="93"/>
      <c r="E167" s="93"/>
      <c r="F167" s="93"/>
      <c r="G167" s="93"/>
      <c r="H167" s="93"/>
      <c r="I167" s="93"/>
      <c r="J167" s="93"/>
      <c r="K167" s="93"/>
      <c r="L167" s="108"/>
    </row>
    <row r="168" spans="1:12" ht="15.75">
      <c r="A168" s="93"/>
      <c r="B168" s="93"/>
      <c r="C168" s="93"/>
      <c r="D168" s="93"/>
      <c r="E168" s="93"/>
      <c r="F168" s="93"/>
      <c r="G168" s="93"/>
      <c r="H168" s="93"/>
      <c r="I168" s="93"/>
      <c r="J168" s="93"/>
      <c r="K168" s="93"/>
      <c r="L168" s="108"/>
    </row>
    <row r="169" spans="1:12" ht="15.75">
      <c r="A169" s="93"/>
      <c r="B169" s="93"/>
      <c r="C169" s="93"/>
      <c r="D169" s="93"/>
      <c r="E169" s="93"/>
      <c r="F169" s="93"/>
      <c r="G169" s="93"/>
      <c r="H169" s="93"/>
      <c r="I169" s="93"/>
      <c r="J169" s="93"/>
      <c r="K169" s="93"/>
      <c r="L169" s="108"/>
    </row>
    <row r="170" spans="1:12" ht="15.75">
      <c r="A170" s="93"/>
      <c r="B170" s="93"/>
      <c r="C170" s="93"/>
      <c r="D170" s="93"/>
      <c r="E170" s="93"/>
      <c r="F170" s="93"/>
      <c r="G170" s="93"/>
      <c r="H170" s="93"/>
      <c r="I170" s="93"/>
      <c r="J170" s="93"/>
      <c r="K170" s="93"/>
      <c r="L170" s="108"/>
    </row>
    <row r="171" spans="1:12" ht="15.75">
      <c r="A171" s="93"/>
      <c r="B171" s="93"/>
      <c r="C171" s="93"/>
      <c r="D171" s="93"/>
      <c r="E171" s="93"/>
      <c r="F171" s="93"/>
      <c r="G171" s="93"/>
      <c r="H171" s="93"/>
      <c r="I171" s="93"/>
      <c r="J171" s="93"/>
      <c r="K171" s="93"/>
      <c r="L171" s="108"/>
    </row>
    <row r="172" spans="1:12" ht="15.75">
      <c r="A172" s="93"/>
      <c r="B172" s="93"/>
      <c r="C172" s="93"/>
      <c r="D172" s="93"/>
      <c r="E172" s="93"/>
      <c r="F172" s="93"/>
      <c r="G172" s="93"/>
      <c r="H172" s="93"/>
      <c r="I172" s="93"/>
      <c r="J172" s="93"/>
      <c r="K172" s="93"/>
      <c r="L172" s="108"/>
    </row>
    <row r="173" spans="1:12" ht="15.75">
      <c r="A173" s="93"/>
      <c r="B173" s="93"/>
      <c r="C173" s="93"/>
      <c r="D173" s="93"/>
      <c r="E173" s="93"/>
      <c r="F173" s="93"/>
      <c r="G173" s="93"/>
      <c r="H173" s="93"/>
      <c r="I173" s="93"/>
      <c r="J173" s="93"/>
      <c r="K173" s="93"/>
      <c r="L173" s="108"/>
    </row>
    <row r="174" spans="1:12" ht="15.75">
      <c r="A174" s="93"/>
      <c r="B174" s="93"/>
      <c r="C174" s="93"/>
      <c r="D174" s="93"/>
      <c r="E174" s="93"/>
      <c r="F174" s="93"/>
      <c r="G174" s="93"/>
      <c r="H174" s="93"/>
      <c r="I174" s="93"/>
      <c r="J174" s="93"/>
      <c r="K174" s="93"/>
      <c r="L174" s="108"/>
    </row>
    <row r="175" spans="1:12" ht="15.75">
      <c r="A175" s="93"/>
      <c r="B175" s="93"/>
      <c r="C175" s="93"/>
      <c r="D175" s="93"/>
      <c r="E175" s="93"/>
      <c r="F175" s="93"/>
      <c r="G175" s="93"/>
      <c r="H175" s="93"/>
      <c r="I175" s="93"/>
      <c r="J175" s="93"/>
      <c r="K175" s="93"/>
      <c r="L175" s="108"/>
    </row>
    <row r="176" spans="1:12" ht="15.75">
      <c r="A176" s="93"/>
      <c r="B176" s="93"/>
      <c r="C176" s="93"/>
      <c r="D176" s="93"/>
      <c r="E176" s="93"/>
      <c r="F176" s="93"/>
      <c r="G176" s="93"/>
      <c r="H176" s="93"/>
      <c r="I176" s="93"/>
      <c r="J176" s="93"/>
      <c r="K176" s="93"/>
      <c r="L176" s="108"/>
    </row>
    <row r="177" spans="1:12" ht="15.75">
      <c r="A177" s="93"/>
      <c r="B177" s="93"/>
      <c r="C177" s="93"/>
      <c r="D177" s="93"/>
      <c r="E177" s="93"/>
      <c r="F177" s="93"/>
      <c r="G177" s="93"/>
      <c r="H177" s="93"/>
      <c r="I177" s="93"/>
      <c r="J177" s="93"/>
      <c r="K177" s="93"/>
      <c r="L177" s="108"/>
    </row>
    <row r="178" spans="1:12" ht="15.75">
      <c r="A178" s="93"/>
      <c r="B178" s="93"/>
      <c r="C178" s="93"/>
      <c r="D178" s="93"/>
      <c r="E178" s="93"/>
      <c r="F178" s="93"/>
      <c r="G178" s="93"/>
      <c r="H178" s="93"/>
      <c r="I178" s="93"/>
      <c r="J178" s="93"/>
      <c r="K178" s="93"/>
      <c r="L178" s="108"/>
    </row>
    <row r="179" spans="1:12" ht="15.75">
      <c r="A179" s="93"/>
      <c r="B179" s="93"/>
      <c r="C179" s="93"/>
      <c r="D179" s="93"/>
      <c r="E179" s="93"/>
      <c r="F179" s="93"/>
      <c r="G179" s="93"/>
      <c r="H179" s="93"/>
      <c r="I179" s="93"/>
      <c r="J179" s="93"/>
      <c r="K179" s="93"/>
      <c r="L179" s="108"/>
    </row>
    <row r="180" spans="1:12" ht="15.75">
      <c r="A180" s="93"/>
      <c r="B180" s="93"/>
      <c r="C180" s="93"/>
      <c r="D180" s="93"/>
      <c r="E180" s="93"/>
      <c r="F180" s="93"/>
      <c r="G180" s="93"/>
      <c r="H180" s="93"/>
      <c r="I180" s="93"/>
      <c r="J180" s="93"/>
      <c r="K180" s="93"/>
      <c r="L180" s="108"/>
    </row>
    <row r="181" spans="1:12" ht="15.75">
      <c r="A181" s="93"/>
      <c r="B181" s="93"/>
      <c r="C181" s="93"/>
      <c r="D181" s="93"/>
      <c r="E181" s="93"/>
      <c r="F181" s="93"/>
      <c r="G181" s="93"/>
      <c r="H181" s="93"/>
      <c r="I181" s="93"/>
      <c r="J181" s="93"/>
      <c r="K181" s="93"/>
      <c r="L181" s="108"/>
    </row>
    <row r="182" spans="1:12" ht="15.75">
      <c r="A182" s="93"/>
      <c r="B182" s="93"/>
      <c r="C182" s="93"/>
      <c r="D182" s="93"/>
      <c r="E182" s="93"/>
      <c r="F182" s="93"/>
      <c r="G182" s="93"/>
      <c r="H182" s="93"/>
      <c r="I182" s="93"/>
      <c r="J182" s="93"/>
      <c r="K182" s="93"/>
      <c r="L182" s="108"/>
    </row>
    <row r="183" spans="1:12" ht="15.75">
      <c r="A183" s="93"/>
      <c r="B183" s="93"/>
      <c r="C183" s="93"/>
      <c r="D183" s="93"/>
      <c r="E183" s="93"/>
      <c r="F183" s="93"/>
      <c r="G183" s="93"/>
      <c r="H183" s="93"/>
      <c r="I183" s="93"/>
      <c r="J183" s="93"/>
      <c r="K183" s="93"/>
      <c r="L183" s="108"/>
    </row>
    <row r="184" spans="1:12" ht="15.75">
      <c r="A184" s="93"/>
      <c r="B184" s="93"/>
      <c r="C184" s="93"/>
      <c r="D184" s="93"/>
      <c r="E184" s="93"/>
      <c r="F184" s="93"/>
      <c r="G184" s="93"/>
      <c r="H184" s="93"/>
      <c r="I184" s="93"/>
      <c r="J184" s="93"/>
      <c r="K184" s="93"/>
      <c r="L184" s="108"/>
    </row>
    <row r="185" spans="1:12" ht="15.75">
      <c r="A185" s="93"/>
      <c r="B185" s="93"/>
      <c r="C185" s="93"/>
      <c r="D185" s="93"/>
      <c r="E185" s="93"/>
      <c r="F185" s="93"/>
      <c r="G185" s="93"/>
      <c r="H185" s="93"/>
      <c r="I185" s="93"/>
      <c r="J185" s="93"/>
      <c r="K185" s="93"/>
      <c r="L185" s="108"/>
    </row>
    <row r="186" spans="1:12" ht="15.75">
      <c r="A186" s="93"/>
      <c r="B186" s="93"/>
      <c r="C186" s="93"/>
      <c r="D186" s="93"/>
      <c r="E186" s="93"/>
      <c r="F186" s="109"/>
      <c r="G186" s="93"/>
      <c r="H186" s="93"/>
      <c r="I186" s="93"/>
      <c r="J186" s="93"/>
      <c r="K186" s="93"/>
      <c r="L186" s="108"/>
    </row>
    <row r="187" spans="1:12" ht="15.75">
      <c r="A187" s="93"/>
      <c r="B187" s="93"/>
      <c r="C187" s="93"/>
      <c r="D187" s="93"/>
      <c r="E187" s="93"/>
      <c r="F187" s="93"/>
      <c r="G187" s="93"/>
      <c r="H187" s="93"/>
      <c r="I187" s="93"/>
      <c r="J187" s="93"/>
      <c r="K187" s="93"/>
      <c r="L187" s="108"/>
    </row>
    <row r="188" spans="1:12" ht="15.75">
      <c r="A188" s="93"/>
      <c r="B188" s="93"/>
      <c r="C188" s="93"/>
      <c r="D188" s="93"/>
      <c r="E188" s="93"/>
      <c r="F188" s="93"/>
      <c r="G188" s="93"/>
      <c r="H188" s="93"/>
      <c r="I188" s="93"/>
      <c r="J188" s="93"/>
      <c r="K188" s="93"/>
      <c r="L188" s="108"/>
    </row>
    <row r="189" spans="1:12" ht="15.75">
      <c r="A189" s="93"/>
      <c r="B189" s="93"/>
      <c r="C189" s="93"/>
      <c r="D189" s="93"/>
      <c r="E189" s="93"/>
      <c r="F189" s="93"/>
      <c r="G189" s="93"/>
      <c r="H189" s="93"/>
      <c r="I189" s="93"/>
      <c r="J189" s="93"/>
      <c r="K189" s="93"/>
      <c r="L189" s="108"/>
    </row>
    <row r="190" spans="1:12" ht="15.75">
      <c r="A190" s="93"/>
      <c r="B190" s="93"/>
      <c r="C190" s="93"/>
      <c r="D190" s="93"/>
      <c r="E190" s="93"/>
      <c r="F190" s="93"/>
      <c r="G190" s="93"/>
      <c r="H190" s="93"/>
      <c r="I190" s="93"/>
      <c r="J190" s="93"/>
      <c r="K190" s="93"/>
      <c r="L190" s="108"/>
    </row>
    <row r="191" spans="1:12" ht="15.75">
      <c r="A191" s="93"/>
      <c r="B191" s="93"/>
      <c r="C191" s="93"/>
      <c r="D191" s="93"/>
      <c r="E191" s="93"/>
      <c r="F191" s="93"/>
      <c r="G191" s="93"/>
      <c r="H191" s="93"/>
      <c r="I191" s="93"/>
      <c r="J191" s="93"/>
      <c r="K191" s="93"/>
      <c r="L191" s="108"/>
    </row>
    <row r="192" spans="1:12" ht="15.75">
      <c r="A192" s="93"/>
      <c r="B192" s="93"/>
      <c r="C192" s="93"/>
      <c r="D192" s="93"/>
      <c r="E192" s="93"/>
      <c r="F192" s="93"/>
      <c r="G192" s="93"/>
      <c r="H192" s="93"/>
      <c r="I192" s="93"/>
      <c r="J192" s="93"/>
      <c r="K192" s="93"/>
      <c r="L192" s="108"/>
    </row>
    <row r="193" spans="1:12" ht="15.75">
      <c r="A193" s="93"/>
      <c r="B193" s="93"/>
      <c r="C193" s="93"/>
      <c r="D193" s="93"/>
      <c r="E193" s="93"/>
      <c r="F193" s="93"/>
      <c r="G193" s="93"/>
      <c r="H193" s="93"/>
      <c r="I193" s="93"/>
      <c r="J193" s="93"/>
      <c r="K193" s="93"/>
      <c r="L193" s="108"/>
    </row>
    <row r="194" spans="1:12" ht="15.75">
      <c r="A194" s="93"/>
      <c r="B194" s="93"/>
      <c r="C194" s="93"/>
      <c r="D194" s="93"/>
      <c r="E194" s="93"/>
      <c r="F194" s="93"/>
      <c r="G194" s="93"/>
      <c r="H194" s="93"/>
      <c r="I194" s="93"/>
      <c r="J194" s="93"/>
      <c r="K194" s="93"/>
      <c r="L194" s="108"/>
    </row>
    <row r="195" spans="1:12" ht="15.75">
      <c r="A195" s="93"/>
      <c r="B195" s="93"/>
      <c r="C195" s="93"/>
      <c r="D195" s="93"/>
      <c r="E195" s="93"/>
      <c r="F195" s="93"/>
      <c r="G195" s="93"/>
      <c r="H195" s="93"/>
      <c r="I195" s="93"/>
      <c r="J195" s="93"/>
      <c r="K195" s="93"/>
      <c r="L195" s="108"/>
    </row>
    <row r="196" spans="1:12" ht="15.75">
      <c r="A196" s="93"/>
      <c r="B196" s="93"/>
      <c r="C196" s="93"/>
      <c r="D196" s="93"/>
      <c r="E196" s="93"/>
      <c r="F196" s="93"/>
      <c r="G196" s="93"/>
      <c r="H196" s="93"/>
      <c r="I196" s="93"/>
      <c r="J196" s="93"/>
      <c r="K196" s="93"/>
      <c r="L196" s="108"/>
    </row>
    <row r="197" spans="1:12" ht="15.75">
      <c r="A197" s="93"/>
      <c r="B197" s="93"/>
      <c r="C197" s="93"/>
      <c r="D197" s="93"/>
      <c r="E197" s="93"/>
      <c r="F197" s="93"/>
      <c r="G197" s="93"/>
      <c r="H197" s="93"/>
      <c r="I197" s="93"/>
      <c r="J197" s="93"/>
      <c r="K197" s="93"/>
      <c r="L197" s="108"/>
    </row>
    <row r="198" spans="1:12" ht="15.75">
      <c r="A198" s="93"/>
      <c r="B198" s="93"/>
      <c r="C198" s="93"/>
      <c r="D198" s="93"/>
      <c r="E198" s="93"/>
      <c r="F198" s="93"/>
      <c r="G198" s="93"/>
      <c r="H198" s="93"/>
      <c r="I198" s="93"/>
      <c r="J198" s="93"/>
      <c r="K198" s="93"/>
      <c r="L198" s="108"/>
    </row>
    <row r="199" spans="1:12" ht="15.75">
      <c r="A199" s="93"/>
      <c r="B199" s="93"/>
      <c r="C199" s="93"/>
      <c r="D199" s="93"/>
      <c r="E199" s="93"/>
      <c r="F199" s="93"/>
      <c r="G199" s="93"/>
      <c r="H199" s="93"/>
      <c r="I199" s="93"/>
      <c r="J199" s="93"/>
      <c r="K199" s="93"/>
      <c r="L199" s="108"/>
    </row>
    <row r="200" spans="1:12" ht="15.75">
      <c r="A200" s="93"/>
      <c r="B200" s="93"/>
      <c r="C200" s="93"/>
      <c r="D200" s="93"/>
      <c r="E200" s="93"/>
      <c r="F200" s="93"/>
      <c r="G200" s="93"/>
      <c r="H200" s="93"/>
      <c r="I200" s="93"/>
      <c r="J200" s="93"/>
      <c r="K200" s="93"/>
      <c r="L200" s="108"/>
    </row>
    <row r="201" spans="1:12" ht="15.75">
      <c r="A201" s="93"/>
      <c r="B201" s="93"/>
      <c r="C201" s="93"/>
      <c r="D201" s="93"/>
      <c r="E201" s="93"/>
      <c r="F201" s="93"/>
      <c r="G201" s="93"/>
      <c r="H201" s="93"/>
      <c r="I201" s="93"/>
      <c r="J201" s="93"/>
      <c r="K201" s="93"/>
      <c r="L201" s="108"/>
    </row>
    <row r="202" spans="1:12" ht="15.75">
      <c r="A202" s="93"/>
      <c r="B202" s="93"/>
      <c r="C202" s="93"/>
      <c r="D202" s="93"/>
      <c r="E202" s="93"/>
      <c r="F202" s="93"/>
      <c r="G202" s="93"/>
      <c r="H202" s="93"/>
      <c r="I202" s="93"/>
      <c r="J202" s="93"/>
      <c r="K202" s="93"/>
      <c r="L202" s="108"/>
    </row>
    <row r="203" spans="1:12" ht="15.75">
      <c r="A203" s="93"/>
      <c r="B203" s="93"/>
      <c r="C203" s="93"/>
      <c r="D203" s="93"/>
      <c r="E203" s="93"/>
      <c r="F203" s="93"/>
      <c r="G203" s="93"/>
      <c r="H203" s="93"/>
      <c r="I203" s="93"/>
      <c r="J203" s="93"/>
      <c r="K203" s="93"/>
      <c r="L203" s="108"/>
    </row>
    <row r="204" spans="1:12" ht="15.75">
      <c r="A204" s="93"/>
      <c r="B204" s="93"/>
      <c r="C204" s="93"/>
      <c r="D204" s="93"/>
      <c r="E204" s="93"/>
      <c r="F204" s="93"/>
      <c r="G204" s="93"/>
      <c r="H204" s="93"/>
      <c r="I204" s="93"/>
      <c r="J204" s="93"/>
      <c r="K204" s="93"/>
      <c r="L204" s="108"/>
    </row>
    <row r="205" spans="1:12" ht="15.75">
      <c r="A205" s="93"/>
      <c r="B205" s="93"/>
      <c r="C205" s="93"/>
      <c r="D205" s="93"/>
      <c r="E205" s="93"/>
      <c r="F205" s="93"/>
      <c r="G205" s="93"/>
      <c r="H205" s="93"/>
      <c r="I205" s="93"/>
      <c r="J205" s="93"/>
      <c r="K205" s="93"/>
      <c r="L205" s="108"/>
    </row>
    <row r="206" spans="1:12" ht="15.75">
      <c r="A206" s="93"/>
      <c r="B206" s="93"/>
      <c r="C206" s="93"/>
      <c r="D206" s="93"/>
      <c r="E206" s="93"/>
      <c r="F206" s="93"/>
      <c r="G206" s="93"/>
      <c r="H206" s="93"/>
      <c r="I206" s="93"/>
      <c r="J206" s="93"/>
      <c r="K206" s="93"/>
      <c r="L206" s="108"/>
    </row>
    <row r="207" spans="1:12" ht="15.75">
      <c r="A207" s="93"/>
      <c r="B207" s="93"/>
      <c r="C207" s="93"/>
      <c r="D207" s="93"/>
      <c r="E207" s="93"/>
      <c r="F207" s="93"/>
      <c r="G207" s="93"/>
      <c r="H207" s="93"/>
      <c r="I207" s="93"/>
      <c r="J207" s="93"/>
      <c r="K207" s="93"/>
      <c r="L207" s="108"/>
    </row>
    <row r="208" spans="1:12" ht="15.75">
      <c r="A208" s="93"/>
      <c r="B208" s="93"/>
      <c r="C208" s="93"/>
      <c r="D208" s="93"/>
      <c r="E208" s="93"/>
      <c r="F208" s="93"/>
      <c r="G208" s="93"/>
      <c r="H208" s="93"/>
      <c r="I208" s="93"/>
      <c r="J208" s="93"/>
      <c r="K208" s="93"/>
      <c r="L208" s="108"/>
    </row>
    <row r="209" spans="1:12" ht="15.75">
      <c r="A209" s="93"/>
      <c r="B209" s="93"/>
      <c r="C209" s="93"/>
      <c r="D209" s="93"/>
      <c r="E209" s="93"/>
      <c r="F209" s="93"/>
      <c r="G209" s="93"/>
      <c r="H209" s="93"/>
      <c r="I209" s="93"/>
      <c r="J209" s="93"/>
      <c r="K209" s="93"/>
      <c r="L209" s="108"/>
    </row>
    <row r="210" spans="1:12" ht="15.75">
      <c r="A210" s="93"/>
      <c r="B210" s="93"/>
      <c r="C210" s="93"/>
      <c r="D210" s="93"/>
      <c r="E210" s="93"/>
      <c r="F210" s="93"/>
      <c r="G210" s="93"/>
      <c r="H210" s="93"/>
      <c r="I210" s="93"/>
      <c r="J210" s="93"/>
      <c r="K210" s="93"/>
      <c r="L210" s="108"/>
    </row>
    <row r="211" spans="1:12" ht="15.75">
      <c r="A211" s="93"/>
      <c r="B211" s="93"/>
      <c r="C211" s="93"/>
      <c r="D211" s="93"/>
      <c r="E211" s="93"/>
      <c r="F211" s="93"/>
      <c r="G211" s="93"/>
      <c r="H211" s="93"/>
      <c r="I211" s="93"/>
      <c r="J211" s="93"/>
      <c r="K211" s="93"/>
      <c r="L211" s="108"/>
    </row>
    <row r="212" spans="1:12" ht="15.75">
      <c r="A212" s="93"/>
      <c r="B212" s="93"/>
      <c r="C212" s="93"/>
      <c r="D212" s="93"/>
      <c r="E212" s="93"/>
      <c r="F212" s="93"/>
      <c r="G212" s="93"/>
      <c r="H212" s="93"/>
      <c r="I212" s="93"/>
      <c r="J212" s="93"/>
      <c r="K212" s="93"/>
      <c r="L212" s="108"/>
    </row>
    <row r="213" spans="1:12" ht="15.75">
      <c r="A213" s="93"/>
      <c r="B213" s="93"/>
      <c r="C213" s="93"/>
      <c r="D213" s="93"/>
      <c r="E213" s="93"/>
      <c r="F213" s="93"/>
      <c r="G213" s="93"/>
      <c r="H213" s="93"/>
      <c r="I213" s="93"/>
      <c r="J213" s="93"/>
      <c r="K213" s="93"/>
      <c r="L213" s="108"/>
    </row>
    <row r="214" spans="1:12" ht="15.75">
      <c r="A214" s="93"/>
      <c r="B214" s="93"/>
      <c r="C214" s="93"/>
      <c r="D214" s="93"/>
      <c r="E214" s="93"/>
      <c r="F214" s="93"/>
      <c r="G214" s="93"/>
      <c r="H214" s="93"/>
      <c r="I214" s="93"/>
      <c r="J214" s="93"/>
      <c r="K214" s="93"/>
      <c r="L214" s="108"/>
    </row>
    <row r="215" spans="1:12" ht="15.75">
      <c r="A215" s="93"/>
      <c r="B215" s="93"/>
      <c r="C215" s="93"/>
      <c r="D215" s="93"/>
      <c r="E215" s="93"/>
      <c r="F215" s="93"/>
      <c r="G215" s="93"/>
      <c r="H215" s="93"/>
      <c r="I215" s="93"/>
      <c r="J215" s="93"/>
      <c r="K215" s="93"/>
      <c r="L215" s="108"/>
    </row>
    <row r="216" spans="1:12" ht="15.75">
      <c r="A216" s="93"/>
      <c r="B216" s="93"/>
      <c r="C216" s="93"/>
      <c r="D216" s="93"/>
      <c r="E216" s="93"/>
      <c r="F216" s="93"/>
      <c r="G216" s="93"/>
      <c r="H216" s="93"/>
      <c r="I216" s="93"/>
      <c r="J216" s="93"/>
      <c r="K216" s="93"/>
      <c r="L216" s="108"/>
    </row>
    <row r="217" spans="1:12" ht="15.75">
      <c r="A217" s="93"/>
      <c r="B217" s="93"/>
      <c r="C217" s="93"/>
      <c r="D217" s="93"/>
      <c r="E217" s="93"/>
      <c r="F217" s="93"/>
      <c r="G217" s="93"/>
      <c r="H217" s="93"/>
      <c r="I217" s="93"/>
      <c r="J217" s="93"/>
      <c r="K217" s="93"/>
      <c r="L217" s="108"/>
    </row>
    <row r="218" spans="1:12" ht="15.75">
      <c r="A218" s="93"/>
      <c r="B218" s="93"/>
      <c r="C218" s="93"/>
      <c r="D218" s="93"/>
      <c r="E218" s="93"/>
      <c r="F218" s="93"/>
      <c r="G218" s="93"/>
      <c r="H218" s="93"/>
      <c r="I218" s="93"/>
      <c r="J218" s="93"/>
      <c r="K218" s="93"/>
      <c r="L218" s="108"/>
    </row>
    <row r="219" spans="1:12" ht="15.75">
      <c r="A219" s="93"/>
      <c r="B219" s="93"/>
      <c r="C219" s="93"/>
      <c r="D219" s="93"/>
      <c r="E219" s="93"/>
      <c r="F219" s="93"/>
      <c r="G219" s="93"/>
      <c r="H219" s="93"/>
      <c r="I219" s="93"/>
      <c r="J219" s="93"/>
      <c r="K219" s="93"/>
      <c r="L219" s="108"/>
    </row>
    <row r="220" spans="1:12" ht="15.75">
      <c r="A220" s="93"/>
      <c r="B220" s="93"/>
      <c r="C220" s="93"/>
      <c r="D220" s="93"/>
      <c r="E220" s="93"/>
      <c r="F220" s="93"/>
      <c r="G220" s="93"/>
      <c r="H220" s="93"/>
      <c r="I220" s="93"/>
      <c r="J220" s="93"/>
      <c r="K220" s="93"/>
      <c r="L220" s="108"/>
    </row>
    <row r="221" spans="1:12" ht="15.75">
      <c r="A221" s="93"/>
      <c r="B221" s="93"/>
      <c r="C221" s="93"/>
      <c r="D221" s="93"/>
      <c r="E221" s="93"/>
      <c r="F221" s="93"/>
      <c r="G221" s="93"/>
      <c r="H221" s="93"/>
      <c r="I221" s="93"/>
      <c r="J221" s="93"/>
      <c r="K221" s="93"/>
      <c r="L221" s="108"/>
    </row>
    <row r="222" spans="1:12" ht="15.75">
      <c r="A222" s="93"/>
      <c r="B222" s="93"/>
      <c r="C222" s="93"/>
      <c r="D222" s="93"/>
      <c r="E222" s="93"/>
      <c r="F222" s="93"/>
      <c r="G222" s="93"/>
      <c r="H222" s="93"/>
      <c r="I222" s="93"/>
      <c r="J222" s="93"/>
      <c r="K222" s="93"/>
      <c r="L222" s="108"/>
    </row>
    <row r="223" spans="1:12" ht="15.75">
      <c r="A223" s="93"/>
      <c r="B223" s="93"/>
      <c r="C223" s="93"/>
      <c r="D223" s="93"/>
      <c r="E223" s="93"/>
      <c r="F223" s="93"/>
      <c r="G223" s="93"/>
      <c r="H223" s="93"/>
      <c r="I223" s="93"/>
      <c r="J223" s="93"/>
      <c r="K223" s="93"/>
      <c r="L223" s="108"/>
    </row>
    <row r="224" spans="1:12" ht="15.75">
      <c r="A224" s="93"/>
      <c r="B224" s="93"/>
      <c r="C224" s="93"/>
      <c r="D224" s="93"/>
      <c r="E224" s="93"/>
      <c r="F224" s="93"/>
      <c r="G224" s="93"/>
      <c r="H224" s="93"/>
      <c r="I224" s="93"/>
      <c r="J224" s="93"/>
      <c r="K224" s="93"/>
      <c r="L224" s="108"/>
    </row>
    <row r="225" spans="1:12" ht="15.75">
      <c r="A225" s="93"/>
      <c r="B225" s="93"/>
      <c r="C225" s="93"/>
      <c r="D225" s="93"/>
      <c r="E225" s="93"/>
      <c r="F225" s="93"/>
      <c r="G225" s="93"/>
      <c r="H225" s="93"/>
      <c r="I225" s="93"/>
      <c r="J225" s="93"/>
      <c r="K225" s="93"/>
      <c r="L225" s="108"/>
    </row>
    <row r="226" spans="1:12" ht="15.75">
      <c r="A226" s="93"/>
      <c r="B226" s="93"/>
      <c r="C226" s="93"/>
      <c r="D226" s="93"/>
      <c r="E226" s="93"/>
      <c r="F226" s="93"/>
      <c r="G226" s="93"/>
      <c r="H226" s="93"/>
      <c r="I226" s="93"/>
      <c r="J226" s="93"/>
      <c r="K226" s="93"/>
      <c r="L226" s="108"/>
    </row>
    <row r="227" spans="1:12" ht="15.75">
      <c r="A227" s="93"/>
      <c r="B227" s="93"/>
      <c r="C227" s="93"/>
      <c r="D227" s="93"/>
      <c r="E227" s="93"/>
      <c r="F227" s="93"/>
      <c r="G227" s="93"/>
      <c r="H227" s="93"/>
      <c r="I227" s="93"/>
      <c r="J227" s="93"/>
      <c r="K227" s="93"/>
      <c r="L227" s="108"/>
    </row>
    <row r="228" spans="1:12" ht="15.75">
      <c r="A228" s="93"/>
      <c r="B228" s="93"/>
      <c r="C228" s="93"/>
      <c r="D228" s="93"/>
      <c r="E228" s="93"/>
      <c r="F228" s="93"/>
      <c r="G228" s="93"/>
      <c r="H228" s="93"/>
      <c r="I228" s="93"/>
      <c r="J228" s="93"/>
      <c r="K228" s="93"/>
      <c r="L228" s="108"/>
    </row>
    <row r="229" spans="1:12" ht="15.75">
      <c r="A229" s="93"/>
      <c r="B229" s="93"/>
      <c r="C229" s="93"/>
      <c r="D229" s="93"/>
      <c r="E229" s="93"/>
      <c r="F229" s="93"/>
      <c r="G229" s="93"/>
      <c r="H229" s="93"/>
      <c r="I229" s="93"/>
      <c r="J229" s="93"/>
      <c r="K229" s="93"/>
      <c r="L229" s="108"/>
    </row>
    <row r="230" spans="1:12" ht="15.75">
      <c r="A230" s="93"/>
      <c r="B230" s="93"/>
      <c r="C230" s="93"/>
      <c r="D230" s="93"/>
      <c r="E230" s="93"/>
      <c r="F230" s="93"/>
      <c r="G230" s="93"/>
      <c r="H230" s="93"/>
      <c r="I230" s="93"/>
      <c r="J230" s="93"/>
      <c r="K230" s="93"/>
      <c r="L230" s="108"/>
    </row>
    <row r="231" spans="1:12" ht="15.75">
      <c r="A231" s="93"/>
      <c r="B231" s="93"/>
      <c r="C231" s="93"/>
      <c r="D231" s="93"/>
      <c r="E231" s="93"/>
      <c r="F231" s="93"/>
      <c r="G231" s="93"/>
      <c r="H231" s="93"/>
      <c r="I231" s="93"/>
      <c r="J231" s="93"/>
      <c r="K231" s="93"/>
      <c r="L231" s="108"/>
    </row>
    <row r="232" spans="1:12" ht="15.75">
      <c r="A232" s="93"/>
      <c r="B232" s="93"/>
      <c r="C232" s="93"/>
      <c r="D232" s="93"/>
      <c r="E232" s="93"/>
      <c r="F232" s="93"/>
      <c r="G232" s="93"/>
      <c r="H232" s="93"/>
      <c r="I232" s="93"/>
      <c r="J232" s="93"/>
      <c r="K232" s="93"/>
      <c r="L232" s="108"/>
    </row>
    <row r="233" spans="1:12" ht="15.75">
      <c r="A233" s="93"/>
      <c r="B233" s="93"/>
      <c r="C233" s="93"/>
      <c r="D233" s="93"/>
      <c r="E233" s="93"/>
      <c r="F233" s="93"/>
      <c r="G233" s="93"/>
      <c r="H233" s="93"/>
      <c r="I233" s="93"/>
      <c r="J233" s="93"/>
      <c r="K233" s="93"/>
      <c r="L233" s="108"/>
    </row>
    <row r="234" spans="1:12" ht="15.75">
      <c r="A234" s="93"/>
      <c r="B234" s="93"/>
      <c r="C234" s="93"/>
      <c r="D234" s="93"/>
      <c r="E234" s="93"/>
      <c r="F234" s="93"/>
      <c r="G234" s="93"/>
      <c r="H234" s="93"/>
      <c r="I234" s="93"/>
      <c r="J234" s="93"/>
      <c r="K234" s="93"/>
      <c r="L234" s="108"/>
    </row>
    <row r="235" spans="1:12" ht="15.75">
      <c r="A235" s="93"/>
      <c r="B235" s="93"/>
      <c r="C235" s="93"/>
      <c r="D235" s="93"/>
      <c r="E235" s="93"/>
      <c r="F235" s="93"/>
      <c r="G235" s="93"/>
      <c r="H235" s="93"/>
      <c r="I235" s="93"/>
      <c r="J235" s="93"/>
      <c r="K235" s="93"/>
      <c r="L235" s="108"/>
    </row>
    <row r="236" spans="1:12" ht="15.75">
      <c r="A236" s="93"/>
      <c r="B236" s="93"/>
      <c r="C236" s="93"/>
      <c r="D236" s="93"/>
      <c r="E236" s="93"/>
      <c r="F236" s="93"/>
      <c r="G236" s="93"/>
      <c r="H236" s="93"/>
      <c r="I236" s="93"/>
      <c r="J236" s="93"/>
      <c r="K236" s="93"/>
      <c r="L236" s="108"/>
    </row>
    <row r="237" spans="1:12" ht="15.75">
      <c r="A237" s="93"/>
      <c r="B237" s="93"/>
      <c r="C237" s="93"/>
      <c r="D237" s="93"/>
      <c r="E237" s="93"/>
      <c r="F237" s="93"/>
      <c r="G237" s="93"/>
      <c r="H237" s="93"/>
      <c r="I237" s="93"/>
      <c r="J237" s="93"/>
      <c r="K237" s="93"/>
      <c r="L237" s="108"/>
    </row>
    <row r="238" spans="1:12" ht="15.75">
      <c r="A238" s="93"/>
      <c r="B238" s="93"/>
      <c r="C238" s="93"/>
      <c r="D238" s="93"/>
      <c r="E238" s="93"/>
      <c r="F238" s="93"/>
      <c r="G238" s="93"/>
      <c r="H238" s="93"/>
      <c r="I238" s="93"/>
      <c r="J238" s="93"/>
      <c r="K238" s="93"/>
      <c r="L238" s="108"/>
    </row>
    <row r="239" spans="1:12" ht="15.75">
      <c r="A239" s="93"/>
      <c r="B239" s="93"/>
      <c r="C239" s="96"/>
      <c r="D239" s="104"/>
      <c r="E239" s="105"/>
      <c r="F239" s="93"/>
      <c r="G239" s="93"/>
      <c r="H239" s="93"/>
      <c r="I239" s="93"/>
      <c r="J239" s="93"/>
      <c r="K239" s="93"/>
      <c r="L239" s="108"/>
    </row>
    <row r="240" spans="1:12" ht="15.75">
      <c r="A240" s="93"/>
      <c r="B240" s="93"/>
      <c r="C240" s="96"/>
      <c r="D240" s="104"/>
      <c r="E240" s="105"/>
      <c r="F240" s="93"/>
      <c r="G240" s="93"/>
      <c r="H240" s="93"/>
      <c r="I240" s="93"/>
      <c r="J240" s="93"/>
      <c r="K240" s="93"/>
      <c r="L240" s="108"/>
    </row>
    <row r="241" spans="1:12" ht="15.75">
      <c r="A241" s="93"/>
      <c r="B241" s="93"/>
      <c r="C241" s="96"/>
      <c r="D241" s="105"/>
      <c r="E241" s="105"/>
      <c r="F241" s="93"/>
      <c r="G241" s="93"/>
      <c r="H241" s="93"/>
      <c r="I241" s="93"/>
      <c r="J241" s="93"/>
      <c r="K241" s="93"/>
      <c r="L241" s="108"/>
    </row>
    <row r="242" spans="1:12" ht="15.75">
      <c r="A242" s="93"/>
      <c r="B242" s="93"/>
      <c r="C242" s="96"/>
      <c r="D242" s="105"/>
      <c r="E242" s="105"/>
      <c r="F242" s="93"/>
      <c r="G242" s="93"/>
      <c r="H242" s="93"/>
      <c r="I242" s="93"/>
      <c r="J242" s="93"/>
      <c r="K242" s="93"/>
      <c r="L242" s="108"/>
    </row>
    <row r="243" spans="1:12" ht="15.75">
      <c r="A243" s="93"/>
      <c r="B243" s="93"/>
      <c r="C243" s="96"/>
      <c r="D243" s="96"/>
      <c r="E243" s="93"/>
      <c r="F243" s="93"/>
      <c r="G243" s="93"/>
      <c r="H243" s="93"/>
      <c r="I243" s="93"/>
      <c r="J243" s="93"/>
      <c r="K243" s="93"/>
      <c r="L243" s="108"/>
    </row>
    <row r="244" spans="1:12" ht="15.75">
      <c r="A244" s="93"/>
      <c r="B244" s="93"/>
      <c r="C244" s="96"/>
      <c r="D244" s="96"/>
      <c r="E244" s="93"/>
      <c r="F244" s="93"/>
      <c r="G244" s="93"/>
      <c r="H244" s="93"/>
      <c r="I244" s="93"/>
      <c r="J244" s="93"/>
      <c r="K244" s="93"/>
      <c r="L244" s="108"/>
    </row>
    <row r="245" spans="1:12" ht="15">
      <c r="A245" s="108"/>
      <c r="B245" s="108"/>
      <c r="E245" s="108"/>
      <c r="F245" s="108"/>
      <c r="G245" s="108"/>
      <c r="H245" s="108"/>
      <c r="I245" s="108"/>
      <c r="J245" s="108"/>
      <c r="K245" s="108"/>
      <c r="L245" s="108"/>
    </row>
    <row r="246" spans="1:12" ht="15">
      <c r="A246" s="108"/>
      <c r="B246" s="108"/>
      <c r="D246" s="110"/>
      <c r="E246" s="108"/>
      <c r="F246" s="108"/>
      <c r="G246" s="108"/>
      <c r="H246" s="108"/>
      <c r="I246" s="108"/>
      <c r="J246" s="108"/>
      <c r="K246" s="108"/>
      <c r="L246" s="108"/>
    </row>
    <row r="247" spans="1:12" ht="15">
      <c r="A247" s="108"/>
      <c r="B247" s="108"/>
      <c r="C247" s="108"/>
      <c r="D247" s="108"/>
      <c r="E247" s="108"/>
      <c r="F247" s="108"/>
      <c r="G247" s="108"/>
      <c r="H247" s="108"/>
      <c r="I247" s="108"/>
      <c r="J247" s="108"/>
      <c r="K247" s="108"/>
      <c r="L247" s="108"/>
    </row>
    <row r="248" spans="1:12" ht="15">
      <c r="A248" s="108"/>
      <c r="B248" s="108"/>
      <c r="C248" s="108"/>
      <c r="D248" s="108"/>
      <c r="E248" s="108"/>
      <c r="F248" s="108"/>
      <c r="G248" s="108"/>
      <c r="H248" s="108"/>
      <c r="I248" s="108"/>
      <c r="J248" s="108"/>
      <c r="K248" s="108"/>
      <c r="L248" s="108"/>
    </row>
    <row r="249" spans="1:12" ht="15">
      <c r="A249" s="108"/>
      <c r="B249" s="108"/>
      <c r="C249" s="108"/>
      <c r="D249" s="108"/>
      <c r="E249" s="108"/>
      <c r="F249" s="108"/>
      <c r="G249" s="108"/>
      <c r="H249" s="108"/>
      <c r="I249" s="108"/>
      <c r="J249" s="108"/>
      <c r="K249" s="108"/>
      <c r="L249" s="108"/>
    </row>
    <row r="250" spans="1:12" ht="15">
      <c r="A250" s="108"/>
      <c r="B250" s="108"/>
      <c r="C250" s="108"/>
      <c r="D250" s="108"/>
      <c r="E250" s="108"/>
      <c r="F250" s="108"/>
      <c r="G250" s="108"/>
      <c r="H250" s="108"/>
      <c r="I250" s="108"/>
      <c r="J250" s="108"/>
      <c r="K250" s="108"/>
      <c r="L250" s="108"/>
    </row>
    <row r="251" spans="1:12" ht="15">
      <c r="A251" s="108"/>
      <c r="B251" s="108"/>
      <c r="C251" s="108"/>
      <c r="D251" s="108"/>
      <c r="E251" s="108"/>
      <c r="F251" s="108"/>
      <c r="G251" s="108"/>
      <c r="H251" s="108"/>
      <c r="I251" s="108"/>
      <c r="J251" s="108"/>
      <c r="K251" s="108"/>
      <c r="L251" s="108"/>
    </row>
    <row r="252" spans="1:12" ht="15">
      <c r="A252" s="108"/>
      <c r="B252" s="108"/>
      <c r="C252" s="108"/>
      <c r="D252" s="108"/>
      <c r="E252" s="108"/>
      <c r="F252" s="108"/>
      <c r="G252" s="108"/>
      <c r="H252" s="108"/>
      <c r="I252" s="108"/>
      <c r="J252" s="108"/>
      <c r="K252" s="108"/>
      <c r="L252" s="108"/>
    </row>
  </sheetData>
  <mergeCells count="4">
    <mergeCell ref="A68:K68"/>
    <mergeCell ref="A1:K1"/>
    <mergeCell ref="A2:K2"/>
    <mergeCell ref="A3:K3"/>
  </mergeCells>
  <phoneticPr fontId="10" type="noConversion"/>
  <pageMargins left="0.70866141732283472" right="0.70866141732283472" top="0.74803149606299213" bottom="0.74803149606299213" header="0.31496062992125984" footer="0.31496062992125984"/>
  <pageSetup paperSize="9" scale="87" orientation="portrait" r:id="rId1"/>
  <rowBreaks count="1" manualBreakCount="1">
    <brk id="5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85"/>
  <sheetViews>
    <sheetView showGridLines="0" view="pageBreakPreview" zoomScale="90" zoomScaleSheetLayoutView="90" workbookViewId="0">
      <selection sqref="A1:C1"/>
    </sheetView>
  </sheetViews>
  <sheetFormatPr defaultRowHeight="15.75"/>
  <cols>
    <col min="1" max="1" width="54.7109375" style="111" customWidth="1"/>
    <col min="2" max="2" width="26" style="87" customWidth="1"/>
    <col min="3" max="3" width="26.140625" style="86" customWidth="1"/>
    <col min="4" max="4" width="16.85546875" style="111" bestFit="1" customWidth="1"/>
    <col min="5" max="5" width="15.7109375" style="111" bestFit="1" customWidth="1"/>
    <col min="6" max="6" width="16.42578125" style="111" bestFit="1" customWidth="1"/>
    <col min="7" max="7" width="15.7109375" style="111" bestFit="1" customWidth="1"/>
    <col min="8" max="16384" width="9.140625" style="111"/>
  </cols>
  <sheetData>
    <row r="1" spans="1:5">
      <c r="A1" s="1058" t="str">
        <f>BS!A1</f>
        <v>ABC PRIVATE LIMITED</v>
      </c>
      <c r="B1" s="1059"/>
      <c r="C1" s="1059"/>
      <c r="D1" s="360"/>
      <c r="E1" s="172"/>
    </row>
    <row r="2" spans="1:5">
      <c r="A2" s="1063" t="s">
        <v>106</v>
      </c>
      <c r="B2" s="1063"/>
      <c r="C2" s="481"/>
      <c r="D2" s="361"/>
      <c r="E2" s="172"/>
    </row>
    <row r="3" spans="1:5" hidden="1">
      <c r="A3" s="481"/>
      <c r="B3" s="481"/>
      <c r="C3" s="481"/>
      <c r="D3" s="361"/>
      <c r="E3" s="172"/>
    </row>
    <row r="4" spans="1:5" hidden="1">
      <c r="A4" s="1031"/>
      <c r="B4" s="1031"/>
      <c r="C4" s="1031"/>
      <c r="D4" s="1"/>
      <c r="E4" s="1"/>
    </row>
    <row r="5" spans="1:5" hidden="1">
      <c r="A5" s="312" t="str">
        <f ca="1">"Note "&amp;BS!$E$35&amp;"  NON CURRENT INVESTMENTS"</f>
        <v>Note 0  NON CURRENT INVESTMENTS</v>
      </c>
      <c r="B5" s="404"/>
      <c r="C5" s="384"/>
    </row>
    <row r="6" spans="1:5" hidden="1">
      <c r="A6" s="312"/>
      <c r="B6" s="404"/>
      <c r="C6" s="384"/>
    </row>
    <row r="7" spans="1:5" hidden="1">
      <c r="A7" s="609" t="s">
        <v>63</v>
      </c>
      <c r="B7" s="608" t="str">
        <f>BS!F5</f>
        <v>March 2023</v>
      </c>
      <c r="C7" s="608" t="str">
        <f>BS!G5</f>
        <v>March 2022</v>
      </c>
    </row>
    <row r="8" spans="1:5" hidden="1">
      <c r="A8" s="610"/>
      <c r="B8" s="611" t="s">
        <v>107</v>
      </c>
      <c r="C8" s="612" t="s">
        <v>107</v>
      </c>
    </row>
    <row r="9" spans="1:5" hidden="1">
      <c r="A9" s="339" t="s">
        <v>398</v>
      </c>
      <c r="B9" s="389">
        <f ca="1">IFERROR(IF(OR(VLOOKUP(A9,INDIRECT(BS!$J$1&amp;"[[Sub Group]:[BS&amp;PL_Face]]"),2,FALSE)="Liability",VLOOKUP(A9,INDIRECT(BS!$J$1&amp;"[[Sub Group]:[BS&amp;PL_Face]]"),2,FALSE)="Income"),-1,1),1)*SUMIF(INDIRECT(BS!$J$1&amp;"[Sub Group]"),A9,INDIRECT(BS!$J$1&amp;"[Rs. In Hundereds]"))</f>
        <v>0</v>
      </c>
      <c r="C9" s="384">
        <v>0</v>
      </c>
    </row>
    <row r="10" spans="1:5" hidden="1">
      <c r="A10" s="339"/>
      <c r="B10" s="251"/>
      <c r="C10" s="384"/>
    </row>
    <row r="11" spans="1:5" hidden="1">
      <c r="A11" s="613" t="s">
        <v>90</v>
      </c>
      <c r="B11" s="473">
        <f ca="1">SUM(B9:B9)</f>
        <v>0</v>
      </c>
      <c r="C11" s="353">
        <f>SUM(C9:C9)</f>
        <v>0</v>
      </c>
    </row>
    <row r="12" spans="1:5" hidden="1">
      <c r="A12" s="339"/>
      <c r="B12" s="251"/>
      <c r="C12" s="384"/>
    </row>
    <row r="13" spans="1:5" hidden="1">
      <c r="A13" s="312" t="str">
        <f>"Note "&amp;BS!$E$37&amp;"  LONG TERM LOANS AND ADVANCES"</f>
        <v>Note 0  LONG TERM LOANS AND ADVANCES</v>
      </c>
      <c r="B13" s="404"/>
      <c r="C13" s="384"/>
    </row>
    <row r="14" spans="1:5" hidden="1">
      <c r="A14" s="312"/>
      <c r="B14" s="404"/>
      <c r="C14" s="384"/>
    </row>
    <row r="15" spans="1:5" hidden="1">
      <c r="A15" s="314" t="s">
        <v>63</v>
      </c>
      <c r="B15" s="568" t="str">
        <f>BS!F5</f>
        <v>March 2023</v>
      </c>
      <c r="C15" s="568" t="str">
        <f>BS!G5</f>
        <v>March 2022</v>
      </c>
    </row>
    <row r="16" spans="1:5" hidden="1">
      <c r="A16" s="405"/>
      <c r="B16" s="567" t="str">
        <f>BS!F6</f>
        <v>Rs. In Thousands</v>
      </c>
      <c r="C16" s="567" t="str">
        <f>BS!G6</f>
        <v>Rs. In Thousands</v>
      </c>
    </row>
    <row r="17" spans="1:3" hidden="1">
      <c r="A17" s="383" t="s">
        <v>405</v>
      </c>
      <c r="B17" s="390">
        <f ca="1">IFERROR(IF(OR(VLOOKUP(A17,INDIRECT(BS!$J$1&amp;"[[Sub Group]:[BS&amp;PL_Face]]"),2,FALSE)="Liability",VLOOKUP(A17,INDIRECT(BS!$J$1&amp;"[[Sub Group]:[BS&amp;PL_Face]]"),2,FALSE)="Income"),-1,1),1)*SUMIF(INDIRECT(BS!$J$1&amp;"[Sub Group]"),A17,INDIRECT(BS!$J$1&amp;"[Rs. In Hundereds]"))</f>
        <v>0</v>
      </c>
      <c r="C17" s="337">
        <v>0</v>
      </c>
    </row>
    <row r="18" spans="1:3" hidden="1">
      <c r="A18" s="383"/>
      <c r="B18" s="258"/>
      <c r="C18" s="345"/>
    </row>
    <row r="19" spans="1:3" hidden="1">
      <c r="A19" s="406" t="s">
        <v>90</v>
      </c>
      <c r="B19" s="407">
        <f ca="1">SUM(B17:B17)</f>
        <v>0</v>
      </c>
      <c r="C19" s="408">
        <f>SUM(C17:C17)</f>
        <v>0</v>
      </c>
    </row>
    <row r="20" spans="1:3">
      <c r="A20" s="339"/>
      <c r="B20" s="251"/>
      <c r="C20" s="384"/>
    </row>
    <row r="21" spans="1:3" hidden="1">
      <c r="A21" s="312" t="str">
        <f ca="1">"Note "&amp;BS!$E$38&amp;"  OTHER NON CURRENT ASSETS"</f>
        <v>Note 0  OTHER NON CURRENT ASSETS</v>
      </c>
      <c r="B21" s="404"/>
      <c r="C21" s="384"/>
    </row>
    <row r="22" spans="1:3" hidden="1">
      <c r="A22" s="312"/>
      <c r="B22" s="404"/>
      <c r="C22" s="384"/>
    </row>
    <row r="23" spans="1:3" hidden="1">
      <c r="A23" s="314" t="s">
        <v>63</v>
      </c>
      <c r="B23" s="568" t="str">
        <f>B40</f>
        <v>March 2023</v>
      </c>
      <c r="C23" s="568" t="str">
        <f>C40</f>
        <v>March 2022</v>
      </c>
    </row>
    <row r="24" spans="1:3" hidden="1">
      <c r="A24" s="405"/>
      <c r="B24" s="567" t="str">
        <f>B41</f>
        <v>Rs. In Thousands</v>
      </c>
      <c r="C24" s="567" t="str">
        <f>C41</f>
        <v>Rs. In Thousands</v>
      </c>
    </row>
    <row r="25" spans="1:3" hidden="1">
      <c r="A25" s="383" t="s">
        <v>405</v>
      </c>
      <c r="B25" s="390">
        <f ca="1">IFERROR(IF(OR(VLOOKUP(A25,INDIRECT(BS!$J$1&amp;"[[Sub Group]:[BS&amp;PL_Face]]"),2,FALSE)="Liability",VLOOKUP(A25,INDIRECT(BS!$J$1&amp;"[[Sub Group]:[BS&amp;PL_Face]]"),2,FALSE)="Income"),-1,1),1)*SUMIF(INDIRECT(BS!$J$1&amp;"[Sub Group]"),A25,INDIRECT(BS!$J$1&amp;"[Rs. In Hundereds]"))</f>
        <v>0</v>
      </c>
      <c r="C25" s="995">
        <v>0</v>
      </c>
    </row>
    <row r="26" spans="1:3" hidden="1">
      <c r="A26" s="383"/>
      <c r="B26" s="258"/>
      <c r="C26" s="345"/>
    </row>
    <row r="27" spans="1:3" hidden="1">
      <c r="A27" s="406" t="s">
        <v>90</v>
      </c>
      <c r="B27" s="407">
        <f ca="1">SUM(B25:B25)</f>
        <v>0</v>
      </c>
      <c r="C27" s="408">
        <f>SUM(C25:C25)</f>
        <v>0</v>
      </c>
    </row>
    <row r="28" spans="1:3" hidden="1">
      <c r="A28" s="312" t="str">
        <f>"Note "&amp;BS!$E$41&amp;"  CURRENT INVESTMENTS"</f>
        <v>Note 0  CURRENT INVESTMENTS</v>
      </c>
      <c r="B28" s="404"/>
      <c r="C28" s="384"/>
    </row>
    <row r="29" spans="1:3" hidden="1">
      <c r="A29" s="312"/>
      <c r="B29" s="404"/>
      <c r="C29" s="384"/>
    </row>
    <row r="30" spans="1:3" hidden="1">
      <c r="A30" s="314" t="s">
        <v>63</v>
      </c>
      <c r="B30" s="568">
        <f>BS!F23</f>
        <v>3115</v>
      </c>
      <c r="C30" s="568">
        <f>BS!G23</f>
        <v>4854</v>
      </c>
    </row>
    <row r="31" spans="1:3" hidden="1">
      <c r="A31" s="405"/>
      <c r="B31" s="567">
        <f ca="1">BS!F24</f>
        <v>0</v>
      </c>
      <c r="C31" s="567">
        <f>BS!G24</f>
        <v>847.78</v>
      </c>
    </row>
    <row r="32" spans="1:3" hidden="1">
      <c r="A32" s="383" t="s">
        <v>405</v>
      </c>
      <c r="B32" s="390">
        <f ca="1">IFERROR(IF(OR(VLOOKUP(A32,INDIRECT(BS!$J$1&amp;"[[Sub Group]:[BS&amp;PL_Face]]"),2,FALSE)="Liability",VLOOKUP(A32,INDIRECT(BS!$J$1&amp;"[[Sub Group]:[BS&amp;PL_Face]]"),2,FALSE)="Income"),-1,1),1)*SUMIF(INDIRECT(BS!$J$1&amp;"[Sub Group]"),A32,INDIRECT(BS!$J$1&amp;"[Rs. In Hundereds]"))</f>
        <v>0</v>
      </c>
      <c r="C32" s="337">
        <v>0</v>
      </c>
    </row>
    <row r="33" spans="1:7" hidden="1">
      <c r="A33" s="383"/>
      <c r="B33" s="258"/>
      <c r="C33" s="345"/>
    </row>
    <row r="34" spans="1:7" hidden="1">
      <c r="A34" s="406" t="s">
        <v>90</v>
      </c>
      <c r="B34" s="407">
        <f ca="1">SUM(B32:B32)</f>
        <v>0</v>
      </c>
      <c r="C34" s="408">
        <f>SUM(C32:C32)</f>
        <v>0</v>
      </c>
    </row>
    <row r="35" spans="1:7" hidden="1">
      <c r="A35" s="339"/>
      <c r="B35" s="251"/>
      <c r="C35" s="384"/>
    </row>
    <row r="36" spans="1:7" hidden="1">
      <c r="A36" s="339"/>
      <c r="B36" s="251"/>
      <c r="C36" s="384"/>
    </row>
    <row r="37" spans="1:7">
      <c r="A37" s="1043" t="str">
        <f ca="1">"Note "&amp;BS!$E$42&amp;"  INVENTORIES"</f>
        <v>Note 13  INVENTORIES</v>
      </c>
      <c r="B37" s="1043"/>
      <c r="C37" s="389"/>
    </row>
    <row r="38" spans="1:7">
      <c r="A38" s="1080" t="s">
        <v>89</v>
      </c>
      <c r="B38" s="1080"/>
      <c r="C38" s="397"/>
    </row>
    <row r="39" spans="1:7">
      <c r="A39" s="486"/>
      <c r="B39" s="409"/>
      <c r="C39" s="397"/>
    </row>
    <row r="40" spans="1:7">
      <c r="A40" s="410" t="s">
        <v>63</v>
      </c>
      <c r="B40" s="568" t="str">
        <f>B7</f>
        <v>March 2023</v>
      </c>
      <c r="C40" s="568" t="str">
        <f>C7</f>
        <v>March 2022</v>
      </c>
    </row>
    <row r="41" spans="1:7">
      <c r="A41" s="411"/>
      <c r="B41" s="567" t="str">
        <f>BS!F6</f>
        <v>Rs. In Thousands</v>
      </c>
      <c r="C41" s="567" t="str">
        <f>BS!G6</f>
        <v>Rs. In Thousands</v>
      </c>
    </row>
    <row r="42" spans="1:7">
      <c r="A42" s="449"/>
      <c r="B42" s="676"/>
      <c r="C42" s="450"/>
    </row>
    <row r="43" spans="1:7">
      <c r="A43" s="674" t="s">
        <v>658</v>
      </c>
      <c r="B43" s="677">
        <f ca="1">'Sch - PL'!B57</f>
        <v>0</v>
      </c>
      <c r="C43" s="675">
        <f>'Sch - PL'!C57</f>
        <v>6952.6900000000005</v>
      </c>
    </row>
    <row r="44" spans="1:7">
      <c r="A44" s="674"/>
      <c r="B44" s="677"/>
      <c r="C44" s="675"/>
    </row>
    <row r="45" spans="1:7">
      <c r="A45" s="381" t="s">
        <v>88</v>
      </c>
      <c r="B45" s="265">
        <f ca="1">SUM(B42:B43)</f>
        <v>0</v>
      </c>
      <c r="C45" s="382">
        <f>SUM(C42:C43)</f>
        <v>6952.6900000000005</v>
      </c>
    </row>
    <row r="46" spans="1:7">
      <c r="A46" s="339"/>
      <c r="B46" s="251"/>
      <c r="C46" s="384"/>
    </row>
    <row r="47" spans="1:7">
      <c r="A47" s="339"/>
      <c r="B47" s="251"/>
      <c r="C47" s="384"/>
      <c r="G47" s="112"/>
    </row>
    <row r="48" spans="1:7">
      <c r="A48" s="1043" t="str">
        <f ca="1">"Note "&amp;BS!$E$44&amp;"  CASH AND CASH EQUIVALENT"</f>
        <v>Note 15  CASH AND CASH EQUIVALENT</v>
      </c>
      <c r="B48" s="1043"/>
      <c r="C48" s="389"/>
    </row>
    <row r="49" spans="1:4">
      <c r="A49" s="312"/>
      <c r="B49" s="266"/>
      <c r="C49" s="397"/>
    </row>
    <row r="50" spans="1:4">
      <c r="A50" s="1077" t="s">
        <v>63</v>
      </c>
      <c r="B50" s="568" t="str">
        <f>B7</f>
        <v>March 2023</v>
      </c>
      <c r="C50" s="568" t="str">
        <f>C7</f>
        <v>March 2022</v>
      </c>
    </row>
    <row r="51" spans="1:4">
      <c r="A51" s="1078"/>
      <c r="B51" s="567" t="str">
        <f>BS!F6</f>
        <v>Rs. In Thousands</v>
      </c>
      <c r="C51" s="567" t="str">
        <f>BS!G6</f>
        <v>Rs. In Thousands</v>
      </c>
    </row>
    <row r="52" spans="1:4">
      <c r="A52" s="484"/>
      <c r="B52" s="431"/>
      <c r="C52" s="429"/>
    </row>
    <row r="53" spans="1:4">
      <c r="A53" s="433" t="s">
        <v>407</v>
      </c>
      <c r="B53" s="432"/>
      <c r="C53" s="430"/>
    </row>
    <row r="54" spans="1:4">
      <c r="A54" s="338" t="s">
        <v>404</v>
      </c>
      <c r="B54" s="251">
        <f ca="1">IFERROR(IF(OR(VLOOKUP(A54,INDIRECT(BS!$J$1&amp;"[[Sub Group]:[BS&amp;PL_Face]]"),2,FALSE)="Liability",VLOOKUP(A54,INDIRECT(BS!$J$1&amp;"[[Sub Group]:[BS&amp;PL_Face]]"),2,FALSE)="Income"),-1,1),1)*SUMIF(INDIRECT(BS!$J$1&amp;"[Sub Group]"),A54,INDIRECT(BS!$J$1&amp;"[Rs. In Hundereds]"))</f>
        <v>0</v>
      </c>
      <c r="C54" s="980">
        <v>424.14</v>
      </c>
      <c r="D54" s="112"/>
    </row>
    <row r="55" spans="1:4">
      <c r="A55" s="338" t="s">
        <v>403</v>
      </c>
      <c r="B55" s="251">
        <f ca="1">IFERROR(IF(OR(VLOOKUP(A55,INDIRECT(BS!$J$1&amp;"[[Sub Group]:[BS&amp;PL_Face]]"),2,FALSE)="Liability",VLOOKUP(A55,INDIRECT(BS!$J$1&amp;"[[Sub Group]:[BS&amp;PL_Face]]"),2,FALSE)="Income"),-1,1),1)*SUMIF(INDIRECT(BS!$J$1&amp;"[Sub Group]"),A55,INDIRECT(BS!$J$1&amp;"[Rs. In Hundereds]"))</f>
        <v>0</v>
      </c>
      <c r="C55" s="980">
        <v>1013.26</v>
      </c>
      <c r="D55" s="112"/>
    </row>
    <row r="56" spans="1:4" hidden="1">
      <c r="A56" s="338"/>
      <c r="B56" s="251"/>
      <c r="C56" s="340"/>
      <c r="D56" s="112"/>
    </row>
    <row r="57" spans="1:4" hidden="1">
      <c r="A57" s="433" t="s">
        <v>406</v>
      </c>
      <c r="B57" s="251"/>
      <c r="C57" s="340"/>
      <c r="D57" s="112"/>
    </row>
    <row r="58" spans="1:4" hidden="1">
      <c r="A58" s="338" t="s">
        <v>408</v>
      </c>
      <c r="B58" s="251">
        <f ca="1">IFERROR(IF(OR(VLOOKUP(A58,INDIRECT(BS!$J$1&amp;"[[Sub Group]:[BS&amp;PL_Face]]"),2,FALSE)="Liability",VLOOKUP(A58,INDIRECT(BS!$J$1&amp;"[[Sub Group]:[BS&amp;PL_Face]]"),2,FALSE)="Income"),-1,1),1)*SUMIF(INDIRECT(BS!$J$1&amp;"[Sub Group]"),A58,INDIRECT(BS!$J$1&amp;"[Rs. In Hundereds]"))</f>
        <v>0</v>
      </c>
      <c r="C58" s="340">
        <v>0</v>
      </c>
      <c r="D58" s="112"/>
    </row>
    <row r="59" spans="1:4">
      <c r="A59" s="338"/>
      <c r="B59" s="251"/>
      <c r="C59" s="345"/>
      <c r="D59" s="112"/>
    </row>
    <row r="60" spans="1:4">
      <c r="A60" s="398" t="s">
        <v>90</v>
      </c>
      <c r="B60" s="265">
        <f ca="1">SUM(B54:B59)</f>
        <v>0</v>
      </c>
      <c r="C60" s="382">
        <f>SUM(C54:C59)</f>
        <v>1437.4</v>
      </c>
    </row>
    <row r="61" spans="1:4">
      <c r="A61" s="339"/>
      <c r="B61" s="251"/>
      <c r="C61" s="384"/>
    </row>
    <row r="62" spans="1:4" hidden="1">
      <c r="A62" s="1043" t="str">
        <f ca="1">"Note "&amp;BS!$E$45&amp;"  SHORT TERM LOANS AND ADVANCES"</f>
        <v>Note 0  SHORT TERM LOANS AND ADVANCES</v>
      </c>
      <c r="B62" s="1043"/>
      <c r="C62" s="389"/>
    </row>
    <row r="63" spans="1:4" hidden="1">
      <c r="A63" s="312"/>
      <c r="B63" s="266"/>
      <c r="C63" s="389"/>
    </row>
    <row r="64" spans="1:4" hidden="1">
      <c r="A64" s="1079" t="s">
        <v>63</v>
      </c>
      <c r="B64" s="253" t="str">
        <f>B7</f>
        <v>March 2023</v>
      </c>
      <c r="C64" s="253" t="str">
        <f>C7</f>
        <v>March 2022</v>
      </c>
    </row>
    <row r="65" spans="1:4" hidden="1">
      <c r="A65" s="1079"/>
      <c r="B65" s="263" t="str">
        <f>BS!F6</f>
        <v>Rs. In Thousands</v>
      </c>
      <c r="C65" s="991" t="str">
        <f>BS!G6</f>
        <v>Rs. In Thousands</v>
      </c>
    </row>
    <row r="66" spans="1:4" hidden="1">
      <c r="A66" s="993"/>
      <c r="B66" s="992"/>
      <c r="C66" s="994"/>
    </row>
    <row r="67" spans="1:4" hidden="1">
      <c r="A67" s="383" t="s">
        <v>626</v>
      </c>
      <c r="B67" s="274">
        <f ca="1">IFERROR(IF(OR(VLOOKUP(A67,INDIRECT(BS!$J$1&amp;"[[Sub Group]:[BS&amp;PL_Face]]"),2,FALSE)="Liability",VLOOKUP(A67,INDIRECT(BS!$J$1&amp;"[[Sub Group]:[BS&amp;PL_Face]]"),2,FALSE)="Income"),-1,1),1)*SUMIF(INDIRECT(BS!$J$1&amp;"[Sub Group]"),A67,INDIRECT(BS!$J$1&amp;"[Rs. In Hundereds]"))</f>
        <v>0</v>
      </c>
      <c r="C67" s="980">
        <v>0</v>
      </c>
    </row>
    <row r="68" spans="1:4" hidden="1">
      <c r="A68" s="988"/>
      <c r="B68" s="280"/>
      <c r="C68" s="252"/>
      <c r="D68" s="86"/>
    </row>
    <row r="69" spans="1:4" hidden="1">
      <c r="A69" s="989" t="s">
        <v>88</v>
      </c>
      <c r="B69" s="322">
        <f ca="1">SUM(B67:B68)</f>
        <v>0</v>
      </c>
      <c r="C69" s="990">
        <f>SUM(C67:C68)</f>
        <v>0</v>
      </c>
      <c r="D69" s="112"/>
    </row>
    <row r="70" spans="1:4" hidden="1">
      <c r="A70" s="419"/>
      <c r="B70" s="249"/>
      <c r="C70" s="394"/>
      <c r="D70" s="112"/>
    </row>
    <row r="71" spans="1:4">
      <c r="A71" s="1043" t="str">
        <f ca="1">"Note "&amp;BS!$E$46&amp;"  OTHER CURRENT ASSETS"</f>
        <v>Note 16  OTHER CURRENT ASSETS</v>
      </c>
      <c r="B71" s="1043"/>
      <c r="C71" s="389"/>
      <c r="D71" s="112"/>
    </row>
    <row r="72" spans="1:4">
      <c r="A72" s="312"/>
      <c r="B72" s="266"/>
      <c r="C72" s="397"/>
      <c r="D72" s="112"/>
    </row>
    <row r="73" spans="1:4">
      <c r="A73" s="1077" t="s">
        <v>63</v>
      </c>
      <c r="B73" s="568" t="str">
        <f>B64</f>
        <v>March 2023</v>
      </c>
      <c r="C73" s="568" t="str">
        <f>C64</f>
        <v>March 2022</v>
      </c>
      <c r="D73" s="112"/>
    </row>
    <row r="74" spans="1:4">
      <c r="A74" s="1078"/>
      <c r="B74" s="566" t="str">
        <f>BS!F6</f>
        <v>Rs. In Thousands</v>
      </c>
      <c r="C74" s="566" t="str">
        <f>BS!G6</f>
        <v>Rs. In Thousands</v>
      </c>
      <c r="D74" s="112"/>
    </row>
    <row r="75" spans="1:4">
      <c r="A75" s="428" t="s">
        <v>1837</v>
      </c>
      <c r="B75" s="287">
        <f ca="1">IFERROR(IF(OR(VLOOKUP(A75,INDIRECT(BS!$J$1&amp;"[[Sub Group]:[BS&amp;PL_Face]]"),2,FALSE)="Liability",VLOOKUP(A75,INDIRECT(BS!$J$1&amp;"[[Sub Group]:[BS&amp;PL_Face]]"),2,FALSE)="Income"),-1,1),1)*SUMIF(INDIRECT(BS!$J$1&amp;"[Sub Group]"),A75,INDIRECT(BS!$J$1&amp;"[Rs. In Hundereds]"))</f>
        <v>0</v>
      </c>
      <c r="C75" s="337">
        <v>200</v>
      </c>
      <c r="D75" s="112"/>
    </row>
    <row r="76" spans="1:4">
      <c r="A76" s="383" t="s">
        <v>1838</v>
      </c>
      <c r="B76" s="274">
        <f ca="1">IFERROR(IF(OR(VLOOKUP(A76,INDIRECT(BS!$J$1&amp;"[[Sub Group]:[BS&amp;PL_Face]]"),2,FALSE)="Liability",VLOOKUP(A76,INDIRECT(BS!$J$1&amp;"[[Sub Group]:[BS&amp;PL_Face]]"),2,FALSE)="Income"),-1,1),1)*SUMIF(INDIRECT(BS!$J$1&amp;"[Sub Group]"),A76,INDIRECT(BS!$J$1&amp;"[Rs. In Hundereds]"))</f>
        <v>0</v>
      </c>
      <c r="C76" s="340">
        <v>107.09</v>
      </c>
      <c r="D76" s="112"/>
    </row>
    <row r="77" spans="1:4">
      <c r="A77" s="383" t="s">
        <v>1839</v>
      </c>
      <c r="B77" s="274">
        <f ca="1">IFERROR(IF(OR(VLOOKUP(A77,INDIRECT(BS!$J$1&amp;"[[Sub Group]:[BS&amp;PL_Face]]"),2,FALSE)="Liability",VLOOKUP(A77,INDIRECT(BS!$J$1&amp;"[[Sub Group]:[BS&amp;PL_Face]]"),2,FALSE)="Income"),-1,1),1)*SUMIF(INDIRECT(BS!$J$1&amp;"[Sub Group]"),A77,INDIRECT(BS!$J$1&amp;"[Rs. In Hundereds]"))</f>
        <v>0</v>
      </c>
      <c r="C77" s="340">
        <v>7211.95</v>
      </c>
      <c r="D77" s="112"/>
    </row>
    <row r="78" spans="1:4">
      <c r="A78" s="383" t="s">
        <v>216</v>
      </c>
      <c r="B78" s="274">
        <f ca="1">IFERROR(IF(OR(VLOOKUP(A78,INDIRECT(BS!$J$1&amp;"[[Sub Group]:[BS&amp;PL_Face]]"),2,FALSE)="Liability",VLOOKUP(A78,INDIRECT(BS!$J$1&amp;"[[Sub Group]:[BS&amp;PL_Face]]"),2,FALSE)="Income"),-1,1),1)*SUMIF(INDIRECT(BS!$J$1&amp;"[Sub Group]"),A78,INDIRECT(BS!$J$1&amp;"[Rs. In Hundereds]"))</f>
        <v>0</v>
      </c>
      <c r="C78" s="980">
        <v>15.4</v>
      </c>
      <c r="D78" s="112"/>
    </row>
    <row r="79" spans="1:4">
      <c r="A79" s="383" t="s">
        <v>1840</v>
      </c>
      <c r="B79" s="274">
        <f ca="1">IFERROR(IF(OR(VLOOKUP(A79,INDIRECT(BS!$J$1&amp;"[[Sub Group]:[BS&amp;PL_Face]]"),2,FALSE)="Liability",VLOOKUP(A79,INDIRECT(BS!$J$1&amp;"[[Sub Group]:[BS&amp;PL_Face]]"),2,FALSE)="Income"),-1,1),1)*SUMIF(INDIRECT(BS!$J$1&amp;"[Sub Group]"),A79,INDIRECT(BS!$J$1&amp;"[Rs. In Hundereds]"))</f>
        <v>0</v>
      </c>
      <c r="C79" s="980">
        <v>534.72</v>
      </c>
      <c r="D79" s="112"/>
    </row>
    <row r="80" spans="1:4">
      <c r="A80" s="383" t="s">
        <v>1841</v>
      </c>
      <c r="B80" s="274">
        <f ca="1">IFERROR(IF(OR(VLOOKUP(A80,INDIRECT(BS!$J$1&amp;"[[Sub Group]:[BS&amp;PL_Face]]"),2,FALSE)="Liability",VLOOKUP(A80,INDIRECT(BS!$J$1&amp;"[[Sub Group]:[BS&amp;PL_Face]]"),2,FALSE)="Income"),-1,1),1)*SUMIF(INDIRECT(BS!$J$1&amp;"[Sub Group]"),A80,INDIRECT(BS!$J$1&amp;"[Rs. In Hundereds]"))</f>
        <v>0</v>
      </c>
      <c r="C80" s="340">
        <v>185.7</v>
      </c>
      <c r="D80" s="112"/>
    </row>
    <row r="81" spans="1:4">
      <c r="A81" s="383"/>
      <c r="B81" s="258"/>
      <c r="C81" s="345"/>
      <c r="D81" s="112"/>
    </row>
    <row r="82" spans="1:4">
      <c r="A82" s="398" t="s">
        <v>90</v>
      </c>
      <c r="B82" s="322">
        <f ca="1">SUM(B75:B81)</f>
        <v>0</v>
      </c>
      <c r="C82" s="382">
        <f>SUM(C75:C81)</f>
        <v>8254.86</v>
      </c>
      <c r="D82" s="112"/>
    </row>
    <row r="83" spans="1:4">
      <c r="A83" s="419"/>
      <c r="B83" s="249"/>
      <c r="C83" s="394"/>
      <c r="D83" s="112"/>
    </row>
    <row r="84" spans="1:4">
      <c r="B84" s="88"/>
      <c r="C84" s="6"/>
      <c r="D84" s="6"/>
    </row>
    <row r="85" spans="1:4">
      <c r="B85" s="88"/>
      <c r="C85" s="6"/>
      <c r="D85" s="6"/>
    </row>
  </sheetData>
  <mergeCells count="11">
    <mergeCell ref="A1:C1"/>
    <mergeCell ref="A2:B2"/>
    <mergeCell ref="A71:B71"/>
    <mergeCell ref="A73:A74"/>
    <mergeCell ref="A4:C4"/>
    <mergeCell ref="A64:A65"/>
    <mergeCell ref="A37:B37"/>
    <mergeCell ref="A38:B38"/>
    <mergeCell ref="A48:B48"/>
    <mergeCell ref="A50:A51"/>
    <mergeCell ref="A62:B62"/>
  </mergeCells>
  <phoneticPr fontId="10" type="noConversion"/>
  <printOptions horizontalCentered="1"/>
  <pageMargins left="0.7" right="0.7" top="0.75" bottom="0.75" header="0.3" footer="0.3"/>
  <pageSetup paperSize="9" scale="81" orientation="portrait" r:id="rId1"/>
  <rowBreaks count="1" manualBreakCount="1">
    <brk id="6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59"/>
  <sheetViews>
    <sheetView showGridLines="0" view="pageBreakPreview" zoomScaleSheetLayoutView="100" workbookViewId="0">
      <selection activeCell="C10" sqref="C10"/>
    </sheetView>
  </sheetViews>
  <sheetFormatPr defaultRowHeight="15.75"/>
  <cols>
    <col min="1" max="1" width="54.42578125" style="27" customWidth="1"/>
    <col min="2" max="2" width="25" style="87" customWidth="1"/>
    <col min="3" max="3" width="26" style="87" customWidth="1"/>
    <col min="4" max="5" width="9.140625" style="27"/>
    <col min="6" max="7" width="11.5703125" style="27" bestFit="1" customWidth="1"/>
    <col min="8" max="8" width="12.7109375" style="27" bestFit="1" customWidth="1"/>
    <col min="9" max="9" width="10.42578125" style="27" bestFit="1" customWidth="1"/>
    <col min="10" max="16384" width="9.140625" style="27"/>
  </cols>
  <sheetData>
    <row r="1" spans="1:5">
      <c r="A1" s="633" t="str">
        <f>BS!A1</f>
        <v>ABC PRIVATE LIMITED</v>
      </c>
      <c r="B1" s="481"/>
      <c r="C1" s="481"/>
      <c r="D1" s="479"/>
      <c r="E1" s="480"/>
    </row>
    <row r="2" spans="1:5">
      <c r="A2" s="481" t="s">
        <v>484</v>
      </c>
      <c r="B2" s="481"/>
      <c r="C2" s="481"/>
      <c r="D2" s="481"/>
      <c r="E2" s="482"/>
    </row>
    <row r="3" spans="1:5">
      <c r="B3" s="524"/>
      <c r="C3" s="524"/>
    </row>
    <row r="4" spans="1:5">
      <c r="A4" s="420" t="str">
        <f ca="1">"Note "&amp;PL!$E$8&amp;"  REVENUE FROM OPERATIONS"</f>
        <v>Note 17  REVENUE FROM OPERATIONS</v>
      </c>
      <c r="B4" s="251"/>
      <c r="C4" s="421"/>
    </row>
    <row r="5" spans="1:5" ht="16.5" hidden="1" thickBot="1">
      <c r="A5" s="250"/>
      <c r="B5" s="251"/>
      <c r="C5" s="252"/>
    </row>
    <row r="6" spans="1:5">
      <c r="A6" s="1082" t="s">
        <v>63</v>
      </c>
      <c r="B6" s="568" t="str">
        <f>PL!F5</f>
        <v>March 2023</v>
      </c>
      <c r="C6" s="568" t="str">
        <f>PL!G5</f>
        <v>March 2022</v>
      </c>
    </row>
    <row r="7" spans="1:5">
      <c r="A7" s="1082"/>
      <c r="B7" s="1010" t="str">
        <f>BS!F6</f>
        <v>Rs. In Thousands</v>
      </c>
      <c r="C7" s="1010" t="str">
        <f>BS!G6</f>
        <v>Rs. In Thousands</v>
      </c>
    </row>
    <row r="8" spans="1:5">
      <c r="A8" s="255"/>
      <c r="B8" s="256"/>
      <c r="C8" s="256"/>
    </row>
    <row r="9" spans="1:5">
      <c r="A9" s="261" t="s">
        <v>631</v>
      </c>
      <c r="B9" s="434">
        <f ca="1">IFERROR(IF(OR(VLOOKUP(A9,INDIRECT(BS!$J$1&amp;"[[Sub Group]:[BS&amp;PL_Face]]"),2,FALSE)="Liability",VLOOKUP(A9,INDIRECT(BS!$J$1&amp;"[[Sub Group]:[BS&amp;PL_Face]]"),2,FALSE)="Income"),-1,1),1)*SUMIF(INDIRECT(BS!$J$1&amp;"[Sub Group]"),A9,INDIRECT(BS!$J$1&amp;"[Rs. In Hundereds]"))</f>
        <v>0</v>
      </c>
      <c r="C9" s="979">
        <v>1231234</v>
      </c>
    </row>
    <row r="10" spans="1:5">
      <c r="A10" s="261" t="s">
        <v>1888</v>
      </c>
      <c r="B10" s="434">
        <f ca="1">IFERROR(IF(OR(VLOOKUP(A10,INDIRECT(BS!$J$1&amp;"[[Sub Group]:[BS&amp;PL_Face]]"),2,FALSE)="Liability",VLOOKUP(A10,INDIRECT(BS!$J$1&amp;"[[Sub Group]:[BS&amp;PL_Face]]"),2,FALSE)="Income"),-1,1),1)*SUMIF(INDIRECT(BS!$J$1&amp;"[Sub Group]"),A10,INDIRECT(BS!$J$1&amp;"[Rs. In Hundereds]"))+IFERROR(IF(OR(VLOOKUP(A12,INDIRECT(BS!$J$1&amp;"[[Sub Group]:[BS&amp;PL_Face]]"),2,FALSE)="Liability",VLOOKUP(A12,INDIRECT(BS!$J$1&amp;"[[Sub Group]:[BS&amp;PL_Face]]"),2,FALSE)="Income"),-1,1),1)*SUMIF(INDIRECT(BS!$J$1&amp;"[Sub Group]"),A12,INDIRECT(BS!$J$1&amp;"[Rs. In Hundereds]"))+IFERROR(IF(OR(VLOOKUP(A11,INDIRECT(BS!$J$1&amp;"[[Sub Group]:[BS&amp;PL_Face]]"),2,FALSE)="Liability",VLOOKUP(A11,INDIRECT(BS!$J$1&amp;"[[Sub Group]:[BS&amp;PL_Face]]"),2,FALSE)="Income"),-1,1),1)*SUMIF(INDIRECT(BS!$J$1&amp;"[Sub Group]"),A11,INDIRECT(BS!$J$1&amp;"[Rs. In Hundereds]"))</f>
        <v>0</v>
      </c>
      <c r="C10" s="979">
        <v>0</v>
      </c>
    </row>
    <row r="11" spans="1:5">
      <c r="A11" s="261" t="s">
        <v>1789</v>
      </c>
      <c r="B11" s="434">
        <f ca="1">-IFERROR(IF(OR(VLOOKUP(A11,INDIRECT(BS!$J$1&amp;"[[Sub Group]:[BS&amp;PL_Face]]"),2,FALSE)="Liability",VLOOKUP(A11,INDIRECT(BS!$J$1&amp;"[[Sub Group]:[BS&amp;PL_Face]]"),2,FALSE)="Income"),-1,1),1)*SUMIF(INDIRECT(BS!$J$1&amp;"[Sub Group]"),A11,INDIRECT(BS!$J$1&amp;"[Rs. In Hundereds]"))</f>
        <v>0</v>
      </c>
      <c r="C11" s="979">
        <v>-123.61</v>
      </c>
    </row>
    <row r="12" spans="1:5" ht="6" customHeight="1">
      <c r="A12" s="257"/>
      <c r="B12" s="258"/>
      <c r="C12" s="258"/>
    </row>
    <row r="13" spans="1:5">
      <c r="A13" s="259" t="s">
        <v>268</v>
      </c>
      <c r="B13" s="260">
        <f ca="1">SUM(B8:B12)</f>
        <v>0</v>
      </c>
      <c r="C13" s="260">
        <f>SUM(C8:C12)</f>
        <v>1231110.3899999999</v>
      </c>
    </row>
    <row r="14" spans="1:5" ht="7.5" customHeight="1">
      <c r="A14" s="354"/>
      <c r="B14" s="251"/>
      <c r="C14" s="251"/>
    </row>
    <row r="15" spans="1:5">
      <c r="A15" s="420" t="str">
        <f ca="1">"Note "&amp;PL!$E$10&amp;"  OTHER INCOME"</f>
        <v>Note 18  OTHER INCOME</v>
      </c>
      <c r="B15" s="262"/>
      <c r="C15" s="262"/>
    </row>
    <row r="16" spans="1:5" ht="8.25" customHeight="1">
      <c r="A16" s="356"/>
      <c r="B16" s="262"/>
      <c r="C16" s="262"/>
    </row>
    <row r="17" spans="1:3">
      <c r="A17" s="478" t="s">
        <v>63</v>
      </c>
      <c r="B17" s="568" t="str">
        <f>B6</f>
        <v>March 2023</v>
      </c>
      <c r="C17" s="568" t="str">
        <f>C6</f>
        <v>March 2022</v>
      </c>
    </row>
    <row r="18" spans="1:3">
      <c r="A18" s="478"/>
      <c r="B18" s="568" t="str">
        <f>B7</f>
        <v>Rs. In Thousands</v>
      </c>
      <c r="C18" s="568" t="str">
        <f>C7</f>
        <v>Rs. In Thousands</v>
      </c>
    </row>
    <row r="19" spans="1:3" ht="18" hidden="1" customHeight="1">
      <c r="A19" s="435" t="s">
        <v>1790</v>
      </c>
      <c r="B19" s="291">
        <f ca="1">IFERROR(IF(OR(VLOOKUP(A19,INDIRECT(BS!$J$1&amp;"[[Sub Group]:[BS&amp;PL_Face]]"),2,FALSE)="Liability",VLOOKUP(A19,INDIRECT(BS!$J$1&amp;"[[Sub Group]:[BS&amp;PL_Face]]"),2,FALSE)="Income"),-1,1),1)*SUMIF(INDIRECT(BS!$J$1&amp;"[Sub Group]"),A19,INDIRECT(BS!$J$1&amp;"[Rs. In Hundereds]"))</f>
        <v>0</v>
      </c>
      <c r="C19" s="437">
        <v>0</v>
      </c>
    </row>
    <row r="20" spans="1:3" ht="18" hidden="1" customHeight="1">
      <c r="A20" s="288" t="s">
        <v>1759</v>
      </c>
      <c r="B20" s="292">
        <f ca="1">IFERROR(IF(OR(VLOOKUP(A20,INDIRECT(BS!$J$1&amp;"[[Sub Group]:[BS&amp;PL_Face]]"),2,FALSE)="Liability",VLOOKUP(A20,INDIRECT(BS!$J$1&amp;"[[Sub Group]:[BS&amp;PL_Face]]"),2,FALSE)="Income"),-1,1),1)*SUMIF(INDIRECT(BS!$J$1&amp;"[Sub Group]"),A20,INDIRECT(BS!$J$1&amp;"[Rs. In Hundereds]"))</f>
        <v>0</v>
      </c>
      <c r="C20" s="438"/>
    </row>
    <row r="21" spans="1:3" ht="18" customHeight="1">
      <c r="A21" s="288" t="s">
        <v>1791</v>
      </c>
      <c r="B21" s="292">
        <f ca="1">IFERROR(IF(OR(VLOOKUP(A21,INDIRECT(BS!$J$1&amp;"[[Sub Group]:[BS&amp;PL_Face]]"),2,FALSE)="Liability",VLOOKUP(A21,INDIRECT(BS!$J$1&amp;"[[Sub Group]:[BS&amp;PL_Face]]"),2,FALSE)="Income"),-1,1),1)*SUMIF(INDIRECT(BS!$J$1&amp;"[Sub Group]"),A21,INDIRECT(BS!$J$1&amp;"[Rs. In Hundereds]"))</f>
        <v>0</v>
      </c>
      <c r="C21" s="438">
        <v>11.38</v>
      </c>
    </row>
    <row r="22" spans="1:3" ht="18" hidden="1" customHeight="1">
      <c r="A22" s="288" t="s">
        <v>1792</v>
      </c>
      <c r="B22" s="292">
        <f ca="1">IFERROR(IF(OR(VLOOKUP(A22,INDIRECT(BS!$J$1&amp;"[[Sub Group]:[BS&amp;PL_Face]]"),2,FALSE)="Liability",VLOOKUP(A22,INDIRECT(BS!$J$1&amp;"[[Sub Group]:[BS&amp;PL_Face]]"),2,FALSE)="Income"),-1,1),1)*SUMIF(INDIRECT(BS!$J$1&amp;"[Sub Group]"),A22,INDIRECT(BS!$J$1&amp;"[Rs. In Hundereds]"))</f>
        <v>0</v>
      </c>
      <c r="C22" s="438">
        <v>0</v>
      </c>
    </row>
    <row r="23" spans="1:3" ht="18" customHeight="1">
      <c r="A23" s="288" t="s">
        <v>1793</v>
      </c>
      <c r="B23" s="292">
        <f ca="1">IFERROR(IF(OR(VLOOKUP(A23,INDIRECT(BS!$J$1&amp;"[[Sub Group]:[BS&amp;PL_Face]]"),2,FALSE)="Liability",VLOOKUP(A23,INDIRECT(BS!$J$1&amp;"[[Sub Group]:[BS&amp;PL_Face]]"),2,FALSE)="Income"),-1,1),1)*SUMIF(INDIRECT(BS!$J$1&amp;"[Sub Group]"),A23,INDIRECT(BS!$J$1&amp;"[Rs. In Hundereds]"))</f>
        <v>0</v>
      </c>
      <c r="C23" s="438">
        <v>42.6</v>
      </c>
    </row>
    <row r="24" spans="1:3" ht="18" customHeight="1">
      <c r="A24" s="288" t="s">
        <v>1794</v>
      </c>
      <c r="B24" s="292">
        <f ca="1">IFERROR(IF(OR(VLOOKUP(A24,INDIRECT(BS!$J$1&amp;"[[Sub Group]:[BS&amp;PL_Face]]"),2,FALSE)="Liability",VLOOKUP(A24,INDIRECT(BS!$J$1&amp;"[[Sub Group]:[BS&amp;PL_Face]]"),2,FALSE)="Income"),-1,1),1)*SUMIF(INDIRECT(BS!$J$1&amp;"[Sub Group]"),A24,INDIRECT(BS!$J$1&amp;"[Rs. In Hundereds]"))</f>
        <v>0</v>
      </c>
      <c r="C24" s="438"/>
    </row>
    <row r="25" spans="1:3" ht="18" customHeight="1">
      <c r="A25" s="288" t="s">
        <v>1795</v>
      </c>
      <c r="B25" s="292">
        <f ca="1">IFERROR(IF(OR(VLOOKUP(A25,INDIRECT(BS!$J$1&amp;"[[Sub Group]:[BS&amp;PL_Face]]"),2,FALSE)="Liability",VLOOKUP(A25,INDIRECT(BS!$J$1&amp;"[[Sub Group]:[BS&amp;PL_Face]]"),2,FALSE)="Income"),-1,1),1)*SUMIF(INDIRECT(BS!$J$1&amp;"[Sub Group]"),A25,INDIRECT(BS!$J$1&amp;"[Rs. In Hundereds]"))</f>
        <v>0</v>
      </c>
      <c r="C25" s="438"/>
    </row>
    <row r="26" spans="1:3" ht="18" customHeight="1">
      <c r="A26" s="288"/>
      <c r="B26" s="292"/>
      <c r="C26" s="438"/>
    </row>
    <row r="27" spans="1:3" ht="18" hidden="1" customHeight="1">
      <c r="A27" s="288"/>
      <c r="B27" s="292"/>
      <c r="C27" s="438"/>
    </row>
    <row r="28" spans="1:3" ht="18" hidden="1" customHeight="1">
      <c r="A28" s="288"/>
      <c r="B28" s="292"/>
      <c r="C28" s="438"/>
    </row>
    <row r="29" spans="1:3" ht="18" hidden="1" customHeight="1">
      <c r="A29" s="355"/>
      <c r="B29" s="436"/>
      <c r="C29" s="439"/>
    </row>
    <row r="30" spans="1:3">
      <c r="A30" s="264" t="s">
        <v>88</v>
      </c>
      <c r="B30" s="265">
        <f ca="1">SUM(B19:B28)</f>
        <v>0</v>
      </c>
      <c r="C30" s="265">
        <f>SUM(C19:C28)</f>
        <v>53.980000000000004</v>
      </c>
    </row>
    <row r="31" spans="1:3" ht="8.25" customHeight="1">
      <c r="A31" s="354"/>
      <c r="B31" s="251"/>
      <c r="C31" s="251"/>
    </row>
    <row r="32" spans="1:3">
      <c r="A32" s="420" t="str">
        <f ca="1">"Note "&amp;PL!$E$15&amp;"  COST OF MATERIAL CONSUMED"</f>
        <v>Note 0  COST OF MATERIAL CONSUMED</v>
      </c>
      <c r="B32" s="266"/>
      <c r="C32" s="262"/>
    </row>
    <row r="33" spans="1:8" ht="9" customHeight="1">
      <c r="A33" s="422"/>
      <c r="B33" s="262"/>
      <c r="C33" s="262"/>
    </row>
    <row r="34" spans="1:8">
      <c r="A34" s="1082" t="s">
        <v>63</v>
      </c>
      <c r="B34" s="568" t="str">
        <f>B6</f>
        <v>March 2023</v>
      </c>
      <c r="C34" s="568" t="str">
        <f>C6</f>
        <v>March 2022</v>
      </c>
    </row>
    <row r="35" spans="1:8">
      <c r="A35" s="1083"/>
      <c r="B35" s="568" t="str">
        <f>B7</f>
        <v>Rs. In Thousands</v>
      </c>
      <c r="C35" s="568" t="str">
        <f>C7</f>
        <v>Rs. In Thousands</v>
      </c>
    </row>
    <row r="36" spans="1:8">
      <c r="A36" s="324"/>
      <c r="B36" s="440"/>
      <c r="C36" s="326"/>
    </row>
    <row r="37" spans="1:8">
      <c r="A37" s="325" t="s">
        <v>1854</v>
      </c>
      <c r="B37" s="292">
        <f ca="1">IFERROR(IF(OR(VLOOKUP(A37,INDIRECT(BS!$J$1&amp;"[[Sub Group]:[BS&amp;PL_Face]]"),2,FALSE)="Liability",VLOOKUP(A37,INDIRECT(BS!$J$1&amp;"[[Sub Group]:[BS&amp;PL_Face]]"),2,FALSE)="Income"),-1,1),1)*SUMIF(INDIRECT(BS!$J$1&amp;"[Sub Group]"),A37,INDIRECT(BS!$J$1&amp;"[Rs. In Hundereds]"))</f>
        <v>0</v>
      </c>
      <c r="C37" s="274">
        <v>0</v>
      </c>
    </row>
    <row r="38" spans="1:8" hidden="1">
      <c r="A38" s="325" t="s">
        <v>1764</v>
      </c>
      <c r="B38" s="292">
        <f ca="1">IFERROR(IF(OR(VLOOKUP(A38,INDIRECT(BS!$J$1&amp;"[[Sub Group]:[BS&amp;PL_Face]]"),2,FALSE)="Liability",VLOOKUP(A38,INDIRECT(BS!$J$1&amp;"[[Sub Group]:[BS&amp;PL_Face]]"),2,FALSE)="Income"),-1,1),1)*SUMIF(INDIRECT(BS!$J$1&amp;"[Sub Group]"),A38,INDIRECT(BS!$J$1&amp;"[Rs. In Hundereds]"))</f>
        <v>0</v>
      </c>
      <c r="C38" s="274">
        <v>0</v>
      </c>
    </row>
    <row r="39" spans="1:8">
      <c r="A39" s="325" t="s">
        <v>1855</v>
      </c>
      <c r="B39" s="292">
        <f ca="1">IFERROR(IF(OR(VLOOKUP(A39,INDIRECT(BS!$J$1&amp;"[[Sub Group]:[BS&amp;PL_Face]]"),2,FALSE)="Liability",VLOOKUP(A39,INDIRECT(BS!$J$1&amp;"[[Sub Group]:[BS&amp;PL_Face]]"),2,FALSE)="Income"),-1,1),1)*SUMIF(INDIRECT(BS!$J$1&amp;"[Sub Group]"),A39,INDIRECT(BS!$J$1&amp;"[Rs. In Hundereds]"))</f>
        <v>0</v>
      </c>
      <c r="C39" s="274">
        <v>0</v>
      </c>
    </row>
    <row r="40" spans="1:8">
      <c r="A40" s="324"/>
      <c r="B40" s="442"/>
      <c r="C40" s="327"/>
    </row>
    <row r="41" spans="1:8">
      <c r="A41" s="289" t="s">
        <v>633</v>
      </c>
      <c r="B41" s="263">
        <f ca="1">SUM(B37:B40)</f>
        <v>0</v>
      </c>
      <c r="C41" s="263">
        <f>SUM(C37:C38)</f>
        <v>0</v>
      </c>
      <c r="G41" s="29"/>
      <c r="H41" s="29"/>
    </row>
    <row r="42" spans="1:8" ht="8.25" customHeight="1">
      <c r="A42" s="304"/>
      <c r="B42" s="423"/>
      <c r="C42" s="423"/>
    </row>
    <row r="43" spans="1:8">
      <c r="A43" s="420" t="str">
        <f ca="1">"Note "&amp;PL!$E$16&amp;"  PURCHASE OF STOCK IN TRADE"</f>
        <v>Note 19  PURCHASE OF STOCK IN TRADE</v>
      </c>
      <c r="B43" s="266"/>
      <c r="C43" s="262"/>
    </row>
    <row r="44" spans="1:8" ht="5.25" customHeight="1">
      <c r="A44" s="422"/>
      <c r="B44" s="262"/>
      <c r="C44" s="262"/>
    </row>
    <row r="45" spans="1:8">
      <c r="A45" s="1082" t="s">
        <v>63</v>
      </c>
      <c r="B45" s="568" t="str">
        <f>B34</f>
        <v>March 2023</v>
      </c>
      <c r="C45" s="568" t="str">
        <f>C34</f>
        <v>March 2022</v>
      </c>
    </row>
    <row r="46" spans="1:8">
      <c r="A46" s="1083"/>
      <c r="B46" s="568" t="str">
        <f>B35</f>
        <v>Rs. In Thousands</v>
      </c>
      <c r="C46" s="568" t="str">
        <f>C35</f>
        <v>Rs. In Thousands</v>
      </c>
    </row>
    <row r="47" spans="1:8" ht="0.75" customHeight="1">
      <c r="A47" s="324"/>
      <c r="B47" s="326"/>
      <c r="C47" s="326"/>
    </row>
    <row r="48" spans="1:8">
      <c r="A48" s="325" t="s">
        <v>410</v>
      </c>
      <c r="B48" s="292">
        <f ca="1">IFERROR(IF(OR(VLOOKUP(A48,INDIRECT(BS!$J$1&amp;"[[Sub Group]:[BS&amp;PL_Face]]"),2,FALSE)="Liability",VLOOKUP(A48,INDIRECT(BS!$J$1&amp;"[[Sub Group]:[BS&amp;PL_Face]]"),2,FALSE)="Income"),-1,1),1)*SUMIF(INDIRECT(BS!$J$1&amp;"[Sub Group]"),A48,INDIRECT(BS!$J$1&amp;"[Rs. In Hundereds]"))+IFERROR(IF(OR(VLOOKUP(A49,INDIRECT(BS!$J$1&amp;"[[Sub Group]:[BS&amp;PL_Face]]"),2,FALSE)="Liability",VLOOKUP(A49,INDIRECT(BS!$J$1&amp;"[[Sub Group]:[BS&amp;PL_Face]]"),2,FALSE)="Income"),-1,1),1)*SUMIF(INDIRECT(BS!$J$1&amp;"[Sub Group]"),A49,INDIRECT(BS!$J$1&amp;"[Rs. In Hundereds]"))</f>
        <v>0</v>
      </c>
      <c r="C48" s="980">
        <v>7508.48</v>
      </c>
    </row>
    <row r="49" spans="1:3">
      <c r="A49" s="325" t="s">
        <v>1796</v>
      </c>
      <c r="B49" s="292">
        <f ca="1">-IFERROR(IF(OR(VLOOKUP(A49,INDIRECT(BS!$J$1&amp;"[[Sub Group]:[BS&amp;PL_Face]]"),2,FALSE)="Liability",VLOOKUP(A49,INDIRECT(BS!$J$1&amp;"[[Sub Group]:[BS&amp;PL_Face]]"),2,FALSE)="Income"),-1,1),1)*SUMIF(INDIRECT(BS!$J$1&amp;"[Sub Group]"),A49,INDIRECT(BS!$J$1&amp;"[Rs. In Hundereds]"))</f>
        <v>0</v>
      </c>
      <c r="C49" s="980">
        <v>-123.6</v>
      </c>
    </row>
    <row r="50" spans="1:3">
      <c r="A50" s="289" t="s">
        <v>88</v>
      </c>
      <c r="B50" s="263">
        <f ca="1">SUM(B48:B49)</f>
        <v>0</v>
      </c>
      <c r="C50" s="263">
        <f>SUM(C48:C49)</f>
        <v>7384.8799999999992</v>
      </c>
    </row>
    <row r="51" spans="1:3">
      <c r="A51" s="304"/>
      <c r="B51" s="423"/>
      <c r="C51" s="423"/>
    </row>
    <row r="52" spans="1:3">
      <c r="A52" s="420" t="str">
        <f ca="1">"Note "&amp;PL!$E$17&amp;"  CHANGES IN INVENTORIES"</f>
        <v>Note 20  CHANGES IN INVENTORIES</v>
      </c>
      <c r="B52" s="262"/>
      <c r="C52" s="262"/>
    </row>
    <row r="53" spans="1:3" ht="5.25" customHeight="1">
      <c r="A53" s="422"/>
      <c r="B53" s="262"/>
      <c r="C53" s="262"/>
    </row>
    <row r="54" spans="1:3">
      <c r="A54" s="1084" t="s">
        <v>63</v>
      </c>
      <c r="B54" s="568" t="str">
        <f>B6</f>
        <v>March 2023</v>
      </c>
      <c r="C54" s="568" t="str">
        <f>C6</f>
        <v>March 2022</v>
      </c>
    </row>
    <row r="55" spans="1:3">
      <c r="A55" s="1085"/>
      <c r="B55" s="568" t="str">
        <f>B7</f>
        <v>Rs. In Thousands</v>
      </c>
      <c r="C55" s="568" t="str">
        <f>C7</f>
        <v>Rs. In Thousands</v>
      </c>
    </row>
    <row r="56" spans="1:3">
      <c r="A56" s="270" t="s">
        <v>91</v>
      </c>
      <c r="B56" s="271"/>
      <c r="C56" s="272"/>
    </row>
    <row r="57" spans="1:3">
      <c r="A57" s="273" t="s">
        <v>92</v>
      </c>
      <c r="B57" s="292">
        <f ca="1">IFERROR(IF(OR(VLOOKUP(A57,INDIRECT(BS!$J$1&amp;"[[Sub Group]:[BS&amp;PL_Face]]"),2,FALSE)="Liability",VLOOKUP(A57,INDIRECT(BS!$J$1&amp;"[[Sub Group]:[BS&amp;PL_Face]]"),2,FALSE)="Income"),-1,1),1)*SUMIF(INDIRECT(BS!$J$1&amp;"[Sub Group]"),A57,INDIRECT(BS!$J$1&amp;"[Rs. In Hundereds]"))</f>
        <v>0</v>
      </c>
      <c r="C57" s="441">
        <v>6952.6900000000005</v>
      </c>
    </row>
    <row r="58" spans="1:3" hidden="1">
      <c r="A58" s="273" t="s">
        <v>93</v>
      </c>
      <c r="B58" s="274">
        <v>0</v>
      </c>
      <c r="C58" s="274"/>
    </row>
    <row r="59" spans="1:3" hidden="1">
      <c r="A59" s="273"/>
      <c r="B59" s="441"/>
      <c r="C59" s="274"/>
    </row>
    <row r="60" spans="1:3">
      <c r="A60" s="275"/>
      <c r="B60" s="276">
        <f ca="1">SUM(B57:B59)</f>
        <v>0</v>
      </c>
      <c r="C60" s="276">
        <f>SUM(C57:C59)</f>
        <v>6952.6900000000005</v>
      </c>
    </row>
    <row r="61" spans="1:3" ht="6.75" customHeight="1">
      <c r="A61" s="275"/>
      <c r="B61" s="277"/>
      <c r="C61" s="278"/>
    </row>
    <row r="62" spans="1:3">
      <c r="A62" s="279" t="s">
        <v>94</v>
      </c>
      <c r="B62" s="277"/>
      <c r="C62" s="280"/>
    </row>
    <row r="63" spans="1:3">
      <c r="A63" s="273" t="s">
        <v>92</v>
      </c>
      <c r="B63" s="274">
        <f>C57</f>
        <v>6952.6900000000005</v>
      </c>
      <c r="C63" s="274">
        <v>3170.41</v>
      </c>
    </row>
    <row r="64" spans="1:3" hidden="1">
      <c r="A64" s="273" t="s">
        <v>93</v>
      </c>
      <c r="B64" s="274">
        <f>C58</f>
        <v>0</v>
      </c>
      <c r="C64" s="274">
        <v>0</v>
      </c>
    </row>
    <row r="65" spans="1:9" hidden="1">
      <c r="A65" s="273"/>
      <c r="B65" s="274"/>
      <c r="C65" s="274"/>
    </row>
    <row r="66" spans="1:9">
      <c r="A66" s="281"/>
      <c r="B66" s="282">
        <f>SUM(B63:B65)</f>
        <v>6952.6900000000005</v>
      </c>
      <c r="C66" s="282">
        <f>SUM(C63:C65)</f>
        <v>3170.41</v>
      </c>
    </row>
    <row r="67" spans="1:9" ht="8.25" customHeight="1">
      <c r="A67" s="281"/>
      <c r="B67" s="277"/>
      <c r="C67" s="280"/>
    </row>
    <row r="68" spans="1:9">
      <c r="A68" s="283" t="s">
        <v>95</v>
      </c>
      <c r="B68" s="284">
        <f ca="1">-B60+B66</f>
        <v>6952.6900000000005</v>
      </c>
      <c r="C68" s="285">
        <f>+C66-C60</f>
        <v>-3782.2800000000007</v>
      </c>
      <c r="H68" s="29"/>
      <c r="I68" s="29"/>
    </row>
    <row r="69" spans="1:9" ht="19.5" customHeight="1">
      <c r="A69" s="354"/>
      <c r="B69" s="251"/>
      <c r="C69" s="251"/>
    </row>
    <row r="70" spans="1:9">
      <c r="A70" s="420" t="str">
        <f ca="1">"Note "&amp;PL!$E$18&amp;"  EMPLOYEE BENEFITS EXPENSES"</f>
        <v>Note 21  EMPLOYEE BENEFITS EXPENSES</v>
      </c>
      <c r="B70" s="266"/>
      <c r="C70" s="266"/>
    </row>
    <row r="71" spans="1:9" ht="9.75" customHeight="1">
      <c r="A71" s="298"/>
      <c r="B71" s="262"/>
      <c r="C71" s="262"/>
    </row>
    <row r="72" spans="1:9">
      <c r="A72" s="1082" t="s">
        <v>63</v>
      </c>
      <c r="B72" s="253" t="str">
        <f>$B$6</f>
        <v>March 2023</v>
      </c>
      <c r="C72" s="253" t="str">
        <f>$C$6</f>
        <v>March 2022</v>
      </c>
    </row>
    <row r="73" spans="1:9">
      <c r="A73" s="1082"/>
      <c r="B73" s="263" t="str">
        <f>BS!$F$6</f>
        <v>Rs. In Thousands</v>
      </c>
      <c r="C73" s="263" t="str">
        <f>BS!$G$6</f>
        <v>Rs. In Thousands</v>
      </c>
    </row>
    <row r="74" spans="1:9">
      <c r="A74" s="286" t="s">
        <v>1797</v>
      </c>
      <c r="B74" s="287">
        <f ca="1">IFERROR(IF(OR(VLOOKUP(A74,INDIRECT(BS!$J$1&amp;"[[Sub Group]:[BS&amp;PL_Face]]"),2,FALSE)="Liability",VLOOKUP(A74,INDIRECT(BS!$J$1&amp;"[[Sub Group]:[BS&amp;PL_Face]]"),2,FALSE)="Income"),-1,1),1)*SUMIF(INDIRECT(BS!$J$1&amp;"[Sub Group]"),A74,INDIRECT(BS!$J$1&amp;"[Rs. In Hundereds]"))</f>
        <v>0</v>
      </c>
      <c r="C74" s="981">
        <v>2520</v>
      </c>
    </row>
    <row r="75" spans="1:9">
      <c r="A75" s="288" t="s">
        <v>639</v>
      </c>
      <c r="B75" s="274">
        <f ca="1">IFERROR(IF(OR(VLOOKUP(A75,INDIRECT(BS!$J$1&amp;"[[Sub Group]:[BS&amp;PL_Face]]"),2,FALSE)="Liability",VLOOKUP(A75,INDIRECT(BS!$J$1&amp;"[[Sub Group]:[BS&amp;PL_Face]]"),2,FALSE)="Income"),-1,1),1)*SUMIF(INDIRECT(BS!$J$1&amp;"[Sub Group]"),A75,INDIRECT(BS!$J$1&amp;"[Rs. In Hundereds]"))</f>
        <v>0</v>
      </c>
      <c r="C75" s="274">
        <v>5930.34</v>
      </c>
    </row>
    <row r="76" spans="1:9">
      <c r="A76" s="288" t="s">
        <v>1850</v>
      </c>
      <c r="B76" s="274">
        <f ca="1">IFERROR(IF(OR(VLOOKUP(A76,INDIRECT(BS!$J$1&amp;"[[Sub Group]:[BS&amp;PL_Face]]"),2,FALSE)="Liability",VLOOKUP(A76,INDIRECT(BS!$J$1&amp;"[[Sub Group]:[BS&amp;PL_Face]]"),2,FALSE)="Income"),-1,1),1)*SUMIF(INDIRECT(BS!$J$1&amp;"[Sub Group]"),A76,INDIRECT(BS!$J$1&amp;"[Rs. In Hundereds]"))</f>
        <v>0</v>
      </c>
      <c r="C76" s="274">
        <v>0</v>
      </c>
    </row>
    <row r="77" spans="1:9">
      <c r="A77" s="288" t="s">
        <v>1798</v>
      </c>
      <c r="B77" s="274">
        <f ca="1">IFERROR(IF(OR(VLOOKUP(A77,INDIRECT(BS!$J$1&amp;"[[Sub Group]:[BS&amp;PL_Face]]"),2,FALSE)="Liability",VLOOKUP(A77,INDIRECT(BS!$J$1&amp;"[[Sub Group]:[BS&amp;PL_Face]]"),2,FALSE)="Income"),-1,1),1)*SUMIF(INDIRECT(BS!$J$1&amp;"[Sub Group]"),A77,INDIRECT(BS!$J$1&amp;"[Rs. In Hundereds]"))</f>
        <v>0</v>
      </c>
      <c r="C77" s="980">
        <v>765.56</v>
      </c>
    </row>
    <row r="78" spans="1:9" hidden="1">
      <c r="A78" s="288" t="s">
        <v>99</v>
      </c>
      <c r="B78" s="274">
        <f ca="1">IFERROR(IF(OR(VLOOKUP(A78,INDIRECT(BS!$J$1&amp;"[[Sub Group]:[BS&amp;PL_Face]]"),2,FALSE)="Liability",VLOOKUP(A78,INDIRECT(BS!$J$1&amp;"[[Sub Group]:[BS&amp;PL_Face]]"),2,FALSE)="Income"),-1,1),1)*SUMIF(INDIRECT(BS!$J$1&amp;"[Sub Group]"),A78,INDIRECT(BS!$J$1&amp;"[Rs. In Hundereds]"))</f>
        <v>0</v>
      </c>
      <c r="C78" s="274">
        <v>0</v>
      </c>
    </row>
    <row r="79" spans="1:9" hidden="1">
      <c r="A79" s="288"/>
      <c r="B79" s="274"/>
      <c r="C79" s="274"/>
    </row>
    <row r="80" spans="1:9">
      <c r="A80" s="289" t="s">
        <v>88</v>
      </c>
      <c r="B80" s="265">
        <f ca="1">SUM(B74:B79)</f>
        <v>0</v>
      </c>
      <c r="C80" s="265">
        <f>SUM(C74:C79)</f>
        <v>9215.9</v>
      </c>
    </row>
    <row r="81" spans="1:3" ht="6.75" customHeight="1">
      <c r="A81" s="354"/>
      <c r="B81" s="251"/>
      <c r="C81" s="251"/>
    </row>
    <row r="82" spans="1:3">
      <c r="A82" s="420" t="str">
        <f ca="1">"Note "&amp;PL!$E$19&amp;"  FINANCE COSTS"</f>
        <v>Note 0  FINANCE COSTS</v>
      </c>
      <c r="B82" s="266"/>
      <c r="C82" s="266"/>
    </row>
    <row r="83" spans="1:3" ht="9.75" customHeight="1">
      <c r="A83" s="298"/>
      <c r="B83" s="262"/>
      <c r="C83" s="262"/>
    </row>
    <row r="84" spans="1:3">
      <c r="A84" s="1082" t="s">
        <v>63</v>
      </c>
      <c r="B84" s="253" t="str">
        <f>$B$6</f>
        <v>March 2023</v>
      </c>
      <c r="C84" s="253" t="str">
        <f>$C$6</f>
        <v>March 2022</v>
      </c>
    </row>
    <row r="85" spans="1:3">
      <c r="A85" s="1082"/>
      <c r="B85" s="263" t="str">
        <f>BS!$F$6</f>
        <v>Rs. In Thousands</v>
      </c>
      <c r="C85" s="263" t="str">
        <f>BS!$G$6</f>
        <v>Rs. In Thousands</v>
      </c>
    </row>
    <row r="86" spans="1:3">
      <c r="A86" s="286" t="s">
        <v>101</v>
      </c>
      <c r="B86" s="287">
        <f ca="1">IFERROR(IF(OR(VLOOKUP(A86,INDIRECT(BS!$J$1&amp;"[[Sub Group]:[BS&amp;PL_Face]]"),2,FALSE)="Liability",VLOOKUP(A86,INDIRECT(BS!$J$1&amp;"[[Sub Group]:[BS&amp;PL_Face]]"),2,FALSE)="Income"),-1,1),1)*SUMIF(INDIRECT(BS!$J$1&amp;"[Sub Group]"),A86,INDIRECT(BS!$J$1&amp;"[Rs. In Hundereds]"))</f>
        <v>0</v>
      </c>
      <c r="C86" s="287">
        <v>0</v>
      </c>
    </row>
    <row r="87" spans="1:3" hidden="1">
      <c r="A87" s="288" t="s">
        <v>637</v>
      </c>
      <c r="B87" s="274">
        <f ca="1">IFERROR(IF(OR(VLOOKUP(A87,INDIRECT(BS!$J$1&amp;"[[Sub Group]:[BS&amp;PL_Face]]"),2,FALSE)="Liability",VLOOKUP(A87,INDIRECT(BS!$J$1&amp;"[[Sub Group]:[BS&amp;PL_Face]]"),2,FALSE)="Income"),-1,1),1)*SUMIF(INDIRECT(BS!$J$1&amp;"[Sub Group]"),A87,INDIRECT(BS!$J$1&amp;"[Rs. In Hundereds]"))</f>
        <v>0</v>
      </c>
      <c r="C87" s="274"/>
    </row>
    <row r="88" spans="1:3" hidden="1">
      <c r="A88" s="288" t="s">
        <v>99</v>
      </c>
      <c r="B88" s="274">
        <f ca="1">IFERROR(IF(OR(VLOOKUP(A88,INDIRECT(BS!$J$1&amp;"[[Sub Group]:[BS&amp;PL_Face]]"),2,FALSE)="Liability",VLOOKUP(A88,INDIRECT(BS!$J$1&amp;"[[Sub Group]:[BS&amp;PL_Face]]"),2,FALSE)="Income"),-1,1),1)*SUMIF(INDIRECT(BS!$J$1&amp;"[Sub Group]"),A88,INDIRECT(BS!$J$1&amp;"[Rs. In Hundereds]"))</f>
        <v>0</v>
      </c>
      <c r="C88" s="274">
        <v>0</v>
      </c>
    </row>
    <row r="89" spans="1:3">
      <c r="A89" s="288"/>
      <c r="B89" s="274"/>
      <c r="C89" s="274"/>
    </row>
    <row r="90" spans="1:3">
      <c r="A90" s="289" t="s">
        <v>88</v>
      </c>
      <c r="B90" s="265">
        <f ca="1">SUM(B86:B89)</f>
        <v>0</v>
      </c>
      <c r="C90" s="265">
        <f>SUM(C86:C89)</f>
        <v>0</v>
      </c>
    </row>
    <row r="91" spans="1:3" ht="18" hidden="1" customHeight="1">
      <c r="A91" s="354"/>
      <c r="B91" s="251"/>
      <c r="C91" s="251"/>
    </row>
    <row r="92" spans="1:3" ht="6.75" customHeight="1">
      <c r="A92" s="354"/>
      <c r="B92" s="251"/>
      <c r="C92" s="251"/>
    </row>
    <row r="93" spans="1:3" hidden="1">
      <c r="A93" s="356" t="s">
        <v>269</v>
      </c>
      <c r="B93" s="249"/>
      <c r="C93" s="262"/>
    </row>
    <row r="94" spans="1:3" ht="7.5" hidden="1" customHeight="1">
      <c r="A94" s="298"/>
      <c r="B94" s="262"/>
      <c r="C94" s="262"/>
    </row>
    <row r="95" spans="1:3" hidden="1">
      <c r="A95" s="1086" t="s">
        <v>63</v>
      </c>
      <c r="B95" s="404" t="str">
        <f>B6</f>
        <v>March 2023</v>
      </c>
      <c r="C95" s="404" t="str">
        <f>C6</f>
        <v>March 2022</v>
      </c>
    </row>
    <row r="96" spans="1:3" hidden="1">
      <c r="A96" s="1086"/>
      <c r="B96" s="404" t="str">
        <f>B7</f>
        <v>Rs. In Thousands</v>
      </c>
      <c r="C96" s="404" t="str">
        <f>C7</f>
        <v>Rs. In Thousands</v>
      </c>
    </row>
    <row r="97" spans="1:3" ht="10.5" hidden="1" customHeight="1">
      <c r="A97" s="298"/>
      <c r="B97" s="262"/>
      <c r="C97" s="262"/>
    </row>
    <row r="98" spans="1:3" hidden="1">
      <c r="A98" s="354" t="s">
        <v>102</v>
      </c>
      <c r="B98" s="617">
        <f ca="1">IFERROR(IF(OR(VLOOKUP(A98,INDIRECT(BS!$J$1&amp;"[[Sub Group]:[BS&amp;PL_Face]]"),2,FALSE)="Liability",VLOOKUP(A98,INDIRECT(BS!$J$1&amp;"[[Sub Group]:[BS&amp;PL_Face]]"),2,FALSE)="Income"),-1,1),1)*SUMIF(INDIRECT(BS!$J$1&amp;"[Sub Group]"),A98,INDIRECT(BS!$J$1&amp;"[Rs. In Hundereds]"))</f>
        <v>0</v>
      </c>
      <c r="C98" s="617">
        <v>0</v>
      </c>
    </row>
    <row r="99" spans="1:3" hidden="1">
      <c r="A99" s="354" t="s">
        <v>101</v>
      </c>
      <c r="B99" s="251">
        <f ca="1">IFERROR(IF(OR(VLOOKUP(A99,INDIRECT(BS!$J$1&amp;"[[Sub Group]:[BS&amp;PL_Face]]"),2,FALSE)="Liability",VLOOKUP(A99,INDIRECT(BS!$J$1&amp;"[[Sub Group]:[BS&amp;PL_Face]]"),2,FALSE)="Income"),-1,1),1)*SUMIF(INDIRECT(BS!$J$1&amp;"[Sub Group]"),A99,INDIRECT(BS!$J$1&amp;"[Rs. In Hundereds]"))</f>
        <v>0</v>
      </c>
      <c r="C99" s="251">
        <v>0</v>
      </c>
    </row>
    <row r="100" spans="1:3" hidden="1">
      <c r="A100" s="298"/>
      <c r="B100" s="262"/>
      <c r="C100" s="262">
        <v>0</v>
      </c>
    </row>
    <row r="101" spans="1:3" hidden="1">
      <c r="A101" s="304" t="s">
        <v>88</v>
      </c>
      <c r="B101" s="249">
        <f ca="1">SUM(B98:B100)</f>
        <v>0</v>
      </c>
      <c r="C101" s="249">
        <f>SUM(C98:C100)</f>
        <v>0</v>
      </c>
    </row>
    <row r="102" spans="1:3" hidden="1">
      <c r="A102" s="297"/>
      <c r="B102" s="251"/>
      <c r="C102" s="251"/>
    </row>
    <row r="103" spans="1:3">
      <c r="A103" s="420" t="str">
        <f ca="1">"Note "&amp;PL!$E$21&amp;"  OTHER EXPENSES"</f>
        <v>Note 0  OTHER EXPENSES</v>
      </c>
      <c r="B103" s="249"/>
      <c r="C103" s="262"/>
    </row>
    <row r="104" spans="1:3">
      <c r="A104" s="1082" t="s">
        <v>63</v>
      </c>
      <c r="B104" s="568" t="str">
        <f>B6</f>
        <v>March 2023</v>
      </c>
      <c r="C104" s="568" t="str">
        <f>C6</f>
        <v>March 2022</v>
      </c>
    </row>
    <row r="105" spans="1:3">
      <c r="A105" s="1087"/>
      <c r="B105" s="568" t="str">
        <f>B7</f>
        <v>Rs. In Thousands</v>
      </c>
      <c r="C105" s="568" t="str">
        <f>C7</f>
        <v>Rs. In Thousands</v>
      </c>
    </row>
    <row r="106" spans="1:3">
      <c r="A106" s="1001"/>
      <c r="B106" s="254"/>
      <c r="C106" s="254"/>
    </row>
    <row r="107" spans="1:3">
      <c r="A107" s="1007" t="s">
        <v>1757</v>
      </c>
      <c r="B107" s="274">
        <f ca="1">IFERROR(IF(OR(VLOOKUP(A107,INDIRECT(BS!$J$1&amp;"[[Sub Group]:[BS&amp;PL_Face]]"),2,FALSE)="Liability",VLOOKUP(A107,INDIRECT(BS!$J$1&amp;"[[Sub Group]:[BS&amp;PL_Face]]"),2,FALSE)="Income"),-1,1),1)*SUMIF(INDIRECT(BS!$J$1&amp;"[Sub Group]"),A107,INDIRECT(BS!$J$1&amp;"[Rs. In Hundereds]"))</f>
        <v>0</v>
      </c>
      <c r="C107" s="996"/>
    </row>
    <row r="108" spans="1:3">
      <c r="A108" s="1007" t="s">
        <v>100</v>
      </c>
      <c r="B108" s="274">
        <f ca="1">IFERROR(IF(OR(VLOOKUP(A108,INDIRECT(BS!$J$1&amp;"[[Sub Group]:[BS&amp;PL_Face]]"),2,FALSE)="Liability",VLOOKUP(A108,INDIRECT(BS!$J$1&amp;"[[Sub Group]:[BS&amp;PL_Face]]"),2,FALSE)="Income"),-1,1),1)*SUMIF(INDIRECT(BS!$J$1&amp;"[Sub Group]"),A108,INDIRECT(BS!$J$1&amp;"[Rs. In Hundereds]"))</f>
        <v>0</v>
      </c>
      <c r="C108" s="996"/>
    </row>
    <row r="109" spans="1:3">
      <c r="A109" s="1007" t="s">
        <v>650</v>
      </c>
      <c r="B109" s="274"/>
      <c r="C109" s="996"/>
    </row>
    <row r="110" spans="1:3">
      <c r="A110" s="1007" t="s">
        <v>1799</v>
      </c>
      <c r="B110" s="274">
        <f ca="1">IFERROR(IF(OR(VLOOKUP(A110,INDIRECT(BS!$J$1&amp;"[[Sub Group]:[BS&amp;PL_Face]]"),2,FALSE)="Liability",VLOOKUP(A110,INDIRECT(BS!$J$1&amp;"[[Sub Group]:[BS&amp;PL_Face]]"),2,FALSE)="Income"),-1,1),1)*SUMIF(INDIRECT(BS!$J$1&amp;"[Sub Group]"),A110,INDIRECT(BS!$J$1&amp;"[Rs. In Hundereds]"))</f>
        <v>0</v>
      </c>
      <c r="C110" s="996"/>
    </row>
    <row r="111" spans="1:3">
      <c r="A111" s="1007" t="s">
        <v>1800</v>
      </c>
      <c r="B111" s="274">
        <f ca="1">IFERROR(IF(OR(VLOOKUP(A111,INDIRECT(BS!$J$1&amp;"[[Sub Group]:[BS&amp;PL_Face]]"),2,FALSE)="Liability",VLOOKUP(A111,INDIRECT(BS!$J$1&amp;"[[Sub Group]:[BS&amp;PL_Face]]"),2,FALSE)="Income"),-1,1),1)*SUMIF(INDIRECT(BS!$J$1&amp;"[Sub Group]"),A111,INDIRECT(BS!$J$1&amp;"[Rs. In Hundereds]"))</f>
        <v>0</v>
      </c>
      <c r="C111" s="996"/>
    </row>
    <row r="112" spans="1:3">
      <c r="A112" s="1007" t="s">
        <v>1801</v>
      </c>
      <c r="B112" s="274">
        <f ca="1">IFERROR(IF(OR(VLOOKUP(A112,INDIRECT(BS!$J$1&amp;"[[Sub Group]:[BS&amp;PL_Face]]"),2,FALSE)="Liability",VLOOKUP(A112,INDIRECT(BS!$J$1&amp;"[[Sub Group]:[BS&amp;PL_Face]]"),2,FALSE)="Income"),-1,1),1)*SUMIF(INDIRECT(BS!$J$1&amp;"[Sub Group]"),A112,INDIRECT(BS!$J$1&amp;"[Rs. In Hundereds]"))</f>
        <v>0</v>
      </c>
      <c r="C112" s="996"/>
    </row>
    <row r="113" spans="1:3">
      <c r="A113" s="1007" t="s">
        <v>1802</v>
      </c>
      <c r="B113" s="274">
        <f ca="1">IFERROR(IF(OR(VLOOKUP(A113,INDIRECT(BS!$J$1&amp;"[[Sub Group]:[BS&amp;PL_Face]]"),2,FALSE)="Liability",VLOOKUP(A113,INDIRECT(BS!$J$1&amp;"[[Sub Group]:[BS&amp;PL_Face]]"),2,FALSE)="Income"),-1,1),1)*SUMIF(INDIRECT(BS!$J$1&amp;"[Sub Group]"),A113,INDIRECT(BS!$J$1&amp;"[Rs. In Hundereds]"))</f>
        <v>0</v>
      </c>
      <c r="C113" s="996"/>
    </row>
    <row r="114" spans="1:3">
      <c r="A114" s="1007" t="s">
        <v>1803</v>
      </c>
      <c r="B114" s="274">
        <f ca="1">IFERROR(IF(OR(VLOOKUP(A114,INDIRECT(BS!$J$1&amp;"[[Sub Group]:[BS&amp;PL_Face]]"),2,FALSE)="Liability",VLOOKUP(A114,INDIRECT(BS!$J$1&amp;"[[Sub Group]:[BS&amp;PL_Face]]"),2,FALSE)="Income"),-1,1),1)*SUMIF(INDIRECT(BS!$J$1&amp;"[Sub Group]"),A114,INDIRECT(BS!$J$1&amp;"[Rs. In Hundereds]"))</f>
        <v>0</v>
      </c>
      <c r="C114" s="996"/>
    </row>
    <row r="115" spans="1:3">
      <c r="A115" s="1007" t="s">
        <v>1804</v>
      </c>
      <c r="B115" s="274">
        <f ca="1">IFERROR(IF(OR(VLOOKUP(A115,INDIRECT(BS!$J$1&amp;"[[Sub Group]:[BS&amp;PL_Face]]"),2,FALSE)="Liability",VLOOKUP(A115,INDIRECT(BS!$J$1&amp;"[[Sub Group]:[BS&amp;PL_Face]]"),2,FALSE)="Income"),-1,1),1)*SUMIF(INDIRECT(BS!$J$1&amp;"[Sub Group]"),A115,INDIRECT(BS!$J$1&amp;"[Rs. In Hundereds]"))</f>
        <v>0</v>
      </c>
      <c r="C115" s="996"/>
    </row>
    <row r="116" spans="1:3">
      <c r="A116" s="1007" t="s">
        <v>1805</v>
      </c>
      <c r="B116" s="274">
        <f ca="1">IFERROR(IF(OR(VLOOKUP(A116,INDIRECT(BS!$J$1&amp;"[[Sub Group]:[BS&amp;PL_Face]]"),2,FALSE)="Liability",VLOOKUP(A116,INDIRECT(BS!$J$1&amp;"[[Sub Group]:[BS&amp;PL_Face]]"),2,FALSE)="Income"),-1,1),1)*SUMIF(INDIRECT(BS!$J$1&amp;"[Sub Group]"),A116,INDIRECT(BS!$J$1&amp;"[Rs. In Hundereds]"))</f>
        <v>0</v>
      </c>
      <c r="C116" s="996"/>
    </row>
    <row r="117" spans="1:3">
      <c r="A117" s="1007" t="s">
        <v>1806</v>
      </c>
      <c r="B117" s="274">
        <f ca="1">IFERROR(IF(OR(VLOOKUP(A117,INDIRECT(BS!$J$1&amp;"[[Sub Group]:[BS&amp;PL_Face]]"),2,FALSE)="Liability",VLOOKUP(A117,INDIRECT(BS!$J$1&amp;"[[Sub Group]:[BS&amp;PL_Face]]"),2,FALSE)="Income"),-1,1),1)*SUMIF(INDIRECT(BS!$J$1&amp;"[Sub Group]"),A117,INDIRECT(BS!$J$1&amp;"[Rs. In Hundereds]"))</f>
        <v>0</v>
      </c>
      <c r="C117" s="996"/>
    </row>
    <row r="118" spans="1:3">
      <c r="A118" s="1007" t="s">
        <v>1758</v>
      </c>
      <c r="B118" s="274">
        <f ca="1">IFERROR(IF(OR(VLOOKUP(A118,INDIRECT(BS!$J$1&amp;"[[Sub Group]:[BS&amp;PL_Face]]"),2,FALSE)="Liability",VLOOKUP(A118,INDIRECT(BS!$J$1&amp;"[[Sub Group]:[BS&amp;PL_Face]]"),2,FALSE)="Income"),-1,1),1)*SUMIF(INDIRECT(BS!$J$1&amp;"[Sub Group]"),A118,INDIRECT(BS!$J$1&amp;"[Rs. In Hundereds]"))</f>
        <v>0</v>
      </c>
      <c r="C118" s="996"/>
    </row>
    <row r="119" spans="1:3" hidden="1">
      <c r="A119" s="1007" t="s">
        <v>1781</v>
      </c>
      <c r="B119" s="274">
        <f ca="1">IFERROR(IF(OR(VLOOKUP(A119,INDIRECT(BS!$J$1&amp;"[[Sub Group]:[BS&amp;PL_Face]]"),2,FALSE)="Liability",VLOOKUP(A119,INDIRECT(BS!$J$1&amp;"[[Sub Group]:[BS&amp;PL_Face]]"),2,FALSE)="Income"),-1,1),1)*SUMIF(INDIRECT(BS!$J$1&amp;"[Sub Group]"),A119,INDIRECT(BS!$J$1&amp;"[Rs. In Hundereds]"))</f>
        <v>0</v>
      </c>
      <c r="C119" s="996"/>
    </row>
    <row r="120" spans="1:3" hidden="1">
      <c r="A120" s="1007" t="s">
        <v>1807</v>
      </c>
      <c r="B120" s="274">
        <f ca="1">IFERROR(IF(OR(VLOOKUP(A120,INDIRECT(BS!$J$1&amp;"[[Sub Group]:[BS&amp;PL_Face]]"),2,FALSE)="Liability",VLOOKUP(A120,INDIRECT(BS!$J$1&amp;"[[Sub Group]:[BS&amp;PL_Face]]"),2,FALSE)="Income"),-1,1),1)*SUMIF(INDIRECT(BS!$J$1&amp;"[Sub Group]"),A120,INDIRECT(BS!$J$1&amp;"[Rs. In Hundereds]"))</f>
        <v>0</v>
      </c>
      <c r="C120" s="996"/>
    </row>
    <row r="121" spans="1:3" hidden="1">
      <c r="A121" s="1007" t="s">
        <v>1808</v>
      </c>
      <c r="B121" s="274">
        <f ca="1">IFERROR(IF(OR(VLOOKUP(A121,INDIRECT(BS!$J$1&amp;"[[Sub Group]:[BS&amp;PL_Face]]"),2,FALSE)="Liability",VLOOKUP(A121,INDIRECT(BS!$J$1&amp;"[[Sub Group]:[BS&amp;PL_Face]]"),2,FALSE)="Income"),-1,1),1)*SUMIF(INDIRECT(BS!$J$1&amp;"[Sub Group]"),A121,INDIRECT(BS!$J$1&amp;"[Rs. In Hundereds]"))</f>
        <v>0</v>
      </c>
      <c r="C121" s="996"/>
    </row>
    <row r="122" spans="1:3">
      <c r="A122" s="1007" t="s">
        <v>1809</v>
      </c>
      <c r="B122" s="274">
        <f ca="1">IFERROR(IF(OR(VLOOKUP(A122,INDIRECT(BS!$J$1&amp;"[[Sub Group]:[BS&amp;PL_Face]]"),2,FALSE)="Liability",VLOOKUP(A122,INDIRECT(BS!$J$1&amp;"[[Sub Group]:[BS&amp;PL_Face]]"),2,FALSE)="Income"),-1,1),1)*SUMIF(INDIRECT(BS!$J$1&amp;"[Sub Group]"),A122,INDIRECT(BS!$J$1&amp;"[Rs. In Hundereds]"))</f>
        <v>0</v>
      </c>
      <c r="C122" s="996"/>
    </row>
    <row r="123" spans="1:3">
      <c r="A123" s="1007" t="s">
        <v>1810</v>
      </c>
      <c r="B123" s="274">
        <f ca="1">IFERROR(IF(OR(VLOOKUP(A123,INDIRECT(BS!$J$1&amp;"[[Sub Group]:[BS&amp;PL_Face]]"),2,FALSE)="Liability",VLOOKUP(A123,INDIRECT(BS!$J$1&amp;"[[Sub Group]:[BS&amp;PL_Face]]"),2,FALSE)="Income"),-1,1),1)*SUMIF(INDIRECT(BS!$J$1&amp;"[Sub Group]"),A123,INDIRECT(BS!$J$1&amp;"[Rs. In Hundereds]"))</f>
        <v>0</v>
      </c>
      <c r="C123" s="996"/>
    </row>
    <row r="124" spans="1:3">
      <c r="A124" s="1007" t="s">
        <v>1811</v>
      </c>
      <c r="B124" s="274">
        <f ca="1">IFERROR(IF(OR(VLOOKUP(A124,INDIRECT(BS!$J$1&amp;"[[Sub Group]:[BS&amp;PL_Face]]"),2,FALSE)="Liability",VLOOKUP(A124,INDIRECT(BS!$J$1&amp;"[[Sub Group]:[BS&amp;PL_Face]]"),2,FALSE)="Income"),-1,1),1)*SUMIF(INDIRECT(BS!$J$1&amp;"[Sub Group]"),A124,INDIRECT(BS!$J$1&amp;"[Rs. In Hundereds]"))</f>
        <v>0</v>
      </c>
      <c r="C124" s="996"/>
    </row>
    <row r="125" spans="1:3">
      <c r="A125" s="1007" t="s">
        <v>1812</v>
      </c>
      <c r="B125" s="274">
        <f ca="1">IFERROR(IF(OR(VLOOKUP(A125,INDIRECT(BS!$J$1&amp;"[[Sub Group]:[BS&amp;PL_Face]]"),2,FALSE)="Liability",VLOOKUP(A125,INDIRECT(BS!$J$1&amp;"[[Sub Group]:[BS&amp;PL_Face]]"),2,FALSE)="Income"),-1,1),1)*SUMIF(INDIRECT(BS!$J$1&amp;"[Sub Group]"),A125,INDIRECT(BS!$J$1&amp;"[Rs. In Hundereds]"))</f>
        <v>0</v>
      </c>
      <c r="C125" s="996"/>
    </row>
    <row r="126" spans="1:3">
      <c r="A126" s="1007" t="s">
        <v>1760</v>
      </c>
      <c r="B126" s="274">
        <f ca="1">IFERROR(IF(OR(VLOOKUP(A126,INDIRECT(BS!$J$1&amp;"[[Sub Group]:[BS&amp;PL_Face]]"),2,FALSE)="Liability",VLOOKUP(A126,INDIRECT(BS!$J$1&amp;"[[Sub Group]:[BS&amp;PL_Face]]"),2,FALSE)="Income"),-1,1),1)*SUMIF(INDIRECT(BS!$J$1&amp;"[Sub Group]"),A126,INDIRECT(BS!$J$1&amp;"[Rs. In Hundereds]"))</f>
        <v>0</v>
      </c>
      <c r="C126" s="996"/>
    </row>
    <row r="127" spans="1:3">
      <c r="A127" s="1007" t="s">
        <v>1813</v>
      </c>
      <c r="B127" s="274">
        <f ca="1">IFERROR(IF(OR(VLOOKUP(A127,INDIRECT(BS!$J$1&amp;"[[Sub Group]:[BS&amp;PL_Face]]"),2,FALSE)="Liability",VLOOKUP(A127,INDIRECT(BS!$J$1&amp;"[[Sub Group]:[BS&amp;PL_Face]]"),2,FALSE)="Income"),-1,1),1)*SUMIF(INDIRECT(BS!$J$1&amp;"[Sub Group]"),A127,INDIRECT(BS!$J$1&amp;"[Rs. In Hundereds]"))</f>
        <v>0</v>
      </c>
      <c r="C127" s="996"/>
    </row>
    <row r="128" spans="1:3">
      <c r="A128" s="288" t="s">
        <v>1814</v>
      </c>
      <c r="B128" s="274">
        <f ca="1">IFERROR(IF(OR(VLOOKUP(A128,INDIRECT(BS!$J$1&amp;"[[Sub Group]:[BS&amp;PL_Face]]"),2,FALSE)="Liability",VLOOKUP(A128,INDIRECT(BS!$J$1&amp;"[[Sub Group]:[BS&amp;PL_Face]]"),2,FALSE)="Income"),-1,1),1)*SUMIF(INDIRECT(BS!$J$1&amp;"[Sub Group]"),A128,INDIRECT(BS!$J$1&amp;"[Rs. In Hundereds]"))</f>
        <v>0</v>
      </c>
      <c r="C128" s="982"/>
    </row>
    <row r="129" spans="1:5">
      <c r="A129" s="288" t="s">
        <v>1815</v>
      </c>
      <c r="B129" s="274">
        <f ca="1">IFERROR(IF(OR(VLOOKUP(A129,INDIRECT(BS!$J$1&amp;"[[Sub Group]:[BS&amp;PL_Face]]"),2,FALSE)="Liability",VLOOKUP(A129,INDIRECT(BS!$J$1&amp;"[[Sub Group]:[BS&amp;PL_Face]]"),2,FALSE)="Income"),-1,1),1)*SUMIF(INDIRECT(BS!$J$1&amp;"[Sub Group]"),A129,INDIRECT(BS!$J$1&amp;"[Rs. In Hundereds]"))</f>
        <v>0</v>
      </c>
      <c r="C129" s="982"/>
    </row>
    <row r="130" spans="1:5">
      <c r="A130" s="288" t="s">
        <v>1816</v>
      </c>
      <c r="B130" s="274">
        <f ca="1">IFERROR(IF(OR(VLOOKUP(A130,INDIRECT(BS!$J$1&amp;"[[Sub Group]:[BS&amp;PL_Face]]"),2,FALSE)="Liability",VLOOKUP(A130,INDIRECT(BS!$J$1&amp;"[[Sub Group]:[BS&amp;PL_Face]]"),2,FALSE)="Income"),-1,1),1)*SUMIF(INDIRECT(BS!$J$1&amp;"[Sub Group]"),A130,INDIRECT(BS!$J$1&amp;"[Rs. In Hundereds]"))</f>
        <v>0</v>
      </c>
      <c r="C130" s="982"/>
    </row>
    <row r="131" spans="1:5" hidden="1">
      <c r="A131" s="288" t="s">
        <v>1817</v>
      </c>
      <c r="B131" s="274">
        <f ca="1">IFERROR(IF(OR(VLOOKUP(A131,INDIRECT(BS!$J$1&amp;"[[Sub Group]:[BS&amp;PL_Face]]"),2,FALSE)="Liability",VLOOKUP(A131,INDIRECT(BS!$J$1&amp;"[[Sub Group]:[BS&amp;PL_Face]]"),2,FALSE)="Income"),-1,1),1)*SUMIF(INDIRECT(BS!$J$1&amp;"[Sub Group]"),A131,INDIRECT(BS!$J$1&amp;"[Rs. In Hundereds]"))</f>
        <v>0</v>
      </c>
      <c r="C131" s="982"/>
    </row>
    <row r="132" spans="1:5">
      <c r="A132" s="288" t="s">
        <v>1818</v>
      </c>
      <c r="B132" s="274">
        <f ca="1">IFERROR(IF(OR(VLOOKUP(A132,INDIRECT(BS!$J$1&amp;"[[Sub Group]:[BS&amp;PL_Face]]"),2,FALSE)="Liability",VLOOKUP(A132,INDIRECT(BS!$J$1&amp;"[[Sub Group]:[BS&amp;PL_Face]]"),2,FALSE)="Income"),-1,1),1)*SUMIF(INDIRECT(BS!$J$1&amp;"[Sub Group]"),A132,INDIRECT(BS!$J$1&amp;"[Rs. In Hundereds]"))</f>
        <v>0</v>
      </c>
      <c r="C132" s="982"/>
    </row>
    <row r="133" spans="1:5">
      <c r="A133" s="288" t="s">
        <v>1819</v>
      </c>
      <c r="B133" s="274">
        <f ca="1">IFERROR(IF(OR(VLOOKUP(A133,INDIRECT(BS!$J$1&amp;"[[Sub Group]:[BS&amp;PL_Face]]"),2,FALSE)="Liability",VLOOKUP(A133,INDIRECT(BS!$J$1&amp;"[[Sub Group]:[BS&amp;PL_Face]]"),2,FALSE)="Income"),-1,1),1)*SUMIF(INDIRECT(BS!$J$1&amp;"[Sub Group]"),A133,INDIRECT(BS!$J$1&amp;"[Rs. In Hundereds]"))</f>
        <v>0</v>
      </c>
      <c r="C133" s="980"/>
      <c r="E133" s="639"/>
    </row>
    <row r="134" spans="1:5">
      <c r="A134" s="288" t="s">
        <v>1782</v>
      </c>
      <c r="B134" s="274">
        <f ca="1">IFERROR(IF(OR(VLOOKUP(A134,INDIRECT(BS!$J$1&amp;"[[Sub Group]:[BS&amp;PL_Face]]"),2,FALSE)="Liability",VLOOKUP(A134,INDIRECT(BS!$J$1&amp;"[[Sub Group]:[BS&amp;PL_Face]]"),2,FALSE)="Income"),-1,1),1)*SUMIF(INDIRECT(BS!$J$1&amp;"[Sub Group]"),A134,INDIRECT(BS!$J$1&amp;"[Rs. In Hundereds]"))</f>
        <v>0</v>
      </c>
      <c r="C134" s="980"/>
    </row>
    <row r="135" spans="1:5" hidden="1">
      <c r="A135" s="288" t="s">
        <v>1820</v>
      </c>
      <c r="B135" s="274">
        <f ca="1">IFERROR(IF(OR(VLOOKUP(A135,INDIRECT(BS!$J$1&amp;"[[Sub Group]:[BS&amp;PL_Face]]"),2,FALSE)="Liability",VLOOKUP(A135,INDIRECT(BS!$J$1&amp;"[[Sub Group]:[BS&amp;PL_Face]]"),2,FALSE)="Income"),-1,1),1)*SUMIF(INDIRECT(BS!$J$1&amp;"[Sub Group]"),A135,INDIRECT(BS!$J$1&amp;"[Rs. In Hundereds]"))</f>
        <v>0</v>
      </c>
      <c r="C135" s="980"/>
    </row>
    <row r="136" spans="1:5">
      <c r="A136" s="288" t="s">
        <v>1821</v>
      </c>
      <c r="B136" s="274">
        <f ca="1">IFERROR(IF(OR(VLOOKUP(A136,INDIRECT(BS!$J$1&amp;"[[Sub Group]:[BS&amp;PL_Face]]"),2,FALSE)="Liability",VLOOKUP(A136,INDIRECT(BS!$J$1&amp;"[[Sub Group]:[BS&amp;PL_Face]]"),2,FALSE)="Income"),-1,1),1)*SUMIF(INDIRECT(BS!$J$1&amp;"[Sub Group]"),A136,INDIRECT(BS!$J$1&amp;"[Rs. In Hundereds]"))</f>
        <v>0</v>
      </c>
      <c r="C136" s="980"/>
    </row>
    <row r="137" spans="1:5">
      <c r="A137" s="288" t="s">
        <v>1783</v>
      </c>
      <c r="B137" s="274">
        <f ca="1">IFERROR(IF(OR(VLOOKUP(A137,INDIRECT(BS!$J$1&amp;"[[Sub Group]:[BS&amp;PL_Face]]"),2,FALSE)="Liability",VLOOKUP(A137,INDIRECT(BS!$J$1&amp;"[[Sub Group]:[BS&amp;PL_Face]]"),2,FALSE)="Income"),-1,1),1)*SUMIF(INDIRECT(BS!$J$1&amp;"[Sub Group]"),A137,INDIRECT(BS!$J$1&amp;"[Rs. In Hundereds]"))</f>
        <v>0</v>
      </c>
      <c r="C137" s="980"/>
    </row>
    <row r="138" spans="1:5">
      <c r="A138" s="288" t="s">
        <v>1822</v>
      </c>
      <c r="B138" s="274">
        <f ca="1">IFERROR(IF(OR(VLOOKUP(A138,INDIRECT(BS!$J$1&amp;"[[Sub Group]:[BS&amp;PL_Face]]"),2,FALSE)="Liability",VLOOKUP(A138,INDIRECT(BS!$J$1&amp;"[[Sub Group]:[BS&amp;PL_Face]]"),2,FALSE)="Income"),-1,1),1)*SUMIF(INDIRECT(BS!$J$1&amp;"[Sub Group]"),A138,INDIRECT(BS!$J$1&amp;"[Rs. In Hundereds]"))</f>
        <v>0</v>
      </c>
      <c r="C138" s="980"/>
      <c r="E138" s="639"/>
    </row>
    <row r="139" spans="1:5" hidden="1">
      <c r="A139" s="288" t="s">
        <v>1823</v>
      </c>
      <c r="B139" s="274">
        <f ca="1">IFERROR(IF(OR(VLOOKUP(A139,INDIRECT(BS!$J$1&amp;"[[Sub Group]:[BS&amp;PL_Face]]"),2,FALSE)="Liability",VLOOKUP(A139,INDIRECT(BS!$J$1&amp;"[[Sub Group]:[BS&amp;PL_Face]]"),2,FALSE)="Income"),-1,1),1)*SUMIF(INDIRECT(BS!$J$1&amp;"[Sub Group]"),A139,INDIRECT(BS!$J$1&amp;"[Rs. In Hundereds]"))</f>
        <v>0</v>
      </c>
      <c r="C139" s="980"/>
    </row>
    <row r="140" spans="1:5" hidden="1">
      <c r="A140" s="288" t="s">
        <v>1824</v>
      </c>
      <c r="B140" s="274">
        <f ca="1">IFERROR(IF(OR(VLOOKUP(A140,INDIRECT(BS!$J$1&amp;"[[Sub Group]:[BS&amp;PL_Face]]"),2,FALSE)="Liability",VLOOKUP(A140,INDIRECT(BS!$J$1&amp;"[[Sub Group]:[BS&amp;PL_Face]]"),2,FALSE)="Income"),-1,1),1)*SUMIF(INDIRECT(BS!$J$1&amp;"[Sub Group]"),A140,INDIRECT(BS!$J$1&amp;"[Rs. In Hundereds]"))</f>
        <v>0</v>
      </c>
      <c r="C140" s="980"/>
    </row>
    <row r="141" spans="1:5">
      <c r="A141" s="288" t="s">
        <v>1780</v>
      </c>
      <c r="B141" s="274">
        <f ca="1">IFERROR(IF(OR(VLOOKUP(A141,INDIRECT(BS!$J$1&amp;"[[Sub Group]:[BS&amp;PL_Face]]"),2,FALSE)="Liability",VLOOKUP(A141,INDIRECT(BS!$J$1&amp;"[[Sub Group]:[BS&amp;PL_Face]]"),2,FALSE)="Income"),-1,1),1)*SUMIF(INDIRECT(BS!$J$1&amp;"[Sub Group]"),A141,INDIRECT(BS!$J$1&amp;"[Rs. In Hundereds]"))</f>
        <v>0</v>
      </c>
      <c r="C141" s="980"/>
    </row>
    <row r="142" spans="1:5">
      <c r="A142" s="288" t="s">
        <v>1825</v>
      </c>
      <c r="B142" s="274">
        <f ca="1">IFERROR(IF(OR(VLOOKUP(A142,INDIRECT(BS!$J$1&amp;"[[Sub Group]:[BS&amp;PL_Face]]"),2,FALSE)="Liability",VLOOKUP(A142,INDIRECT(BS!$J$1&amp;"[[Sub Group]:[BS&amp;PL_Face]]"),2,FALSE)="Income"),-1,1),1)*SUMIF(INDIRECT(BS!$J$1&amp;"[Sub Group]"),A142,INDIRECT(BS!$J$1&amp;"[Rs. In Hundereds]"))</f>
        <v>0</v>
      </c>
      <c r="C142" s="980"/>
    </row>
    <row r="143" spans="1:5">
      <c r="A143" s="1008"/>
      <c r="B143" s="294"/>
      <c r="C143" s="294"/>
    </row>
    <row r="144" spans="1:5">
      <c r="A144" s="295" t="s">
        <v>88</v>
      </c>
      <c r="B144" s="265">
        <f ca="1">SUM(B107:B143)</f>
        <v>0</v>
      </c>
      <c r="C144" s="265">
        <f>SUM(C107:C143)</f>
        <v>0</v>
      </c>
    </row>
    <row r="145" spans="1:3">
      <c r="A145" s="298" t="s">
        <v>80</v>
      </c>
      <c r="B145" s="293"/>
      <c r="C145" s="298"/>
    </row>
    <row r="146" spans="1:3" hidden="1">
      <c r="A146" s="298"/>
      <c r="B146" s="293"/>
      <c r="C146" s="298"/>
    </row>
    <row r="147" spans="1:3" hidden="1">
      <c r="A147" s="298"/>
      <c r="B147" s="293"/>
      <c r="C147" s="298"/>
    </row>
    <row r="148" spans="1:3">
      <c r="A148" s="297" t="str">
        <f>PL!$A$52</f>
        <v>For A XXXXXXXXXXXociates</v>
      </c>
      <c r="B148" s="1081" t="str">
        <f>PL!F52&amp;CHAR(10)&amp;PL!F53</f>
        <v>For and on Behalf of
Abc Private Limited</v>
      </c>
      <c r="C148" s="1081"/>
    </row>
    <row r="149" spans="1:3">
      <c r="A149" s="297" t="str">
        <f>PL!$A$53</f>
        <v xml:space="preserve">Chartered Accountants </v>
      </c>
      <c r="B149" s="1081"/>
      <c r="C149" s="1081"/>
    </row>
    <row r="150" spans="1:3">
      <c r="A150" s="297" t="str">
        <f>PL!$A$54&amp;" "&amp;PL!$C$54</f>
        <v>FRN  : XXXXXXXXX</v>
      </c>
      <c r="B150" s="248"/>
      <c r="C150" s="248"/>
    </row>
    <row r="151" spans="1:3">
      <c r="A151" s="297"/>
      <c r="B151" s="248"/>
      <c r="C151" s="248"/>
    </row>
    <row r="152" spans="1:3">
      <c r="A152" s="297"/>
      <c r="B152" s="248"/>
      <c r="C152" s="248"/>
    </row>
    <row r="153" spans="1:3" ht="15.75" customHeight="1">
      <c r="A153" s="297"/>
      <c r="B153" s="27"/>
      <c r="C153" s="27"/>
    </row>
    <row r="154" spans="1:3">
      <c r="A154" s="297" t="str">
        <f>PL!$A$58</f>
        <v>Akshay Garg</v>
      </c>
      <c r="B154" s="27"/>
      <c r="C154" s="27"/>
    </row>
    <row r="155" spans="1:3">
      <c r="A155" s="297" t="str">
        <f>PL!$A$59</f>
        <v>Partner</v>
      </c>
      <c r="B155" s="664" t="str">
        <f>PL!F58</f>
        <v>Director 1</v>
      </c>
      <c r="C155" s="611" t="str">
        <f>PL!G58</f>
        <v>Director 2</v>
      </c>
    </row>
    <row r="156" spans="1:3">
      <c r="A156" s="297" t="str">
        <f>PL!$A$60&amp;" "&amp;PL!$C$60</f>
        <v>M. No. : XXXXXX</v>
      </c>
      <c r="B156" s="611" t="str">
        <f>BS!F57</f>
        <v>(DIRECTOR)</v>
      </c>
      <c r="C156" s="611" t="str">
        <f>BS!G57</f>
        <v>(DIRECTOR)</v>
      </c>
    </row>
    <row r="157" spans="1:3">
      <c r="A157" s="297" t="str">
        <f>PL!$A$61&amp;" "&amp;PL!$C$61</f>
        <v>Date : September 01, 2023</v>
      </c>
      <c r="B157" s="611" t="str">
        <f>BS!F58</f>
        <v>DIN - 00XXXX70</v>
      </c>
      <c r="C157" s="611" t="str">
        <f>BS!G58</f>
        <v>DIN - 00XXXX70</v>
      </c>
    </row>
    <row r="158" spans="1:3">
      <c r="A158" s="297" t="str">
        <f>PL!$A$62&amp;" "&amp;PL!$C$62</f>
        <v>Place : Delhi</v>
      </c>
      <c r="B158" s="27"/>
      <c r="C158" s="27"/>
    </row>
    <row r="159" spans="1:3">
      <c r="A159" s="297" t="str">
        <f>PL!$A$63&amp;" "&amp;PL!$C$63</f>
        <v xml:space="preserve">UDIN : </v>
      </c>
    </row>
  </sheetData>
  <sortState xmlns:xlrd2="http://schemas.microsoft.com/office/spreadsheetml/2017/richdata2" ref="A95:I132">
    <sortCondition ref="A95"/>
  </sortState>
  <mergeCells count="9">
    <mergeCell ref="B148:C149"/>
    <mergeCell ref="A45:A46"/>
    <mergeCell ref="A6:A7"/>
    <mergeCell ref="A34:A35"/>
    <mergeCell ref="A54:A55"/>
    <mergeCell ref="A72:A73"/>
    <mergeCell ref="A95:A96"/>
    <mergeCell ref="A104:A105"/>
    <mergeCell ref="A84:A85"/>
  </mergeCells>
  <phoneticPr fontId="10" type="noConversion"/>
  <printOptions horizontalCentered="1"/>
  <pageMargins left="0.70866141732283472" right="0.70866141732283472" top="0.74803149606299213" bottom="0.74803149606299213" header="0.31496062992125984" footer="0.31496062992125984"/>
  <pageSetup paperSize="9" scale="79" fitToHeight="2" orientation="portrait" r:id="rId1"/>
  <rowBreaks count="1" manualBreakCount="1">
    <brk id="81"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63"/>
  <sheetViews>
    <sheetView view="pageBreakPreview" zoomScaleSheetLayoutView="100" workbookViewId="0">
      <selection activeCell="C27" sqref="C27"/>
    </sheetView>
  </sheetViews>
  <sheetFormatPr defaultRowHeight="15"/>
  <cols>
    <col min="1" max="1" width="5.5703125" customWidth="1"/>
    <col min="2" max="2" width="37.28515625" customWidth="1"/>
    <col min="3" max="3" width="15.28515625" style="79" customWidth="1"/>
    <col min="4" max="4" width="17.140625" style="79" customWidth="1"/>
    <col min="5" max="5" width="14" style="79" customWidth="1"/>
    <col min="6" max="6" width="16.42578125" style="89" bestFit="1" customWidth="1"/>
  </cols>
  <sheetData>
    <row r="1" spans="1:6">
      <c r="A1" s="1090" t="str">
        <f>'Sch - liab (2)'!A1</f>
        <v>ABC PRIVATE LIMITED</v>
      </c>
      <c r="B1" s="1090"/>
      <c r="C1" s="1090"/>
      <c r="D1" s="1090"/>
      <c r="E1" s="1090"/>
      <c r="F1" s="1090"/>
    </row>
    <row r="2" spans="1:6">
      <c r="A2" s="1090" t="s">
        <v>124</v>
      </c>
      <c r="B2" s="1090"/>
      <c r="C2" s="1090"/>
      <c r="D2" s="1090"/>
      <c r="E2" s="1090"/>
      <c r="F2" s="1090"/>
    </row>
    <row r="3" spans="1:6">
      <c r="A3" s="1090" t="s">
        <v>397</v>
      </c>
      <c r="B3" s="1090"/>
      <c r="C3" s="1090"/>
      <c r="D3" s="1090"/>
      <c r="E3" s="1090"/>
      <c r="F3" s="1090"/>
    </row>
    <row r="4" spans="1:6" ht="15.75" thickBot="1">
      <c r="A4" s="135"/>
      <c r="B4" s="136"/>
      <c r="C4" s="1088">
        <v>2022</v>
      </c>
      <c r="D4" s="1089"/>
      <c r="E4" s="1088">
        <v>2021</v>
      </c>
      <c r="F4" s="1089"/>
    </row>
    <row r="5" spans="1:6" ht="15.75" thickTop="1">
      <c r="A5" s="137" t="s">
        <v>125</v>
      </c>
      <c r="B5" s="138"/>
      <c r="C5" s="139"/>
      <c r="D5" s="140"/>
      <c r="E5" s="141"/>
      <c r="F5" s="142"/>
    </row>
    <row r="6" spans="1:6">
      <c r="A6" s="143"/>
      <c r="B6" s="144" t="s">
        <v>126</v>
      </c>
      <c r="C6" s="141"/>
      <c r="D6" s="145">
        <v>0</v>
      </c>
      <c r="E6" s="141">
        <v>0</v>
      </c>
      <c r="F6" s="142">
        <f>PL!G40</f>
        <v>1212039.3469999998</v>
      </c>
    </row>
    <row r="7" spans="1:6">
      <c r="A7" s="146" t="s">
        <v>127</v>
      </c>
      <c r="B7" s="147" t="s">
        <v>128</v>
      </c>
      <c r="C7" s="148"/>
      <c r="D7" s="149"/>
      <c r="E7" s="141"/>
      <c r="F7" s="142"/>
    </row>
    <row r="8" spans="1:6">
      <c r="A8" s="143"/>
      <c r="B8" s="144" t="s">
        <v>129</v>
      </c>
      <c r="C8" s="150">
        <f>PL!F20</f>
        <v>0</v>
      </c>
      <c r="D8" s="145"/>
      <c r="E8" s="141">
        <f>PL!G20</f>
        <v>5469.87</v>
      </c>
      <c r="F8" s="142"/>
    </row>
    <row r="9" spans="1:6">
      <c r="A9" s="143"/>
      <c r="B9" s="144" t="s">
        <v>130</v>
      </c>
      <c r="C9" s="150">
        <f ca="1">PL!F37</f>
        <v>0</v>
      </c>
      <c r="D9" s="145"/>
      <c r="E9" s="141">
        <f>PL!G37</f>
        <v>0</v>
      </c>
      <c r="F9" s="142"/>
    </row>
    <row r="10" spans="1:6">
      <c r="A10" s="143"/>
      <c r="B10" s="144" t="s">
        <v>131</v>
      </c>
      <c r="C10" s="150">
        <f>PL!F38</f>
        <v>3720.9473999999991</v>
      </c>
      <c r="D10" s="145"/>
      <c r="E10" s="141">
        <f>PL!G38</f>
        <v>836.65300000000002</v>
      </c>
      <c r="F10" s="142"/>
    </row>
    <row r="11" spans="1:6" hidden="1">
      <c r="A11" s="143" t="s">
        <v>132</v>
      </c>
      <c r="B11" s="144" t="s">
        <v>133</v>
      </c>
      <c r="C11" s="150">
        <v>0</v>
      </c>
      <c r="D11" s="145"/>
      <c r="E11" s="141">
        <v>0</v>
      </c>
      <c r="F11" s="142"/>
    </row>
    <row r="12" spans="1:6" ht="15.75" thickBot="1">
      <c r="A12" s="143"/>
      <c r="B12" s="151" t="s">
        <v>134</v>
      </c>
      <c r="C12" s="150"/>
      <c r="D12" s="152">
        <f ca="1">SUM(C8:C12)</f>
        <v>3720.9473999999991</v>
      </c>
      <c r="E12" s="141"/>
      <c r="F12" s="153">
        <f>SUM(E8:E12)</f>
        <v>6306.5230000000001</v>
      </c>
    </row>
    <row r="13" spans="1:6" ht="15.75" thickTop="1">
      <c r="A13" s="146" t="s">
        <v>135</v>
      </c>
      <c r="B13" s="138"/>
      <c r="C13" s="150"/>
      <c r="D13" s="145"/>
      <c r="E13" s="141"/>
      <c r="F13" s="142"/>
    </row>
    <row r="14" spans="1:6" ht="15.75" hidden="1">
      <c r="A14" s="143"/>
      <c r="B14" s="133" t="s">
        <v>164</v>
      </c>
      <c r="C14" s="154"/>
      <c r="D14" s="145"/>
      <c r="E14" s="155"/>
      <c r="F14" s="142"/>
    </row>
    <row r="15" spans="1:6" ht="15.75">
      <c r="A15" s="143"/>
      <c r="B15" s="133" t="s">
        <v>163</v>
      </c>
      <c r="C15" s="156">
        <f ca="1">BS!G43-BS!F43</f>
        <v>300</v>
      </c>
      <c r="D15" s="145"/>
      <c r="E15" s="141">
        <v>0</v>
      </c>
      <c r="F15" s="142"/>
    </row>
    <row r="16" spans="1:6" ht="15.75">
      <c r="A16" s="143"/>
      <c r="B16" s="133" t="s">
        <v>162</v>
      </c>
      <c r="C16" s="150">
        <v>0</v>
      </c>
      <c r="D16" s="145"/>
      <c r="E16" s="141"/>
      <c r="F16" s="142"/>
    </row>
    <row r="17" spans="1:6" ht="15.75">
      <c r="A17" s="143"/>
      <c r="B17" s="133" t="s">
        <v>216</v>
      </c>
      <c r="C17" s="150">
        <v>0</v>
      </c>
      <c r="D17" s="145"/>
      <c r="E17" s="141"/>
      <c r="F17" s="142"/>
    </row>
    <row r="18" spans="1:6" ht="15.75">
      <c r="A18" s="143"/>
      <c r="B18" s="133"/>
      <c r="C18" s="150"/>
      <c r="D18" s="145">
        <f ca="1">SUM(C14:C18)</f>
        <v>300</v>
      </c>
      <c r="E18" s="141"/>
      <c r="F18" s="145">
        <f>SUM(E14:E18)</f>
        <v>0</v>
      </c>
    </row>
    <row r="19" spans="1:6">
      <c r="A19" s="146" t="s">
        <v>136</v>
      </c>
      <c r="B19" s="138"/>
      <c r="C19" s="150"/>
      <c r="D19" s="145"/>
      <c r="E19" s="141"/>
      <c r="F19" s="142"/>
    </row>
    <row r="20" spans="1:6" ht="15.75">
      <c r="A20" s="143"/>
      <c r="B20" s="133" t="s">
        <v>137</v>
      </c>
      <c r="C20" s="150">
        <f ca="1">BS!F42-BS!G42</f>
        <v>-6952.6900000000005</v>
      </c>
      <c r="D20" s="145"/>
      <c r="E20" s="141"/>
      <c r="F20" s="142"/>
    </row>
    <row r="21" spans="1:6" ht="15.75">
      <c r="A21" s="143"/>
      <c r="B21" s="133" t="s">
        <v>162</v>
      </c>
      <c r="C21" s="150">
        <f ca="1">+BS!F45-BS!G45</f>
        <v>0</v>
      </c>
      <c r="D21" s="145"/>
      <c r="E21" s="141">
        <v>0</v>
      </c>
      <c r="F21" s="142"/>
    </row>
    <row r="22" spans="1:6" ht="15.75">
      <c r="A22" s="143"/>
      <c r="B22" s="133" t="s">
        <v>209</v>
      </c>
      <c r="C22" s="150">
        <v>0</v>
      </c>
      <c r="D22" s="145"/>
      <c r="E22" s="141"/>
      <c r="F22" s="142"/>
    </row>
    <row r="23" spans="1:6" ht="15.75">
      <c r="A23" s="143"/>
      <c r="B23" s="133" t="s">
        <v>138</v>
      </c>
      <c r="C23" s="150">
        <v>0</v>
      </c>
      <c r="D23" s="145"/>
      <c r="E23" s="141"/>
      <c r="F23" s="142"/>
    </row>
    <row r="24" spans="1:6" ht="15.75">
      <c r="A24" s="143"/>
      <c r="B24" s="133" t="s">
        <v>160</v>
      </c>
      <c r="C24" s="150">
        <f ca="1">BS!F46-BS!G46</f>
        <v>-8254.86</v>
      </c>
      <c r="D24" s="145"/>
      <c r="E24" s="141"/>
      <c r="F24" s="142"/>
    </row>
    <row r="25" spans="1:6" ht="16.5" thickBot="1">
      <c r="A25" s="143"/>
      <c r="B25" s="133"/>
      <c r="C25" s="150"/>
      <c r="D25" s="152">
        <f ca="1">SUM(C20:C24)</f>
        <v>-15207.550000000001</v>
      </c>
      <c r="E25" s="141"/>
      <c r="F25" s="152">
        <f>SUM(E20:E24)</f>
        <v>0</v>
      </c>
    </row>
    <row r="26" spans="1:6" ht="16.5" thickTop="1">
      <c r="A26" s="146" t="s">
        <v>140</v>
      </c>
      <c r="B26" s="133"/>
      <c r="C26" s="150"/>
      <c r="D26" s="145"/>
      <c r="E26" s="141"/>
      <c r="F26" s="142"/>
    </row>
    <row r="27" spans="1:6" ht="15.75">
      <c r="A27" s="143"/>
      <c r="B27" s="132" t="s">
        <v>161</v>
      </c>
      <c r="C27" s="150" t="e">
        <f ca="1">BS!F20-BS!G20-'Sch - liab'!#REF!</f>
        <v>#REF!</v>
      </c>
      <c r="D27" s="145"/>
      <c r="E27" s="141"/>
      <c r="F27" s="142"/>
    </row>
    <row r="28" spans="1:6" ht="15.75">
      <c r="A28" s="143"/>
      <c r="B28" s="133" t="s">
        <v>143</v>
      </c>
      <c r="C28" s="150" t="e">
        <f>BS!F21-BS!G21-'Sch - liab'!#REF!</f>
        <v>#REF!</v>
      </c>
      <c r="D28" s="145"/>
      <c r="E28" s="141"/>
      <c r="F28" s="142"/>
    </row>
    <row r="29" spans="1:6" ht="15.75">
      <c r="A29" s="143"/>
      <c r="B29" s="133" t="s">
        <v>139</v>
      </c>
      <c r="C29" s="150">
        <f ca="1">+BS!F24-BS!G24</f>
        <v>-847.78</v>
      </c>
      <c r="D29" s="145"/>
      <c r="E29" s="141"/>
      <c r="F29" s="142"/>
    </row>
    <row r="30" spans="1:6" ht="15.75">
      <c r="A30" s="143"/>
      <c r="B30" s="133" t="s">
        <v>141</v>
      </c>
      <c r="C30" s="150">
        <f ca="1">+BS!F25-BS!G25</f>
        <v>-957.91000000000008</v>
      </c>
      <c r="D30" s="142"/>
      <c r="E30" s="141"/>
      <c r="F30" s="142"/>
    </row>
    <row r="31" spans="1:6" ht="16.5" thickBot="1">
      <c r="A31" s="143"/>
      <c r="B31" s="133"/>
      <c r="C31" s="150"/>
      <c r="D31" s="152" t="e">
        <f ca="1">SUM(C27:C31)</f>
        <v>#REF!</v>
      </c>
      <c r="E31" s="141"/>
      <c r="F31" s="152">
        <f>SUM(E27:E30)</f>
        <v>0</v>
      </c>
    </row>
    <row r="32" spans="1:6" ht="16.5" thickTop="1">
      <c r="A32" s="146" t="s">
        <v>142</v>
      </c>
      <c r="B32" s="133"/>
      <c r="C32" s="150"/>
      <c r="D32" s="145"/>
      <c r="E32" s="141"/>
      <c r="F32" s="142"/>
    </row>
    <row r="33" spans="1:6" ht="15.75" hidden="1">
      <c r="A33" s="143"/>
      <c r="B33" s="132" t="s">
        <v>161</v>
      </c>
      <c r="C33" s="150">
        <v>0</v>
      </c>
      <c r="D33" s="145"/>
      <c r="E33" s="150">
        <v>0</v>
      </c>
      <c r="F33" s="142"/>
    </row>
    <row r="34" spans="1:6" ht="15.75">
      <c r="A34" s="143"/>
      <c r="B34" s="133" t="s">
        <v>143</v>
      </c>
      <c r="C34" s="150">
        <v>0</v>
      </c>
      <c r="D34" s="145"/>
      <c r="E34" s="150">
        <v>0</v>
      </c>
      <c r="F34" s="142"/>
    </row>
    <row r="35" spans="1:6" ht="15.75">
      <c r="A35" s="143"/>
      <c r="B35" s="133" t="s">
        <v>208</v>
      </c>
      <c r="C35" s="150">
        <v>0</v>
      </c>
      <c r="D35" s="145"/>
      <c r="E35" s="150">
        <v>0</v>
      </c>
      <c r="F35" s="142"/>
    </row>
    <row r="36" spans="1:6" ht="15.75" hidden="1">
      <c r="A36" s="143"/>
      <c r="B36" s="133" t="s">
        <v>141</v>
      </c>
      <c r="C36" s="150">
        <f>IF(([109]BS!G26-[109]BS!F26)&gt;0,[109]BS!G26-[109]BS!F26,0)</f>
        <v>0</v>
      </c>
      <c r="D36" s="142"/>
      <c r="E36" s="150">
        <v>0</v>
      </c>
      <c r="F36" s="142"/>
    </row>
    <row r="37" spans="1:6" ht="15.75">
      <c r="A37" s="143"/>
      <c r="B37" s="133" t="s">
        <v>139</v>
      </c>
      <c r="C37" s="150">
        <v>0</v>
      </c>
      <c r="D37" s="142"/>
      <c r="E37" s="150"/>
      <c r="F37" s="142"/>
    </row>
    <row r="38" spans="1:6" ht="15.75">
      <c r="A38" s="143"/>
      <c r="B38" s="133"/>
      <c r="C38" s="157"/>
      <c r="D38" s="158">
        <f>SUM(C33:C37)</f>
        <v>0</v>
      </c>
      <c r="E38" s="141"/>
      <c r="F38" s="145">
        <f>SUM(E33:E37)</f>
        <v>0</v>
      </c>
    </row>
    <row r="39" spans="1:6" ht="15.75" thickBot="1">
      <c r="A39" s="166" t="s">
        <v>144</v>
      </c>
      <c r="B39" s="167"/>
      <c r="C39" s="168"/>
      <c r="D39" s="169" t="e">
        <f ca="1">+D6+D12+D18-D25+D31-D38</f>
        <v>#REF!</v>
      </c>
      <c r="E39" s="168"/>
      <c r="F39" s="169">
        <f>+F6+F12+F18-F25+F31-F38</f>
        <v>1218345.8699999999</v>
      </c>
    </row>
    <row r="40" spans="1:6" ht="15.75" thickTop="1">
      <c r="A40" s="143"/>
      <c r="B40" s="147"/>
      <c r="C40" s="159"/>
      <c r="D40" s="160"/>
      <c r="E40" s="141"/>
      <c r="F40" s="142"/>
    </row>
    <row r="41" spans="1:6">
      <c r="A41" s="137" t="s">
        <v>145</v>
      </c>
      <c r="B41" s="147"/>
      <c r="C41" s="148"/>
      <c r="D41" s="149"/>
      <c r="E41" s="141"/>
      <c r="F41" s="142"/>
    </row>
    <row r="42" spans="1:6">
      <c r="A42" s="143" t="s">
        <v>146</v>
      </c>
      <c r="B42" s="144" t="s">
        <v>147</v>
      </c>
      <c r="C42" s="150"/>
      <c r="D42" s="145"/>
      <c r="E42" s="141"/>
      <c r="F42" s="142"/>
    </row>
    <row r="43" spans="1:6">
      <c r="A43" s="143" t="s">
        <v>148</v>
      </c>
      <c r="B43" s="144" t="s">
        <v>149</v>
      </c>
      <c r="C43" s="150"/>
      <c r="D43" s="145" t="e">
        <f>'DEP CO aCT'!#REF!+'DEP CO aCT'!D49</f>
        <v>#REF!</v>
      </c>
      <c r="E43" s="141"/>
      <c r="F43" s="142"/>
    </row>
    <row r="44" spans="1:6" hidden="1">
      <c r="A44" s="143" t="s">
        <v>146</v>
      </c>
      <c r="B44" s="144" t="s">
        <v>150</v>
      </c>
      <c r="C44" s="150"/>
      <c r="D44" s="145"/>
      <c r="E44" s="141"/>
      <c r="F44" s="142"/>
    </row>
    <row r="45" spans="1:6">
      <c r="A45" s="143" t="s">
        <v>148</v>
      </c>
      <c r="B45" s="144" t="s">
        <v>151</v>
      </c>
      <c r="C45" s="150"/>
      <c r="D45" s="145">
        <f ca="1">BS!F35-BS!G35</f>
        <v>0</v>
      </c>
      <c r="E45" s="141"/>
      <c r="F45" s="142"/>
    </row>
    <row r="46" spans="1:6" hidden="1">
      <c r="A46" s="143"/>
      <c r="B46" s="144" t="s">
        <v>152</v>
      </c>
      <c r="C46" s="157"/>
      <c r="D46" s="161"/>
      <c r="E46" s="141"/>
      <c r="F46" s="142"/>
    </row>
    <row r="47" spans="1:6" ht="15.75" thickBot="1">
      <c r="A47" s="166" t="s">
        <v>153</v>
      </c>
      <c r="B47" s="167"/>
      <c r="C47" s="168"/>
      <c r="D47" s="169" t="e">
        <f ca="1">+D42-D43+D44-D45</f>
        <v>#REF!</v>
      </c>
      <c r="E47" s="168"/>
      <c r="F47" s="169">
        <f>+F42-F43+F44-F45</f>
        <v>0</v>
      </c>
    </row>
    <row r="48" spans="1:6" ht="15.75" thickTop="1">
      <c r="A48" s="143" t="s">
        <v>154</v>
      </c>
      <c r="B48" s="144" t="s">
        <v>155</v>
      </c>
      <c r="C48" s="159"/>
      <c r="D48" s="142">
        <v>0</v>
      </c>
      <c r="E48" s="141"/>
      <c r="F48" s="142"/>
    </row>
    <row r="49" spans="1:8" ht="15.75">
      <c r="A49" s="143" t="s">
        <v>154</v>
      </c>
      <c r="B49" s="132" t="s">
        <v>156</v>
      </c>
      <c r="C49" s="148"/>
      <c r="D49" s="145">
        <f ca="1">+BS!F15-BS!G15</f>
        <v>-43551.48</v>
      </c>
      <c r="E49" s="141"/>
      <c r="F49" s="142"/>
    </row>
    <row r="50" spans="1:8" ht="15.75">
      <c r="A50" s="143" t="s">
        <v>148</v>
      </c>
      <c r="B50" s="132" t="s">
        <v>156</v>
      </c>
      <c r="C50" s="150"/>
      <c r="D50" s="155">
        <v>0</v>
      </c>
      <c r="E50" s="141"/>
      <c r="F50" s="142"/>
    </row>
    <row r="51" spans="1:8" hidden="1">
      <c r="A51" s="143" t="s">
        <v>154</v>
      </c>
      <c r="B51" s="144" t="s">
        <v>157</v>
      </c>
      <c r="C51" s="157"/>
      <c r="D51" s="161"/>
      <c r="E51" s="141"/>
      <c r="F51" s="142"/>
    </row>
    <row r="52" spans="1:8" ht="15.75" thickBot="1">
      <c r="A52" s="166" t="s">
        <v>158</v>
      </c>
      <c r="B52" s="167"/>
      <c r="C52" s="168"/>
      <c r="D52" s="169">
        <f ca="1">D48+D49-D50+D51</f>
        <v>-43551.48</v>
      </c>
      <c r="E52" s="168"/>
      <c r="F52" s="169">
        <f>F48+F49-F50+F51</f>
        <v>0</v>
      </c>
    </row>
    <row r="53" spans="1:8" ht="16.5" thickTop="1" thickBot="1">
      <c r="A53" s="135"/>
      <c r="B53" s="162" t="s">
        <v>159</v>
      </c>
      <c r="C53" s="163"/>
      <c r="D53" s="164" t="e">
        <f ca="1">+D39+D47+D52</f>
        <v>#REF!</v>
      </c>
      <c r="E53" s="163"/>
      <c r="F53" s="164">
        <f>+F39+F47+F52</f>
        <v>1218345.8699999999</v>
      </c>
    </row>
    <row r="54" spans="1:8" ht="15.75" thickTop="1">
      <c r="A54" s="143"/>
      <c r="B54" s="165" t="s">
        <v>207</v>
      </c>
      <c r="C54" s="157"/>
      <c r="D54" s="161">
        <f>+BS!G44</f>
        <v>1437.4</v>
      </c>
      <c r="E54" s="157"/>
      <c r="F54" s="161">
        <f>+BS!I44</f>
        <v>0</v>
      </c>
    </row>
    <row r="55" spans="1:8" ht="15.75" thickBot="1">
      <c r="A55" s="166"/>
      <c r="B55" s="167" t="s">
        <v>206</v>
      </c>
      <c r="C55" s="168"/>
      <c r="D55" s="169" t="e">
        <f ca="1">+D53+D54</f>
        <v>#REF!</v>
      </c>
      <c r="E55" s="168"/>
      <c r="F55" s="169">
        <f>+F53+F54</f>
        <v>1218345.8699999999</v>
      </c>
      <c r="G55" s="80"/>
    </row>
    <row r="56" spans="1:8" ht="15.75" thickTop="1">
      <c r="A56" s="170"/>
      <c r="B56" s="170"/>
      <c r="C56" s="171"/>
      <c r="D56" s="171"/>
      <c r="E56" s="171"/>
      <c r="F56" s="171"/>
      <c r="G56" s="80"/>
    </row>
    <row r="57" spans="1:8" ht="15.75">
      <c r="A57" s="124" t="str">
        <f>BS!A50</f>
        <v>For A XXXXXXXXXXXociates</v>
      </c>
      <c r="B57" s="125"/>
      <c r="C57" s="125"/>
      <c r="D57" s="130" t="str">
        <f>BS!F51</f>
        <v>Abc Private Limited</v>
      </c>
      <c r="E57" s="123"/>
      <c r="F57" s="127"/>
      <c r="G57" s="92"/>
      <c r="H57" s="92"/>
    </row>
    <row r="58" spans="1:8" ht="15.75">
      <c r="A58" s="128" t="s">
        <v>119</v>
      </c>
      <c r="B58" s="125"/>
      <c r="C58" s="125"/>
      <c r="D58" s="125"/>
      <c r="E58" s="129"/>
      <c r="F58" s="129"/>
      <c r="G58" s="97"/>
      <c r="H58" s="97"/>
    </row>
    <row r="59" spans="1:8" ht="15.75">
      <c r="A59" s="125"/>
      <c r="B59" s="125"/>
      <c r="C59" s="125"/>
      <c r="D59" s="125"/>
      <c r="E59" s="130"/>
      <c r="F59" s="127"/>
      <c r="G59" s="92"/>
      <c r="H59" s="92"/>
    </row>
    <row r="60" spans="1:8" ht="15.75">
      <c r="A60" s="131" t="str">
        <f>BS!A56</f>
        <v>Akshay Garg</v>
      </c>
      <c r="B60" s="125"/>
      <c r="C60" s="125"/>
      <c r="D60" s="130" t="str">
        <f>BS!F56</f>
        <v>Director 1</v>
      </c>
      <c r="E60" s="171"/>
      <c r="F60" s="130" t="str">
        <f>BS!G56</f>
        <v>Director 2</v>
      </c>
      <c r="G60" s="92"/>
      <c r="H60" s="92"/>
    </row>
    <row r="61" spans="1:8" ht="15.75">
      <c r="A61" s="131" t="str">
        <f>BS!A57</f>
        <v>Partner</v>
      </c>
      <c r="B61" s="125"/>
      <c r="C61" s="125"/>
      <c r="D61" s="130" t="str">
        <f>BS!F57</f>
        <v>(DIRECTOR)</v>
      </c>
      <c r="E61" s="171"/>
      <c r="F61" s="130" t="str">
        <f>BS!G57</f>
        <v>(DIRECTOR)</v>
      </c>
      <c r="G61" s="92"/>
    </row>
    <row r="62" spans="1:8" ht="15.75">
      <c r="A62" s="131" t="str">
        <f>BS!A59</f>
        <v>Date</v>
      </c>
      <c r="B62" s="125"/>
      <c r="C62" s="125"/>
      <c r="D62" s="130" t="str">
        <f>BS!F58</f>
        <v>DIN - 00XXXX70</v>
      </c>
      <c r="E62" s="171"/>
      <c r="F62" s="130" t="str">
        <f>BS!G58</f>
        <v>DIN - 00XXXX70</v>
      </c>
      <c r="G62" s="92"/>
      <c r="H62" s="92"/>
    </row>
    <row r="63" spans="1:8" ht="15.75">
      <c r="A63" s="131" t="str">
        <f>BS!A60</f>
        <v>Place</v>
      </c>
      <c r="B63" s="125"/>
      <c r="C63" s="125"/>
      <c r="D63" s="125"/>
      <c r="E63" s="125"/>
      <c r="F63" s="125"/>
      <c r="G63" s="92"/>
      <c r="H63" s="92"/>
    </row>
  </sheetData>
  <mergeCells count="5">
    <mergeCell ref="E4:F4"/>
    <mergeCell ref="C4:D4"/>
    <mergeCell ref="A1:F1"/>
    <mergeCell ref="A2:F2"/>
    <mergeCell ref="A3:F3"/>
  </mergeCells>
  <phoneticPr fontId="10" type="noConversion"/>
  <pageMargins left="0.74803149606299213" right="0.70866141732283472" top="0.74803149606299213" bottom="0.74803149606299213" header="0.31496062992125984" footer="0.31496062992125984"/>
  <pageSetup paperSize="9" scale="8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J105"/>
  <sheetViews>
    <sheetView workbookViewId="0">
      <selection activeCell="G16" sqref="G16"/>
    </sheetView>
  </sheetViews>
  <sheetFormatPr defaultRowHeight="15"/>
  <cols>
    <col min="2" max="2" width="28.85546875" customWidth="1"/>
    <col min="3" max="3" width="17.140625" customWidth="1"/>
    <col min="4" max="4" width="29.140625" customWidth="1"/>
    <col min="5" max="5" width="16.28515625" customWidth="1"/>
    <col min="6" max="6" width="12" customWidth="1"/>
    <col min="7" max="7" width="14.7109375" customWidth="1"/>
    <col min="8" max="8" width="36.42578125" customWidth="1"/>
  </cols>
  <sheetData>
    <row r="1" spans="2:10">
      <c r="B1" t="s">
        <v>491</v>
      </c>
    </row>
    <row r="3" spans="2:10">
      <c r="B3" t="s">
        <v>492</v>
      </c>
    </row>
    <row r="4" spans="2:10">
      <c r="B4" s="1092" t="s">
        <v>493</v>
      </c>
      <c r="C4" s="1093" t="s">
        <v>373</v>
      </c>
      <c r="D4" s="1093" t="s">
        <v>374</v>
      </c>
      <c r="E4" s="1094" t="s">
        <v>494</v>
      </c>
      <c r="F4" s="1094"/>
      <c r="G4" s="1095" t="s">
        <v>495</v>
      </c>
      <c r="H4" s="1091" t="s">
        <v>496</v>
      </c>
    </row>
    <row r="5" spans="2:10">
      <c r="B5" s="1092"/>
      <c r="C5" s="1093"/>
      <c r="D5" s="1093"/>
      <c r="E5" t="s">
        <v>497</v>
      </c>
      <c r="F5" t="s">
        <v>498</v>
      </c>
      <c r="G5" s="1095"/>
      <c r="H5" s="1091"/>
    </row>
    <row r="6" spans="2:10" s="193" customFormat="1">
      <c r="B6" s="193" t="s">
        <v>499</v>
      </c>
      <c r="C6" s="193" t="s">
        <v>500</v>
      </c>
      <c r="D6" s="193" t="s">
        <v>422</v>
      </c>
      <c r="E6" s="640">
        <f ca="1">SUM(E20)</f>
        <v>0</v>
      </c>
      <c r="F6" s="640">
        <f>SUM(F20)</f>
        <v>2.0446814595291851</v>
      </c>
      <c r="G6" s="641">
        <f ca="1">SUM(E6-F6)/F6</f>
        <v>-1</v>
      </c>
      <c r="H6" s="648" t="s">
        <v>580</v>
      </c>
      <c r="I6" s="643"/>
      <c r="J6" s="643"/>
    </row>
    <row r="7" spans="2:10">
      <c r="B7" t="s">
        <v>501</v>
      </c>
      <c r="C7" t="s">
        <v>450</v>
      </c>
      <c r="D7" t="s">
        <v>502</v>
      </c>
      <c r="E7" s="569">
        <f ca="1">SUM(E24)</f>
        <v>0</v>
      </c>
      <c r="F7" s="569">
        <f>SUM(F24)</f>
        <v>3.2914305426797456E-2</v>
      </c>
      <c r="G7" s="641">
        <f ca="1">SUM(E7-F7)/F7</f>
        <v>-1</v>
      </c>
      <c r="H7" s="644" t="s">
        <v>583</v>
      </c>
      <c r="I7" s="569"/>
    </row>
    <row r="8" spans="2:10" s="193" customFormat="1" ht="30">
      <c r="B8" s="645" t="s">
        <v>503</v>
      </c>
      <c r="C8" s="642" t="s">
        <v>504</v>
      </c>
      <c r="D8" s="645" t="s">
        <v>505</v>
      </c>
      <c r="E8" s="646" t="e">
        <f ca="1">E33</f>
        <v>#DIV/0!</v>
      </c>
      <c r="F8" s="646" t="e">
        <f>F33</f>
        <v>#DIV/0!</v>
      </c>
      <c r="G8" s="641" t="e">
        <f ca="1">SUM(E8-F8)/F8</f>
        <v>#DIV/0!</v>
      </c>
      <c r="H8" s="642" t="s">
        <v>582</v>
      </c>
      <c r="I8" s="643"/>
    </row>
    <row r="9" spans="2:10" s="645" customFormat="1">
      <c r="B9" s="645" t="s">
        <v>506</v>
      </c>
      <c r="C9" s="645" t="s">
        <v>199</v>
      </c>
      <c r="D9" s="645" t="s">
        <v>507</v>
      </c>
      <c r="E9" s="647">
        <f ca="1">E47</f>
        <v>-8.8160318033671352E-3</v>
      </c>
      <c r="F9" s="647">
        <f>F47</f>
        <v>1.9869089566365568</v>
      </c>
      <c r="G9" s="641">
        <f t="shared" ref="G9:G15" ca="1" si="0">SUM(E9-F9)/F9</f>
        <v>-1.0044370587660398</v>
      </c>
      <c r="H9" s="644" t="s">
        <v>579</v>
      </c>
    </row>
    <row r="10" spans="2:10">
      <c r="B10" t="s">
        <v>508</v>
      </c>
      <c r="C10" s="648" t="s">
        <v>386</v>
      </c>
      <c r="D10" t="s">
        <v>379</v>
      </c>
      <c r="E10" s="649">
        <f ca="1">SUM(E54)</f>
        <v>0</v>
      </c>
      <c r="F10" s="649">
        <f>SUM(F54)</f>
        <v>243.22794203356676</v>
      </c>
      <c r="G10" s="641">
        <f t="shared" ca="1" si="0"/>
        <v>-1</v>
      </c>
    </row>
    <row r="11" spans="2:10">
      <c r="B11" t="s">
        <v>509</v>
      </c>
      <c r="C11" t="s">
        <v>510</v>
      </c>
      <c r="D11" t="s">
        <v>511</v>
      </c>
      <c r="E11" s="444">
        <f ca="1">SUM(E60)</f>
        <v>0</v>
      </c>
      <c r="F11" s="444">
        <f>SUM(F60)</f>
        <v>183.81489812327035</v>
      </c>
      <c r="G11" s="641">
        <f t="shared" ca="1" si="0"/>
        <v>-1</v>
      </c>
    </row>
    <row r="12" spans="2:10">
      <c r="B12" t="s">
        <v>512</v>
      </c>
      <c r="C12" t="s">
        <v>513</v>
      </c>
      <c r="D12" t="s">
        <v>514</v>
      </c>
      <c r="E12" s="444">
        <f ca="1">SUM(E67)</f>
        <v>0</v>
      </c>
      <c r="F12" s="444">
        <f>SUM(F67)</f>
        <v>0.83181704007992774</v>
      </c>
      <c r="G12" s="641">
        <f t="shared" ca="1" si="0"/>
        <v>-1</v>
      </c>
    </row>
    <row r="13" spans="2:10">
      <c r="B13" t="s">
        <v>515</v>
      </c>
      <c r="C13" t="s">
        <v>388</v>
      </c>
      <c r="D13" t="s">
        <v>516</v>
      </c>
      <c r="E13" s="444">
        <f ca="1">SUM(E84)</f>
        <v>0</v>
      </c>
      <c r="F13" s="444">
        <f>SUM(F84)</f>
        <v>120.63228677142084</v>
      </c>
      <c r="G13" s="641">
        <f t="shared" ca="1" si="0"/>
        <v>-1</v>
      </c>
      <c r="H13" s="648" t="s">
        <v>580</v>
      </c>
    </row>
    <row r="14" spans="2:10">
      <c r="B14" t="s">
        <v>517</v>
      </c>
      <c r="C14" t="s">
        <v>385</v>
      </c>
      <c r="D14" t="s">
        <v>388</v>
      </c>
      <c r="E14" s="650" t="e">
        <f ca="1">SUM(E95)</f>
        <v>#DIV/0!</v>
      </c>
      <c r="F14" s="650">
        <f>SUM(F95)</f>
        <v>0.98450907152201028</v>
      </c>
      <c r="G14" s="641" t="e">
        <f t="shared" ca="1" si="0"/>
        <v>#DIV/0!</v>
      </c>
      <c r="H14" s="648" t="s">
        <v>580</v>
      </c>
    </row>
    <row r="15" spans="2:10" s="193" customFormat="1" ht="30">
      <c r="B15" s="645" t="s">
        <v>518</v>
      </c>
      <c r="C15" s="642" t="s">
        <v>519</v>
      </c>
      <c r="D15" s="645" t="s">
        <v>520</v>
      </c>
      <c r="E15" s="647">
        <f ca="1">SUM(E99)</f>
        <v>-5.79286079100696E-3</v>
      </c>
      <c r="F15" s="647">
        <f>SUM(F99)</f>
        <v>0.97122525870319587</v>
      </c>
      <c r="G15" s="641">
        <f t="shared" ca="1" si="0"/>
        <v>-1.0059644873721074</v>
      </c>
      <c r="H15" s="648" t="s">
        <v>581</v>
      </c>
    </row>
    <row r="16" spans="2:10">
      <c r="B16" t="s">
        <v>521</v>
      </c>
      <c r="H16" s="651"/>
    </row>
    <row r="19" spans="2:6">
      <c r="B19" t="s">
        <v>522</v>
      </c>
    </row>
    <row r="20" spans="2:6">
      <c r="B20" t="s">
        <v>499</v>
      </c>
      <c r="D20" t="s">
        <v>523</v>
      </c>
      <c r="E20" s="444">
        <f ca="1">SUM(E21/E22)</f>
        <v>0</v>
      </c>
      <c r="F20" s="444">
        <f>SUM(F21/F22)</f>
        <v>2.0446814595291851</v>
      </c>
    </row>
    <row r="21" spans="2:6">
      <c r="D21" t="s">
        <v>524</v>
      </c>
      <c r="E21" s="569">
        <f ca="1">SUM(BS!F41:F46)</f>
        <v>0</v>
      </c>
      <c r="F21" s="569">
        <f>SUM(BS!G41:G46)</f>
        <v>16944.95</v>
      </c>
    </row>
    <row r="22" spans="2:6">
      <c r="D22" t="s">
        <v>422</v>
      </c>
      <c r="E22" s="569">
        <f ca="1">SUM(BS!F20:F25)</f>
        <v>8269.86</v>
      </c>
      <c r="F22" s="569">
        <f>SUM(BS!G20:G25)</f>
        <v>8287.33</v>
      </c>
    </row>
    <row r="24" spans="2:6">
      <c r="B24" t="s">
        <v>501</v>
      </c>
      <c r="D24" t="s">
        <v>525</v>
      </c>
      <c r="E24" s="444">
        <f ca="1">SUM(E25/E31)</f>
        <v>0</v>
      </c>
      <c r="F24" s="444">
        <f>SUM(F25/F31)</f>
        <v>3.2914305426797456E-2</v>
      </c>
    </row>
    <row r="25" spans="2:6">
      <c r="D25" s="186" t="s">
        <v>526</v>
      </c>
      <c r="E25" s="652">
        <f ca="1">SUM(E26:E29)</f>
        <v>0</v>
      </c>
      <c r="F25" s="652">
        <f>SUM(F26:F29)</f>
        <v>40025.26</v>
      </c>
    </row>
    <row r="26" spans="2:6">
      <c r="D26" t="s">
        <v>527</v>
      </c>
      <c r="E26" s="444">
        <f ca="1">BS!F15</f>
        <v>-5153.8600000000006</v>
      </c>
      <c r="F26" s="444">
        <f>BS!G15</f>
        <v>38397.620000000003</v>
      </c>
    </row>
    <row r="27" spans="2:6">
      <c r="D27" t="s">
        <v>528</v>
      </c>
      <c r="E27" s="444">
        <v>0</v>
      </c>
      <c r="F27" s="444">
        <v>0</v>
      </c>
    </row>
    <row r="28" spans="2:6">
      <c r="D28" t="s">
        <v>529</v>
      </c>
      <c r="E28" s="444">
        <f ca="1">BS!F20</f>
        <v>5153.8600000000006</v>
      </c>
      <c r="F28" s="444">
        <f>BS!G20</f>
        <v>1627.64</v>
      </c>
    </row>
    <row r="29" spans="2:6">
      <c r="D29" t="s">
        <v>530</v>
      </c>
      <c r="E29" s="444">
        <v>0</v>
      </c>
      <c r="F29" s="444">
        <v>0</v>
      </c>
    </row>
    <row r="30" spans="2:6">
      <c r="E30" s="444"/>
      <c r="F30" s="444"/>
    </row>
    <row r="31" spans="2:6">
      <c r="D31" t="s">
        <v>531</v>
      </c>
      <c r="E31" s="444">
        <f ca="1">SUM(BS!F10:F12)</f>
        <v>1205370.8600000001</v>
      </c>
      <c r="F31" s="444">
        <f>SUM(BS!G10:G12)</f>
        <v>1216044.4974</v>
      </c>
    </row>
    <row r="33" spans="2:6">
      <c r="B33" t="s">
        <v>503</v>
      </c>
      <c r="D33" t="s">
        <v>452</v>
      </c>
      <c r="E33" s="444" t="e">
        <f ca="1">SUM(E40/E42)</f>
        <v>#DIV/0!</v>
      </c>
      <c r="F33" s="444" t="e">
        <f>SUM(F40/F42)</f>
        <v>#DIV/0!</v>
      </c>
    </row>
    <row r="34" spans="2:6">
      <c r="D34" s="186" t="s">
        <v>532</v>
      </c>
    </row>
    <row r="35" spans="2:6">
      <c r="D35" t="s">
        <v>533</v>
      </c>
      <c r="E35" s="569">
        <f ca="1">PL!F33</f>
        <v>-6952.6900000000005</v>
      </c>
      <c r="F35" s="569">
        <f>PL!G33</f>
        <v>1212875.9999999998</v>
      </c>
    </row>
    <row r="36" spans="2:6">
      <c r="D36" s="186" t="s">
        <v>534</v>
      </c>
      <c r="E36" s="569"/>
      <c r="F36" s="569"/>
    </row>
    <row r="37" spans="2:6">
      <c r="D37" s="653" t="s">
        <v>535</v>
      </c>
      <c r="E37" s="569">
        <f ca="1">PL!F19</f>
        <v>0</v>
      </c>
      <c r="F37" s="569">
        <f>PL!G19</f>
        <v>0</v>
      </c>
    </row>
    <row r="38" spans="2:6" ht="30">
      <c r="D38" s="654" t="s">
        <v>536</v>
      </c>
      <c r="E38" s="643">
        <f>PL!F20</f>
        <v>0</v>
      </c>
      <c r="F38" s="643">
        <f>PL!G20</f>
        <v>5469.87</v>
      </c>
    </row>
    <row r="39" spans="2:6">
      <c r="D39" t="s">
        <v>537</v>
      </c>
      <c r="E39" s="569">
        <v>0</v>
      </c>
      <c r="F39" s="569">
        <v>0</v>
      </c>
    </row>
    <row r="40" spans="2:6">
      <c r="D40" t="s">
        <v>538</v>
      </c>
      <c r="E40" s="569">
        <f ca="1">SUM(E35:E39)</f>
        <v>-6952.6900000000005</v>
      </c>
      <c r="F40" s="569">
        <f>SUM(F35:F39)</f>
        <v>1218345.8699999999</v>
      </c>
    </row>
    <row r="41" spans="2:6">
      <c r="E41" s="569"/>
      <c r="F41" s="569"/>
    </row>
    <row r="42" spans="2:6">
      <c r="D42" s="186" t="s">
        <v>539</v>
      </c>
      <c r="E42" s="655">
        <f ca="1">E43+E44+E45</f>
        <v>0</v>
      </c>
      <c r="F42" s="655">
        <f>F43+F44+F45</f>
        <v>0</v>
      </c>
    </row>
    <row r="43" spans="2:6">
      <c r="D43" t="s">
        <v>540</v>
      </c>
      <c r="E43" s="569">
        <f ca="1">PL!$F$19</f>
        <v>0</v>
      </c>
      <c r="F43" s="569">
        <f>PL!$G$19</f>
        <v>0</v>
      </c>
    </row>
    <row r="44" spans="2:6">
      <c r="D44" t="s">
        <v>541</v>
      </c>
      <c r="E44" s="569">
        <v>0</v>
      </c>
      <c r="F44" s="569">
        <v>0</v>
      </c>
    </row>
    <row r="45" spans="2:6">
      <c r="D45" t="s">
        <v>542</v>
      </c>
      <c r="E45" s="569">
        <v>0</v>
      </c>
      <c r="F45" s="569">
        <v>0</v>
      </c>
    </row>
    <row r="47" spans="2:6">
      <c r="B47" t="s">
        <v>506</v>
      </c>
      <c r="D47" t="s">
        <v>543</v>
      </c>
      <c r="E47" s="650">
        <f ca="1">SUM(E48/E49)</f>
        <v>-8.8160318033671352E-3</v>
      </c>
      <c r="F47" s="650">
        <f>SUM(F48/F49)</f>
        <v>1.9869089566365568</v>
      </c>
    </row>
    <row r="48" spans="2:6">
      <c r="D48" t="s">
        <v>544</v>
      </c>
      <c r="E48" s="444">
        <f ca="1">PL!F45</f>
        <v>-10673.6374</v>
      </c>
      <c r="F48" s="444">
        <f>PL!G45</f>
        <v>1212039.3469999998</v>
      </c>
    </row>
    <row r="49" spans="2:7">
      <c r="D49" t="s">
        <v>545</v>
      </c>
      <c r="E49" s="569">
        <f ca="1">SUM(E50+E51)/2</f>
        <v>1210707.6787</v>
      </c>
      <c r="F49" s="569">
        <f>SUM(F50+F51)/2</f>
        <v>610012.52370000002</v>
      </c>
    </row>
    <row r="50" spans="2:7">
      <c r="D50" t="s">
        <v>546</v>
      </c>
      <c r="E50" s="569">
        <f>SUM(BS!G10:G12)</f>
        <v>1216044.4974</v>
      </c>
      <c r="F50">
        <v>3980.5499999999988</v>
      </c>
    </row>
    <row r="51" spans="2:7">
      <c r="D51" t="s">
        <v>547</v>
      </c>
      <c r="E51" s="444">
        <f ca="1">SUM(BS!F10:F12)</f>
        <v>1205370.8600000001</v>
      </c>
      <c r="F51" s="444">
        <f>SUM(BS!G10:G12)</f>
        <v>1216044.4974</v>
      </c>
    </row>
    <row r="54" spans="2:7">
      <c r="B54" t="s">
        <v>548</v>
      </c>
      <c r="D54" t="s">
        <v>367</v>
      </c>
      <c r="E54" s="444">
        <f ca="1">SUM(E55/E56)</f>
        <v>0</v>
      </c>
      <c r="F54" s="444">
        <f>SUM(F55/F56)</f>
        <v>243.22794203356676</v>
      </c>
    </row>
    <row r="55" spans="2:7">
      <c r="D55" t="s">
        <v>549</v>
      </c>
      <c r="E55" s="569">
        <f ca="1">PL!F8</f>
        <v>0</v>
      </c>
      <c r="F55" s="569">
        <f>PL!G8</f>
        <v>1231110.3899999999</v>
      </c>
    </row>
    <row r="56" spans="2:7">
      <c r="D56" t="s">
        <v>550</v>
      </c>
      <c r="E56" s="569">
        <f ca="1">SUM(E57+E58)/2</f>
        <v>3476.3450000000003</v>
      </c>
      <c r="F56" s="569">
        <f>SUM(F57+F58)/2</f>
        <v>5061.55</v>
      </c>
    </row>
    <row r="57" spans="2:7">
      <c r="D57" t="s">
        <v>551</v>
      </c>
      <c r="E57" s="569">
        <f>F58</f>
        <v>6952.6900000000005</v>
      </c>
      <c r="F57">
        <v>3170.41</v>
      </c>
    </row>
    <row r="58" spans="2:7">
      <c r="D58" t="s">
        <v>552</v>
      </c>
      <c r="E58" s="569">
        <f ca="1">BS!F42</f>
        <v>0</v>
      </c>
      <c r="F58" s="569">
        <f>BS!G42</f>
        <v>6952.6900000000005</v>
      </c>
    </row>
    <row r="60" spans="2:7">
      <c r="B60" t="s">
        <v>509</v>
      </c>
      <c r="D60" t="s">
        <v>456</v>
      </c>
      <c r="E60" s="444">
        <f ca="1">SUM(E61/E63)</f>
        <v>0</v>
      </c>
      <c r="F60" s="444">
        <f>SUM(F61/F63)</f>
        <v>183.81489812327035</v>
      </c>
    </row>
    <row r="61" spans="2:7">
      <c r="D61" t="s">
        <v>553</v>
      </c>
      <c r="E61" s="569">
        <f ca="1">E55</f>
        <v>0</v>
      </c>
      <c r="F61" s="569">
        <f>F55</f>
        <v>1231110.3899999999</v>
      </c>
    </row>
    <row r="62" spans="2:7">
      <c r="D62" s="186" t="s">
        <v>554</v>
      </c>
    </row>
    <row r="63" spans="2:7">
      <c r="D63" t="s">
        <v>555</v>
      </c>
      <c r="E63" s="569">
        <f ca="1">SUM(E64+E65)/2</f>
        <v>150</v>
      </c>
      <c r="F63" s="569">
        <f>SUM(F64+F65)/2</f>
        <v>6697.5549999999994</v>
      </c>
      <c r="G63" s="569"/>
    </row>
    <row r="64" spans="2:7">
      <c r="D64" t="s">
        <v>556</v>
      </c>
      <c r="E64" s="444">
        <f>F65</f>
        <v>300</v>
      </c>
      <c r="F64" s="444">
        <v>13095.109999999999</v>
      </c>
    </row>
    <row r="65" spans="2:6">
      <c r="D65" t="s">
        <v>557</v>
      </c>
      <c r="E65" s="444">
        <f ca="1">BS!F43</f>
        <v>0</v>
      </c>
      <c r="F65" s="444">
        <f>BS!G43</f>
        <v>300</v>
      </c>
    </row>
    <row r="67" spans="2:6">
      <c r="B67" t="s">
        <v>512</v>
      </c>
      <c r="D67" t="s">
        <v>459</v>
      </c>
      <c r="E67" s="1005">
        <f ca="1">SUM(E68/E80)</f>
        <v>0</v>
      </c>
      <c r="F67" s="1005">
        <f>SUM(F68/F80)</f>
        <v>0.83181704007992774</v>
      </c>
    </row>
    <row r="68" spans="2:6">
      <c r="D68" t="s">
        <v>513</v>
      </c>
      <c r="E68" s="1004">
        <f ca="1">PL!F16</f>
        <v>0</v>
      </c>
      <c r="F68" s="1004">
        <f>PL!G16</f>
        <v>7384.8799999999992</v>
      </c>
    </row>
    <row r="69" spans="2:6">
      <c r="D69" t="s">
        <v>558</v>
      </c>
      <c r="E69" s="1004">
        <v>0</v>
      </c>
      <c r="F69" s="1004">
        <v>0</v>
      </c>
    </row>
    <row r="70" spans="2:6">
      <c r="D70" s="186" t="s">
        <v>559</v>
      </c>
      <c r="E70" s="1004">
        <f>SUM(E75+E77-E76)</f>
        <v>0</v>
      </c>
      <c r="F70" s="1004">
        <f>SUM(F75+F77-F76)</f>
        <v>0</v>
      </c>
    </row>
    <row r="71" spans="2:6">
      <c r="D71" t="s">
        <v>560</v>
      </c>
      <c r="E71" s="1004">
        <v>0</v>
      </c>
      <c r="F71" s="1004">
        <v>0</v>
      </c>
    </row>
    <row r="72" spans="2:6">
      <c r="D72" t="s">
        <v>561</v>
      </c>
      <c r="E72" s="1004">
        <v>0</v>
      </c>
      <c r="F72" s="1004">
        <v>0</v>
      </c>
    </row>
    <row r="73" spans="2:6">
      <c r="D73" t="s">
        <v>562</v>
      </c>
      <c r="E73" s="1004">
        <v>0</v>
      </c>
      <c r="F73" s="1004">
        <v>0</v>
      </c>
    </row>
    <row r="74" spans="2:6">
      <c r="D74" t="s">
        <v>563</v>
      </c>
      <c r="E74" s="1004">
        <v>0</v>
      </c>
      <c r="F74" s="1004">
        <v>0</v>
      </c>
    </row>
    <row r="75" spans="2:6">
      <c r="D75" s="186" t="s">
        <v>88</v>
      </c>
      <c r="E75" s="1004">
        <f>SUM(E71:E74)</f>
        <v>0</v>
      </c>
      <c r="F75" s="1004">
        <f>SUM(F71:F74)</f>
        <v>0</v>
      </c>
    </row>
    <row r="76" spans="2:6">
      <c r="D76" t="s">
        <v>564</v>
      </c>
      <c r="E76" s="1004">
        <v>0</v>
      </c>
      <c r="F76" s="1004">
        <v>0</v>
      </c>
    </row>
    <row r="77" spans="2:6">
      <c r="D77" t="s">
        <v>565</v>
      </c>
      <c r="E77" s="1004">
        <v>0</v>
      </c>
      <c r="F77" s="1004">
        <v>0</v>
      </c>
    </row>
    <row r="78" spans="2:6">
      <c r="E78" s="1006"/>
      <c r="F78" s="1006"/>
    </row>
    <row r="79" spans="2:6">
      <c r="D79" s="186" t="s">
        <v>514</v>
      </c>
      <c r="E79" s="1006"/>
      <c r="F79" s="1006"/>
    </row>
    <row r="80" spans="2:6">
      <c r="D80" t="s">
        <v>566</v>
      </c>
      <c r="E80" s="1004">
        <f>SUM(E81+E82)/2</f>
        <v>3984.5</v>
      </c>
      <c r="F80" s="1004">
        <f>SUM(F81+F82)/2</f>
        <v>8878.01</v>
      </c>
    </row>
    <row r="81" spans="2:6">
      <c r="D81" t="s">
        <v>567</v>
      </c>
      <c r="E81" s="1004">
        <f>F82</f>
        <v>4854</v>
      </c>
      <c r="F81" s="1006">
        <v>12902.02</v>
      </c>
    </row>
    <row r="82" spans="2:6">
      <c r="D82" t="s">
        <v>568</v>
      </c>
      <c r="E82" s="1004">
        <f>BS!F23</f>
        <v>3115</v>
      </c>
      <c r="F82" s="1004">
        <f>BS!G23</f>
        <v>4854</v>
      </c>
    </row>
    <row r="84" spans="2:6">
      <c r="B84" t="s">
        <v>515</v>
      </c>
      <c r="D84" t="s">
        <v>463</v>
      </c>
      <c r="E84" s="444">
        <f ca="1">SUM(E85/E88)</f>
        <v>0</v>
      </c>
      <c r="F84" s="444">
        <f>SUM(F85/F88)</f>
        <v>120.63228677142084</v>
      </c>
    </row>
    <row r="85" spans="2:6">
      <c r="D85" t="s">
        <v>388</v>
      </c>
      <c r="E85" s="569">
        <f ca="1">SUM(E86+E87)</f>
        <v>0</v>
      </c>
      <c r="F85" s="569">
        <f>SUM(F86+F87)</f>
        <v>1231110.3899999999</v>
      </c>
    </row>
    <row r="86" spans="2:6">
      <c r="D86" t="s">
        <v>549</v>
      </c>
      <c r="E86" s="569">
        <f ca="1">E55</f>
        <v>0</v>
      </c>
      <c r="F86" s="569">
        <f>F55</f>
        <v>1231110.3899999999</v>
      </c>
    </row>
    <row r="87" spans="2:6">
      <c r="D87" t="s">
        <v>569</v>
      </c>
      <c r="E87" s="569">
        <v>0</v>
      </c>
      <c r="F87" s="569">
        <v>0</v>
      </c>
    </row>
    <row r="88" spans="2:6">
      <c r="D88" s="186" t="s">
        <v>516</v>
      </c>
      <c r="E88" s="569">
        <f ca="1">SUM(E89+E90)/2</f>
        <v>193.88000000000011</v>
      </c>
      <c r="F88" s="569">
        <f>SUM(F89+F90)/2</f>
        <v>10205.48</v>
      </c>
    </row>
    <row r="89" spans="2:6">
      <c r="D89" t="s">
        <v>570</v>
      </c>
      <c r="E89" s="569">
        <f>F90</f>
        <v>8657.6200000000008</v>
      </c>
      <c r="F89">
        <v>11753.339999999998</v>
      </c>
    </row>
    <row r="90" spans="2:6">
      <c r="D90" t="s">
        <v>571</v>
      </c>
      <c r="E90" s="569">
        <f ca="1">E93</f>
        <v>-8269.86</v>
      </c>
      <c r="F90" s="569">
        <f>F93</f>
        <v>8657.6200000000008</v>
      </c>
    </row>
    <row r="91" spans="2:6">
      <c r="D91" t="s">
        <v>448</v>
      </c>
      <c r="E91" s="569">
        <f ca="1">E21</f>
        <v>0</v>
      </c>
      <c r="F91" s="569">
        <f>F21</f>
        <v>16944.95</v>
      </c>
    </row>
    <row r="92" spans="2:6">
      <c r="D92" t="s">
        <v>422</v>
      </c>
      <c r="E92" s="569">
        <f ca="1">E22</f>
        <v>8269.86</v>
      </c>
      <c r="F92" s="569">
        <f>F22</f>
        <v>8287.33</v>
      </c>
    </row>
    <row r="93" spans="2:6">
      <c r="D93" t="s">
        <v>572</v>
      </c>
      <c r="E93" s="569">
        <f ca="1">E91-E92</f>
        <v>-8269.86</v>
      </c>
      <c r="F93" s="569">
        <f>F91-F92</f>
        <v>8657.6200000000008</v>
      </c>
    </row>
    <row r="94" spans="2:6">
      <c r="E94" s="569"/>
      <c r="F94" s="569"/>
    </row>
    <row r="95" spans="2:6">
      <c r="B95" t="s">
        <v>517</v>
      </c>
      <c r="D95" t="s">
        <v>466</v>
      </c>
      <c r="E95" s="650" t="e">
        <f ca="1">SUM(E96/E97)</f>
        <v>#DIV/0!</v>
      </c>
      <c r="F95" s="650">
        <f>SUM(F96/F97)</f>
        <v>0.98450907152201028</v>
      </c>
    </row>
    <row r="96" spans="2:6">
      <c r="D96" t="s">
        <v>573</v>
      </c>
      <c r="E96" s="444">
        <f ca="1">PL!F45</f>
        <v>-10673.6374</v>
      </c>
      <c r="F96" s="444">
        <f>PL!G45</f>
        <v>1212039.3469999998</v>
      </c>
    </row>
    <row r="97" spans="2:6">
      <c r="D97" t="s">
        <v>388</v>
      </c>
      <c r="E97" s="569">
        <f ca="1">E85</f>
        <v>0</v>
      </c>
      <c r="F97" s="569">
        <f>F85</f>
        <v>1231110.3899999999</v>
      </c>
    </row>
    <row r="99" spans="2:6">
      <c r="B99" t="s">
        <v>574</v>
      </c>
      <c r="D99" t="s">
        <v>575</v>
      </c>
      <c r="E99" s="1002">
        <f ca="1">SUM(E100/E101)</f>
        <v>-5.79286079100696E-3</v>
      </c>
      <c r="F99" s="1002">
        <f>SUM(F100/F101)</f>
        <v>0.97122525870319587</v>
      </c>
    </row>
    <row r="100" spans="2:6">
      <c r="D100" s="642" t="s">
        <v>519</v>
      </c>
      <c r="E100" s="1003">
        <f ca="1">SUM(E40)</f>
        <v>-6952.6900000000005</v>
      </c>
      <c r="F100" s="1003">
        <f>SUM(F40)</f>
        <v>1218345.8699999999</v>
      </c>
    </row>
    <row r="101" spans="2:6">
      <c r="D101" s="193" t="s">
        <v>520</v>
      </c>
      <c r="E101" s="1004">
        <f ca="1">SUM(E104:E105)</f>
        <v>1200217</v>
      </c>
      <c r="F101" s="1004">
        <f>SUM(F104:F105)</f>
        <v>1254442.1174000001</v>
      </c>
    </row>
    <row r="102" spans="2:6">
      <c r="D102" t="s">
        <v>531</v>
      </c>
      <c r="E102" s="1005">
        <f ca="1">E31</f>
        <v>1205370.8600000001</v>
      </c>
      <c r="F102" s="1005">
        <f>F31</f>
        <v>1216044.4974</v>
      </c>
    </row>
    <row r="103" spans="2:6">
      <c r="D103" t="s">
        <v>576</v>
      </c>
      <c r="E103" s="1005">
        <v>0</v>
      </c>
      <c r="F103" s="1005">
        <v>0</v>
      </c>
    </row>
    <row r="104" spans="2:6">
      <c r="D104" t="s">
        <v>577</v>
      </c>
      <c r="E104" s="1005">
        <f ca="1">+E102-E103</f>
        <v>1205370.8600000001</v>
      </c>
      <c r="F104" s="1005">
        <f>+F102-F103</f>
        <v>1216044.4974</v>
      </c>
    </row>
    <row r="105" spans="2:6">
      <c r="D105" t="s">
        <v>578</v>
      </c>
      <c r="E105" s="1004">
        <f ca="1">BS!F15</f>
        <v>-5153.8600000000006</v>
      </c>
      <c r="F105" s="1004">
        <f>BS!G15</f>
        <v>38397.620000000003</v>
      </c>
    </row>
  </sheetData>
  <mergeCells count="6">
    <mergeCell ref="H4:H5"/>
    <mergeCell ref="B4:B5"/>
    <mergeCell ref="C4:C5"/>
    <mergeCell ref="D4:D5"/>
    <mergeCell ref="E4:F4"/>
    <mergeCell ref="G4:G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44"/>
  <sheetViews>
    <sheetView showGridLines="0" view="pageBreakPreview" topLeftCell="A41" zoomScaleSheetLayoutView="100" workbookViewId="0">
      <selection activeCell="E52" sqref="E52"/>
    </sheetView>
  </sheetViews>
  <sheetFormatPr defaultRowHeight="15"/>
  <cols>
    <col min="1" max="1" width="43.5703125" style="412" customWidth="1"/>
    <col min="2" max="7" width="16.7109375" style="412" customWidth="1"/>
    <col min="8" max="8" width="60.28515625" customWidth="1"/>
  </cols>
  <sheetData>
    <row r="1" spans="1:8">
      <c r="A1" s="632"/>
    </row>
    <row r="2" spans="1:8">
      <c r="A2" s="312" t="str">
        <f ca="1">"Note "&amp;BS!$E$21&amp;"  TRADE PAYABLES"</f>
        <v>Note 7  TRADE PAYABLES</v>
      </c>
      <c r="B2" s="397"/>
      <c r="C2" s="397"/>
      <c r="D2" s="312"/>
      <c r="E2" s="339"/>
      <c r="F2" s="339"/>
    </row>
    <row r="3" spans="1:8">
      <c r="A3" s="312"/>
      <c r="B3" s="397"/>
      <c r="C3" s="397"/>
      <c r="D3" s="312"/>
      <c r="E3" s="339"/>
      <c r="F3" s="339"/>
    </row>
    <row r="4" spans="1:8">
      <c r="A4" s="312" t="s">
        <v>287</v>
      </c>
      <c r="B4" s="397"/>
      <c r="C4" s="397"/>
      <c r="D4" s="312"/>
      <c r="E4" s="339"/>
      <c r="F4" s="339"/>
    </row>
    <row r="5" spans="1:8" ht="36.75" customHeight="1">
      <c r="A5" s="1096" t="s">
        <v>63</v>
      </c>
      <c r="B5" s="1097" t="s">
        <v>270</v>
      </c>
      <c r="C5" s="1097"/>
      <c r="D5" s="1097"/>
      <c r="E5" s="1097"/>
      <c r="F5" s="413"/>
    </row>
    <row r="6" spans="1:8" ht="36.75" customHeight="1">
      <c r="A6" s="1096"/>
      <c r="B6" s="483" t="s">
        <v>271</v>
      </c>
      <c r="C6" s="483" t="s">
        <v>272</v>
      </c>
      <c r="D6" s="483" t="s">
        <v>273</v>
      </c>
      <c r="E6" s="483" t="s">
        <v>274</v>
      </c>
      <c r="F6" s="483" t="s">
        <v>88</v>
      </c>
    </row>
    <row r="7" spans="1:8" ht="21" customHeight="1">
      <c r="A7" s="414" t="s">
        <v>275</v>
      </c>
      <c r="B7" s="415">
        <v>0</v>
      </c>
      <c r="C7" s="415">
        <v>1</v>
      </c>
      <c r="D7" s="415">
        <v>0</v>
      </c>
      <c r="E7" s="415">
        <v>0</v>
      </c>
      <c r="F7" s="570">
        <f>SUM(B7:E7)</f>
        <v>1</v>
      </c>
    </row>
    <row r="8" spans="1:8" ht="21" customHeight="1">
      <c r="A8" s="414" t="s">
        <v>276</v>
      </c>
      <c r="B8" s="415">
        <v>14</v>
      </c>
      <c r="C8" s="415">
        <v>324</v>
      </c>
      <c r="D8" s="415">
        <v>2345</v>
      </c>
      <c r="E8" s="415">
        <v>432</v>
      </c>
      <c r="F8" s="570">
        <f>SUM(B8:E8)</f>
        <v>3115</v>
      </c>
    </row>
    <row r="9" spans="1:8" ht="21" customHeight="1">
      <c r="A9" s="414" t="s">
        <v>277</v>
      </c>
      <c r="B9" s="415">
        <v>0</v>
      </c>
      <c r="C9" s="415">
        <v>1</v>
      </c>
      <c r="D9" s="415">
        <v>0</v>
      </c>
      <c r="E9" s="415">
        <v>0</v>
      </c>
      <c r="F9" s="570">
        <f>SUM(B9:E9)</f>
        <v>1</v>
      </c>
    </row>
    <row r="10" spans="1:8" ht="21" customHeight="1">
      <c r="A10" s="414" t="s">
        <v>278</v>
      </c>
      <c r="B10" s="415">
        <v>0</v>
      </c>
      <c r="C10" s="415">
        <v>0</v>
      </c>
      <c r="D10" s="415">
        <v>0</v>
      </c>
      <c r="E10" s="415">
        <v>0</v>
      </c>
      <c r="F10" s="570">
        <f>SUM(B10:E10)</f>
        <v>0</v>
      </c>
    </row>
    <row r="11" spans="1:8" ht="21" customHeight="1">
      <c r="A11" s="414" t="s">
        <v>276</v>
      </c>
      <c r="B11" s="415">
        <v>0</v>
      </c>
      <c r="C11" s="415">
        <v>0</v>
      </c>
      <c r="D11" s="415">
        <v>0</v>
      </c>
      <c r="E11" s="415">
        <v>0</v>
      </c>
      <c r="F11" s="570">
        <f>SUM(B11:E11)</f>
        <v>0</v>
      </c>
    </row>
    <row r="12" spans="1:8" ht="21" customHeight="1">
      <c r="A12" s="416" t="s">
        <v>400</v>
      </c>
      <c r="B12" s="408">
        <f>SUM(B7:B11)</f>
        <v>14</v>
      </c>
      <c r="C12" s="408">
        <f t="shared" ref="C12:E12" si="0">SUM(C7:C11)</f>
        <v>326</v>
      </c>
      <c r="D12" s="408">
        <f t="shared" si="0"/>
        <v>2345</v>
      </c>
      <c r="E12" s="408">
        <f t="shared" si="0"/>
        <v>432</v>
      </c>
      <c r="F12" s="571">
        <f>SUM(F7:F11)</f>
        <v>3117</v>
      </c>
      <c r="H12" s="389">
        <f ca="1">IFERROR(IF(OR(VLOOKUP($A$12,INDIRECT(BS!$J$1&amp;"[[Sub Group]:[BS&amp;PL_Face]]"),2,FALSE)="Liability",VLOOKUP($A$12,INDIRECT(BS!$J$1&amp;"[[Sub Group]:[BS&amp;PL_Face]]"),2,FALSE)="Income"),-1,1),1)*SUMIF(INDIRECT(BS!$J$1&amp;"[Sub Group]"),$A$12,INDIRECT(BS!$J$1&amp;"[Rs. In Hundereds]"))</f>
        <v>0</v>
      </c>
    </row>
    <row r="14" spans="1:8">
      <c r="A14" s="312" t="s">
        <v>288</v>
      </c>
    </row>
    <row r="15" spans="1:8" ht="30" customHeight="1">
      <c r="A15" s="1096" t="s">
        <v>63</v>
      </c>
      <c r="B15" s="1097" t="s">
        <v>270</v>
      </c>
      <c r="C15" s="1097"/>
      <c r="D15" s="1097"/>
      <c r="E15" s="1097"/>
      <c r="F15" s="413"/>
    </row>
    <row r="16" spans="1:8" ht="30" customHeight="1">
      <c r="A16" s="1096"/>
      <c r="B16" s="483" t="s">
        <v>271</v>
      </c>
      <c r="C16" s="483" t="s">
        <v>272</v>
      </c>
      <c r="D16" s="483" t="s">
        <v>273</v>
      </c>
      <c r="E16" s="483" t="s">
        <v>274</v>
      </c>
      <c r="F16" s="483" t="s">
        <v>88</v>
      </c>
    </row>
    <row r="17" spans="1:7" ht="21.75" customHeight="1">
      <c r="A17" s="414" t="s">
        <v>275</v>
      </c>
      <c r="B17" s="415">
        <v>0</v>
      </c>
      <c r="C17" s="415">
        <v>0</v>
      </c>
      <c r="D17" s="415">
        <v>0</v>
      </c>
      <c r="E17" s="415">
        <v>0</v>
      </c>
      <c r="F17" s="415">
        <f>SUM(B17:E17)</f>
        <v>0</v>
      </c>
    </row>
    <row r="18" spans="1:7" ht="21.75" customHeight="1">
      <c r="A18" s="414" t="s">
        <v>276</v>
      </c>
      <c r="B18" s="987">
        <v>132</v>
      </c>
      <c r="C18" s="415">
        <v>2134</v>
      </c>
      <c r="D18" s="415">
        <v>234</v>
      </c>
      <c r="E18" s="415">
        <v>2354</v>
      </c>
      <c r="F18" s="415">
        <f>SUM(B18:E18)</f>
        <v>4854</v>
      </c>
    </row>
    <row r="19" spans="1:7" ht="21.75" customHeight="1">
      <c r="A19" s="414" t="s">
        <v>277</v>
      </c>
      <c r="B19" s="415">
        <v>0</v>
      </c>
      <c r="C19" s="415">
        <v>0</v>
      </c>
      <c r="D19" s="415">
        <v>0</v>
      </c>
      <c r="E19" s="415">
        <v>0</v>
      </c>
      <c r="F19" s="415">
        <f>SUM(B19:E19)</f>
        <v>0</v>
      </c>
    </row>
    <row r="20" spans="1:7" ht="21.75" customHeight="1">
      <c r="A20" s="414" t="s">
        <v>278</v>
      </c>
      <c r="B20" s="415">
        <v>0</v>
      </c>
      <c r="C20" s="415">
        <v>0</v>
      </c>
      <c r="D20" s="415">
        <v>0</v>
      </c>
      <c r="E20" s="415">
        <v>0</v>
      </c>
      <c r="F20" s="415">
        <f>SUM(B20:E20)</f>
        <v>0</v>
      </c>
    </row>
    <row r="21" spans="1:7" ht="21.75" customHeight="1">
      <c r="A21" s="414" t="s">
        <v>276</v>
      </c>
      <c r="B21" s="415">
        <v>0</v>
      </c>
      <c r="C21" s="415">
        <v>0</v>
      </c>
      <c r="D21" s="415">
        <v>0</v>
      </c>
      <c r="E21" s="415">
        <v>0</v>
      </c>
      <c r="F21" s="415">
        <f>SUM(B21:E21)</f>
        <v>0</v>
      </c>
    </row>
    <row r="22" spans="1:7" ht="21.75" customHeight="1">
      <c r="A22" s="416" t="s">
        <v>88</v>
      </c>
      <c r="B22" s="408">
        <f>SUM(B17:B21)</f>
        <v>132</v>
      </c>
      <c r="C22" s="408">
        <f t="shared" ref="C22:E22" si="1">SUM(C17:C21)</f>
        <v>2134</v>
      </c>
      <c r="D22" s="408">
        <f t="shared" si="1"/>
        <v>234</v>
      </c>
      <c r="E22" s="408">
        <f t="shared" si="1"/>
        <v>2354</v>
      </c>
      <c r="F22" s="571">
        <f>SUM(F17:F21)</f>
        <v>4854</v>
      </c>
    </row>
    <row r="25" spans="1:7">
      <c r="A25" s="1043" t="str">
        <f ca="1">"Note "&amp;BS!$E$43&amp;"  TRADE RECEIVABLES"</f>
        <v>Note 14  TRADE RECEIVABLES</v>
      </c>
      <c r="B25" s="1043"/>
      <c r="C25" s="1043"/>
      <c r="D25" s="339"/>
      <c r="E25" s="339"/>
      <c r="F25" s="339"/>
      <c r="G25" s="339"/>
    </row>
    <row r="26" spans="1:7">
      <c r="A26" s="312" t="str">
        <f>A4</f>
        <v>Figures For the Current Reporting Period</v>
      </c>
      <c r="B26" s="312"/>
      <c r="C26" s="312"/>
      <c r="D26" s="339"/>
      <c r="E26" s="339"/>
      <c r="F26" s="339"/>
      <c r="G26" s="339"/>
    </row>
    <row r="27" spans="1:7" ht="45" customHeight="1">
      <c r="A27" s="1096" t="s">
        <v>63</v>
      </c>
      <c r="B27" s="1097" t="s">
        <v>270</v>
      </c>
      <c r="C27" s="1097"/>
      <c r="D27" s="1097"/>
      <c r="E27" s="1097"/>
      <c r="F27" s="1097"/>
      <c r="G27" s="413"/>
    </row>
    <row r="28" spans="1:7" ht="45" customHeight="1">
      <c r="A28" s="1096"/>
      <c r="B28" s="483" t="s">
        <v>281</v>
      </c>
      <c r="C28" s="483" t="s">
        <v>282</v>
      </c>
      <c r="D28" s="483" t="s">
        <v>272</v>
      </c>
      <c r="E28" s="483" t="s">
        <v>273</v>
      </c>
      <c r="F28" s="483" t="s">
        <v>274</v>
      </c>
      <c r="G28" s="483" t="s">
        <v>88</v>
      </c>
    </row>
    <row r="29" spans="1:7" ht="30" customHeight="1">
      <c r="A29" s="417" t="s">
        <v>283</v>
      </c>
      <c r="B29" s="415">
        <v>234</v>
      </c>
      <c r="C29" s="415">
        <v>234</v>
      </c>
      <c r="D29" s="415">
        <v>243</v>
      </c>
      <c r="E29" s="415">
        <v>0</v>
      </c>
      <c r="F29" s="415">
        <v>0</v>
      </c>
      <c r="G29" s="570">
        <f>SUM(B29:F29)</f>
        <v>711</v>
      </c>
    </row>
    <row r="30" spans="1:7" ht="30" customHeight="1">
      <c r="A30" s="417" t="s">
        <v>284</v>
      </c>
      <c r="B30" s="415">
        <v>0</v>
      </c>
      <c r="C30" s="415">
        <v>0</v>
      </c>
      <c r="D30" s="415">
        <v>0</v>
      </c>
      <c r="E30" s="415">
        <v>0</v>
      </c>
      <c r="F30" s="415">
        <v>0</v>
      </c>
      <c r="G30" s="570">
        <f>SUM(B30:F30)</f>
        <v>0</v>
      </c>
    </row>
    <row r="31" spans="1:7" ht="30" customHeight="1">
      <c r="A31" s="417" t="s">
        <v>285</v>
      </c>
      <c r="B31" s="415">
        <v>0</v>
      </c>
      <c r="C31" s="415">
        <v>0</v>
      </c>
      <c r="D31" s="415">
        <v>0</v>
      </c>
      <c r="E31" s="415">
        <v>0</v>
      </c>
      <c r="F31" s="415">
        <v>0</v>
      </c>
      <c r="G31" s="570">
        <f>SUM(B31:F31)</f>
        <v>0</v>
      </c>
    </row>
    <row r="32" spans="1:7" ht="30" customHeight="1">
      <c r="A32" s="417" t="s">
        <v>286</v>
      </c>
      <c r="B32" s="415">
        <v>0</v>
      </c>
      <c r="C32" s="415">
        <v>0</v>
      </c>
      <c r="D32" s="415">
        <v>0</v>
      </c>
      <c r="E32" s="415">
        <v>0</v>
      </c>
      <c r="F32" s="415">
        <v>0</v>
      </c>
      <c r="G32" s="570">
        <f>SUM(B32:F32)</f>
        <v>0</v>
      </c>
    </row>
    <row r="33" spans="1:9" ht="30" customHeight="1">
      <c r="A33" s="414" t="s">
        <v>276</v>
      </c>
      <c r="B33" s="415"/>
      <c r="C33" s="415"/>
      <c r="D33" s="415"/>
      <c r="E33" s="415"/>
      <c r="F33" s="415"/>
      <c r="G33" s="570"/>
    </row>
    <row r="34" spans="1:9">
      <c r="A34" s="414" t="s">
        <v>402</v>
      </c>
      <c r="B34" s="570">
        <f>SUM(B29:B33)</f>
        <v>234</v>
      </c>
      <c r="C34" s="570">
        <f t="shared" ref="C34:G34" si="2">SUM(C29:C33)</f>
        <v>234</v>
      </c>
      <c r="D34" s="570">
        <f t="shared" si="2"/>
        <v>243</v>
      </c>
      <c r="E34" s="570">
        <f t="shared" si="2"/>
        <v>0</v>
      </c>
      <c r="F34" s="570">
        <f t="shared" si="2"/>
        <v>0</v>
      </c>
      <c r="G34" s="570">
        <f t="shared" si="2"/>
        <v>711</v>
      </c>
      <c r="H34" s="389">
        <f ca="1">IFERROR(IF(OR(VLOOKUP(A34,INDIRECT(BS!$J$1&amp;"[[Sub Group]:[BS&amp;PL_Face]]"),2,FALSE)="Liability",VLOOKUP(A34,INDIRECT(BS!$J$1&amp;"[[Sub Group]:[BS&amp;PL_Face]]"),2,FALSE)="Income"),-1,1),1)*SUMIF(INDIRECT(BS!$J$1&amp;"[Sub Group]"),A34,INDIRECT(BS!$J$1&amp;"[Rs. In Hundereds]"))</f>
        <v>0</v>
      </c>
      <c r="I34" s="569">
        <f ca="1">G34-H34</f>
        <v>711</v>
      </c>
    </row>
    <row r="35" spans="1:9">
      <c r="H35">
        <f ca="1">IFERROR(IF(OR(VLOOKUP(A34,INDIRECT(BS!$J$1&amp;"[[Sub Group]:[BS&amp;PL_Face]]"),2,FALSE)="Liability",VLOOKUP(A34,INDIRECT(BS!$J$1&amp;"[[Sub Group]:[BS&amp;PL_Face]]"),2,FALSE)="Income"),-1,1),1)*SUMIF(INDIRECT(BS!$J$1&amp;"[Sub Group]"),A34,INDIRECT(BS!$J$1&amp;"[Rs. In Hundereds]"))</f>
        <v>0</v>
      </c>
    </row>
    <row r="36" spans="1:9">
      <c r="A36" s="618" t="str">
        <f>A14</f>
        <v>Figures For Previous Reporting Period</v>
      </c>
    </row>
    <row r="37" spans="1:9" ht="35.25" customHeight="1">
      <c r="A37" s="1096" t="s">
        <v>63</v>
      </c>
      <c r="B37" s="1097" t="s">
        <v>270</v>
      </c>
      <c r="C37" s="1097"/>
      <c r="D37" s="1097"/>
      <c r="E37" s="1097"/>
      <c r="F37" s="1097"/>
      <c r="G37" s="413"/>
    </row>
    <row r="38" spans="1:9" ht="35.25" customHeight="1">
      <c r="A38" s="1096"/>
      <c r="B38" s="483" t="s">
        <v>281</v>
      </c>
      <c r="C38" s="483" t="s">
        <v>282</v>
      </c>
      <c r="D38" s="483" t="s">
        <v>272</v>
      </c>
      <c r="E38" s="483" t="s">
        <v>273</v>
      </c>
      <c r="F38" s="483" t="s">
        <v>274</v>
      </c>
      <c r="G38" s="483" t="s">
        <v>88</v>
      </c>
    </row>
    <row r="39" spans="1:9" ht="32.25" customHeight="1">
      <c r="A39" s="417" t="s">
        <v>283</v>
      </c>
      <c r="B39" s="987">
        <v>234</v>
      </c>
      <c r="C39" s="415">
        <v>42</v>
      </c>
      <c r="D39" s="415">
        <v>24</v>
      </c>
      <c r="E39" s="415">
        <v>0</v>
      </c>
      <c r="F39" s="415">
        <v>0</v>
      </c>
      <c r="G39" s="415">
        <f>SUM(B39:F39)</f>
        <v>300</v>
      </c>
    </row>
    <row r="40" spans="1:9" ht="32.25" customHeight="1">
      <c r="A40" s="417" t="s">
        <v>284</v>
      </c>
      <c r="B40" s="415">
        <v>0</v>
      </c>
      <c r="C40" s="415">
        <v>0</v>
      </c>
      <c r="D40" s="415">
        <v>0</v>
      </c>
      <c r="E40" s="415">
        <v>0</v>
      </c>
      <c r="F40" s="415">
        <v>0</v>
      </c>
      <c r="G40" s="415">
        <f>SUM(B40:F40)</f>
        <v>0</v>
      </c>
    </row>
    <row r="41" spans="1:9" ht="32.25" customHeight="1">
      <c r="A41" s="417" t="s">
        <v>285</v>
      </c>
      <c r="B41" s="415">
        <v>0</v>
      </c>
      <c r="C41" s="415">
        <v>0</v>
      </c>
      <c r="D41" s="415">
        <v>0</v>
      </c>
      <c r="E41" s="415">
        <v>0</v>
      </c>
      <c r="F41" s="415">
        <v>0</v>
      </c>
      <c r="G41" s="415">
        <f>SUM(B41:F41)</f>
        <v>0</v>
      </c>
    </row>
    <row r="42" spans="1:9" ht="32.25" customHeight="1">
      <c r="A42" s="417" t="s">
        <v>286</v>
      </c>
      <c r="B42" s="415">
        <v>0</v>
      </c>
      <c r="C42" s="415">
        <v>0</v>
      </c>
      <c r="D42" s="415">
        <v>0</v>
      </c>
      <c r="E42" s="415">
        <v>0</v>
      </c>
      <c r="F42" s="415">
        <v>0</v>
      </c>
      <c r="G42" s="415">
        <f>SUM(B42:F42)</f>
        <v>0</v>
      </c>
    </row>
    <row r="43" spans="1:9" ht="32.25" customHeight="1">
      <c r="A43" s="414" t="s">
        <v>276</v>
      </c>
      <c r="B43" s="415"/>
      <c r="C43" s="415"/>
      <c r="D43" s="415"/>
      <c r="E43" s="415"/>
      <c r="F43" s="415"/>
      <c r="G43" s="415">
        <f>SUM(B43:F43)</f>
        <v>0</v>
      </c>
    </row>
    <row r="44" spans="1:9">
      <c r="A44" s="414" t="s">
        <v>402</v>
      </c>
      <c r="B44" s="570">
        <f>SUM(B39:B43)</f>
        <v>234</v>
      </c>
      <c r="C44" s="570">
        <f t="shared" ref="C44:G44" si="3">SUM(C39:C43)</f>
        <v>42</v>
      </c>
      <c r="D44" s="570">
        <f t="shared" si="3"/>
        <v>24</v>
      </c>
      <c r="E44" s="570">
        <f t="shared" si="3"/>
        <v>0</v>
      </c>
      <c r="F44" s="570">
        <f t="shared" si="3"/>
        <v>0</v>
      </c>
      <c r="G44" s="570">
        <f t="shared" si="3"/>
        <v>300</v>
      </c>
    </row>
  </sheetData>
  <mergeCells count="9">
    <mergeCell ref="A37:A38"/>
    <mergeCell ref="B37:F37"/>
    <mergeCell ref="A5:A6"/>
    <mergeCell ref="B5:E5"/>
    <mergeCell ref="A15:A16"/>
    <mergeCell ref="B15:E15"/>
    <mergeCell ref="A27:A28"/>
    <mergeCell ref="B27:F27"/>
    <mergeCell ref="A25:C25"/>
  </mergeCells>
  <printOptions horizontalCentered="1"/>
  <pageMargins left="0.7" right="0.7" top="0.75" bottom="0.75" header="0.3" footer="0.3"/>
  <pageSetup paperSize="9" scale="87" fitToHeight="2" orientation="landscape" r:id="rId1"/>
  <rowBreaks count="1" manualBreakCount="1">
    <brk id="23" max="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R29"/>
  <sheetViews>
    <sheetView view="pageBreakPreview" zoomScaleSheetLayoutView="100" workbookViewId="0"/>
  </sheetViews>
  <sheetFormatPr defaultRowHeight="12.75"/>
  <cols>
    <col min="1" max="1" width="4.85546875" style="490" customWidth="1"/>
    <col min="2" max="4" width="18.5703125" style="489" customWidth="1"/>
    <col min="5" max="6" width="7.5703125" style="489" customWidth="1"/>
    <col min="7" max="7" width="7.5703125" style="490" customWidth="1"/>
    <col min="8" max="8" width="20.85546875" style="489" customWidth="1"/>
    <col min="9" max="11" width="9.140625" style="490"/>
    <col min="12" max="12" width="38.5703125" style="490" bestFit="1" customWidth="1"/>
    <col min="13" max="13" width="12.5703125" style="490" bestFit="1" customWidth="1"/>
    <col min="14" max="14" width="13.140625" style="490" bestFit="1" customWidth="1"/>
    <col min="15" max="15" width="12.5703125" style="490" bestFit="1" customWidth="1"/>
    <col min="16" max="18" width="13.140625" style="490" bestFit="1" customWidth="1"/>
    <col min="19" max="16384" width="9.140625" style="490"/>
  </cols>
  <sheetData>
    <row r="1" spans="1:18">
      <c r="A1" s="513" t="s">
        <v>440</v>
      </c>
      <c r="B1" s="514"/>
      <c r="C1" s="1103" t="str">
        <f>+'[110]Note 2-25 (2)'!A1</f>
        <v>BANIYA KI DUKAN PRIVATE LIMITED</v>
      </c>
      <c r="D1" s="1103"/>
      <c r="E1" s="1103"/>
      <c r="F1" s="514"/>
      <c r="G1" s="515"/>
      <c r="H1" s="514"/>
    </row>
    <row r="2" spans="1:18" ht="15">
      <c r="A2" s="516" t="s">
        <v>472</v>
      </c>
      <c r="B2" s="517"/>
      <c r="C2" s="517"/>
      <c r="D2" s="517"/>
      <c r="E2" s="517"/>
      <c r="F2" s="517"/>
      <c r="G2" s="516"/>
      <c r="H2" s="517"/>
      <c r="I2" s="491"/>
      <c r="L2" s="492"/>
      <c r="M2" s="492"/>
      <c r="N2" s="492"/>
      <c r="O2" s="492"/>
      <c r="P2" s="492"/>
      <c r="Q2" s="492"/>
      <c r="R2" s="492"/>
    </row>
    <row r="3" spans="1:18" ht="63.75">
      <c r="A3" s="518" t="s">
        <v>441</v>
      </c>
      <c r="B3" s="519" t="s">
        <v>442</v>
      </c>
      <c r="C3" s="519" t="s">
        <v>373</v>
      </c>
      <c r="D3" s="519" t="s">
        <v>374</v>
      </c>
      <c r="E3" s="519" t="s">
        <v>443</v>
      </c>
      <c r="F3" s="519" t="s">
        <v>444</v>
      </c>
      <c r="G3" s="519" t="s">
        <v>445</v>
      </c>
      <c r="H3" s="519" t="s">
        <v>446</v>
      </c>
      <c r="I3" s="491"/>
      <c r="L3" s="493"/>
      <c r="M3" s="1102"/>
      <c r="N3" s="1102"/>
      <c r="O3" s="1102"/>
      <c r="P3" s="1101"/>
      <c r="Q3" s="1101"/>
      <c r="R3" s="1101"/>
    </row>
    <row r="4" spans="1:18" ht="15">
      <c r="A4" s="520">
        <v>1</v>
      </c>
      <c r="B4" s="521" t="s">
        <v>447</v>
      </c>
      <c r="C4" s="521" t="s">
        <v>448</v>
      </c>
      <c r="D4" s="521" t="s">
        <v>422</v>
      </c>
      <c r="E4" s="522">
        <f>SUM('[110]BS-New (2)'!C37:C42)/SUM('[110]BS-New (2)'!C16:C22)</f>
        <v>1.6792444881960376</v>
      </c>
      <c r="F4" s="522">
        <f>SUM('[110]BS-New (2)'!D37:D42)/SUM('[110]BS-New (2)'!D16:D22)</f>
        <v>1.708757572989007</v>
      </c>
      <c r="G4" s="523">
        <f t="shared" ref="G4:G5" si="0">IFERROR((E4-F4)/F4,"NA")</f>
        <v>-1.7271662908474674E-2</v>
      </c>
      <c r="H4" s="523">
        <f>IFERROR((F4-G4)/G4,"NA")</f>
        <v>-99.934166446160319</v>
      </c>
      <c r="I4" s="491"/>
      <c r="J4" s="494"/>
      <c r="K4" s="495"/>
      <c r="L4" s="493"/>
      <c r="M4" s="1104"/>
      <c r="N4" s="1104"/>
      <c r="O4" s="1104"/>
      <c r="P4" s="1105"/>
      <c r="Q4" s="1105"/>
      <c r="R4" s="1105"/>
    </row>
    <row r="5" spans="1:18" ht="25.5">
      <c r="A5" s="520">
        <v>2</v>
      </c>
      <c r="B5" s="521" t="s">
        <v>449</v>
      </c>
      <c r="C5" s="521" t="s">
        <v>450</v>
      </c>
      <c r="D5" s="521" t="s">
        <v>451</v>
      </c>
      <c r="E5" s="522">
        <f>('[110]BS-New (2)'!C11+'[110]BS-New (2)'!C16+'[110]BS-New (2)'!C20)/('[110]BS-New (2)'!C7+'[110]BS-New (2)'!C8)</f>
        <v>0.9654101982029718</v>
      </c>
      <c r="F5" s="522">
        <f>('[110]BS-New (2)'!D11+'[110]BS-New (2)'!D16+'[110]BS-New (2)'!D20)/('[110]BS-New (2)'!D7+'[110]BS-New (2)'!D8)</f>
        <v>0.69328001665605676</v>
      </c>
      <c r="G5" s="523">
        <f t="shared" si="0"/>
        <v>0.39252563900442206</v>
      </c>
      <c r="H5" s="523">
        <f>IFERROR((F5-G5)/G5,"NA")</f>
        <v>0.76620314131441114</v>
      </c>
      <c r="I5" s="491"/>
      <c r="K5" s="494"/>
      <c r="L5" s="493"/>
      <c r="M5" s="1101"/>
      <c r="N5" s="1101"/>
      <c r="O5" s="1101"/>
      <c r="P5" s="1102"/>
      <c r="Q5" s="1102"/>
      <c r="R5" s="1102"/>
    </row>
    <row r="6" spans="1:18" ht="63.75">
      <c r="A6" s="520">
        <v>3</v>
      </c>
      <c r="B6" s="521" t="s">
        <v>452</v>
      </c>
      <c r="C6" s="521" t="s">
        <v>453</v>
      </c>
      <c r="D6" s="521" t="s">
        <v>454</v>
      </c>
      <c r="E6" s="523" t="str">
        <f t="shared" ref="E6:G7" si="1">IFERROR((C6-D6)/D6,"NA")</f>
        <v>NA</v>
      </c>
      <c r="F6" s="523" t="str">
        <f t="shared" si="1"/>
        <v>NA</v>
      </c>
      <c r="G6" s="523" t="str">
        <f t="shared" si="1"/>
        <v>NA</v>
      </c>
      <c r="H6" s="523" t="str">
        <f>IFERROR((F6-G6)/G6,"NA")</f>
        <v>NA</v>
      </c>
      <c r="I6" s="491"/>
      <c r="L6" s="493"/>
      <c r="M6" s="496"/>
      <c r="N6" s="497"/>
      <c r="O6" s="496"/>
      <c r="P6" s="496"/>
      <c r="Q6" s="497"/>
      <c r="R6" s="496"/>
    </row>
    <row r="7" spans="1:18" ht="51">
      <c r="A7" s="520">
        <v>4</v>
      </c>
      <c r="B7" s="521" t="s">
        <v>366</v>
      </c>
      <c r="C7" s="521" t="s">
        <v>455</v>
      </c>
      <c r="D7" s="521" t="s">
        <v>378</v>
      </c>
      <c r="E7" s="522">
        <f>'[110]PL (2)'!C23/'[110]BS-New (2)'!C7</f>
        <v>0.42596409531056045</v>
      </c>
      <c r="F7" s="522">
        <f>'[110]PL (2)'!D23/'[110]BS-New (2)'!D7</f>
        <v>0.29635910900608187</v>
      </c>
      <c r="G7" s="523">
        <f t="shared" si="1"/>
        <v>0.43732411917130859</v>
      </c>
      <c r="H7" s="523">
        <f>IFERROR((F7-G7)/G7,"NA")</f>
        <v>-0.32233532061378922</v>
      </c>
      <c r="I7" s="491"/>
      <c r="L7" s="493"/>
      <c r="M7" s="496"/>
      <c r="N7" s="497"/>
      <c r="O7" s="496"/>
      <c r="P7" s="496"/>
      <c r="Q7" s="497"/>
      <c r="R7" s="496"/>
    </row>
    <row r="8" spans="1:18" ht="38.25">
      <c r="A8" s="520">
        <v>5</v>
      </c>
      <c r="B8" s="521" t="s">
        <v>456</v>
      </c>
      <c r="C8" s="521" t="s">
        <v>457</v>
      </c>
      <c r="D8" s="521" t="s">
        <v>458</v>
      </c>
      <c r="E8" s="523" t="str">
        <f t="shared" ref="E8:H11" si="2">IFERROR((C8-D8)/D8,"NA")</f>
        <v>NA</v>
      </c>
      <c r="F8" s="523" t="str">
        <f t="shared" si="2"/>
        <v>NA</v>
      </c>
      <c r="G8" s="523" t="str">
        <f t="shared" si="2"/>
        <v>NA</v>
      </c>
      <c r="H8" s="523" t="str">
        <f t="shared" si="2"/>
        <v>NA</v>
      </c>
      <c r="I8" s="491"/>
      <c r="L8" s="498"/>
      <c r="M8" s="499"/>
      <c r="N8" s="500"/>
      <c r="O8" s="501"/>
      <c r="P8" s="502"/>
      <c r="Q8" s="503"/>
      <c r="R8" s="502"/>
    </row>
    <row r="9" spans="1:18" ht="25.5">
      <c r="A9" s="520">
        <v>6</v>
      </c>
      <c r="B9" s="521" t="s">
        <v>459</v>
      </c>
      <c r="C9" s="521" t="s">
        <v>460</v>
      </c>
      <c r="D9" s="521" t="s">
        <v>461</v>
      </c>
      <c r="E9" s="522" t="s">
        <v>462</v>
      </c>
      <c r="F9" s="523" t="str">
        <f t="shared" si="2"/>
        <v>NA</v>
      </c>
      <c r="G9" s="523" t="str">
        <f t="shared" si="2"/>
        <v>NA</v>
      </c>
      <c r="H9" s="523" t="str">
        <f t="shared" si="2"/>
        <v>NA</v>
      </c>
      <c r="I9" s="491"/>
      <c r="L9" s="498"/>
      <c r="M9" s="499"/>
      <c r="N9" s="500"/>
      <c r="O9" s="501"/>
      <c r="P9" s="504"/>
      <c r="Q9" s="499"/>
      <c r="R9" s="502"/>
    </row>
    <row r="10" spans="1:18" ht="38.25">
      <c r="A10" s="520">
        <v>7</v>
      </c>
      <c r="B10" s="521" t="s">
        <v>463</v>
      </c>
      <c r="C10" s="521" t="s">
        <v>464</v>
      </c>
      <c r="D10" s="521" t="s">
        <v>465</v>
      </c>
      <c r="E10" s="522">
        <f>'[110]PL (2)'!C5/(SUM('[110]BS-New (2)'!C37:C41)-SUM('[110]BS-New (2)'!C16:C22))</f>
        <v>19.925720294465723</v>
      </c>
      <c r="F10" s="522">
        <f>'[110]PL (2)'!D5/(SUM('[110]BS-New (2)'!D37:D41)-SUM('[110]BS-New (2)'!D16:D22))</f>
        <v>16.796405782344632</v>
      </c>
      <c r="G10" s="523">
        <f t="shared" si="2"/>
        <v>0.18630858010172854</v>
      </c>
      <c r="H10" s="523">
        <f>IFERROR((F10-G10)/G10,"NA")</f>
        <v>89.153688966838942</v>
      </c>
      <c r="I10" s="491"/>
      <c r="L10" s="498"/>
      <c r="M10" s="499"/>
      <c r="N10" s="500"/>
      <c r="O10" s="501"/>
      <c r="P10" s="502"/>
      <c r="Q10" s="503"/>
      <c r="R10" s="502"/>
    </row>
    <row r="11" spans="1:18" ht="38.25">
      <c r="A11" s="520">
        <v>8</v>
      </c>
      <c r="B11" s="521" t="s">
        <v>466</v>
      </c>
      <c r="C11" s="521" t="s">
        <v>467</v>
      </c>
      <c r="D11" s="521" t="s">
        <v>464</v>
      </c>
      <c r="E11" s="522">
        <f>'[110]PL (2)'!C23/'[110]PL (2)'!C5</f>
        <v>5.0785663979328989E-3</v>
      </c>
      <c r="F11" s="522">
        <f>'[110]PL (2)'!D23/'[110]PL (2)'!D5</f>
        <v>5.3286230833921901E-3</v>
      </c>
      <c r="G11" s="523">
        <f t="shared" si="2"/>
        <v>-4.6927073194320504E-2</v>
      </c>
      <c r="H11" s="523">
        <f t="shared" si="2"/>
        <v>-1.1135511490632894</v>
      </c>
      <c r="I11" s="491"/>
      <c r="L11" s="498"/>
      <c r="M11" s="499"/>
      <c r="N11" s="500"/>
      <c r="O11" s="501"/>
      <c r="P11" s="502"/>
      <c r="Q11" s="503"/>
      <c r="R11" s="502"/>
    </row>
    <row r="12" spans="1:18" ht="25.5">
      <c r="A12" s="520">
        <v>9</v>
      </c>
      <c r="B12" s="521" t="s">
        <v>367</v>
      </c>
      <c r="C12" s="521" t="s">
        <v>468</v>
      </c>
      <c r="D12" s="521" t="s">
        <v>379</v>
      </c>
      <c r="E12" s="522" t="s">
        <v>462</v>
      </c>
      <c r="F12" s="523" t="str">
        <f t="shared" ref="F12:H13" si="3">IFERROR((D12-E12)/E12,"NA")</f>
        <v>NA</v>
      </c>
      <c r="G12" s="523" t="str">
        <f t="shared" si="3"/>
        <v>NA</v>
      </c>
      <c r="H12" s="523" t="str">
        <f t="shared" si="3"/>
        <v>NA</v>
      </c>
      <c r="I12" s="491"/>
      <c r="L12" s="498"/>
      <c r="M12" s="499"/>
      <c r="N12" s="500"/>
      <c r="O12" s="501"/>
      <c r="P12" s="502"/>
      <c r="Q12" s="503"/>
      <c r="R12" s="502"/>
    </row>
    <row r="13" spans="1:18" ht="63.75">
      <c r="A13" s="520">
        <v>10</v>
      </c>
      <c r="B13" s="521" t="s">
        <v>469</v>
      </c>
      <c r="C13" s="521" t="s">
        <v>470</v>
      </c>
      <c r="D13" s="521" t="s">
        <v>471</v>
      </c>
      <c r="E13" s="522">
        <f>('[110]PL (2)'!C20+'[110]PL (2)'!C15)/('[110]BS-New (2)'!C7+'[110]BS-New (2)'!C8+'[110]BS-New (2)'!C11+'[110]BS-New (2)'!C16+'[110]BS-New (2)'!C20+'[110]BS-New (2)'!C12)</f>
        <v>0.17512803659894544</v>
      </c>
      <c r="F13" s="522">
        <f>('[110]PL (2)'!D20+'[110]PL (2)'!D15)/('[110]BS-New (2)'!D7+'[110]BS-New (2)'!D8+'[110]BS-New (2)'!D11+'[110]BS-New (2)'!D16+'[110]BS-New (2)'!D20+'[110]BS-New (2)'!D12)</f>
        <v>0.15226794906997443</v>
      </c>
      <c r="G13" s="523">
        <f t="shared" si="3"/>
        <v>0.15013065893772365</v>
      </c>
      <c r="H13" s="523">
        <f t="shared" si="3"/>
        <v>1.4236200302946506E-2</v>
      </c>
      <c r="I13" s="491"/>
      <c r="L13" s="498"/>
      <c r="M13" s="499"/>
      <c r="N13" s="500"/>
      <c r="O13" s="501"/>
      <c r="P13" s="502"/>
      <c r="Q13" s="503"/>
      <c r="R13" s="502"/>
    </row>
    <row r="14" spans="1:18">
      <c r="A14" s="505"/>
      <c r="B14" s="506"/>
      <c r="C14" s="506"/>
      <c r="D14" s="506"/>
      <c r="E14" s="507"/>
      <c r="F14" s="507"/>
      <c r="G14" s="508"/>
      <c r="H14" s="506"/>
      <c r="L14" s="498"/>
      <c r="M14" s="499"/>
      <c r="N14" s="500"/>
      <c r="O14" s="501"/>
      <c r="P14" s="504"/>
      <c r="Q14" s="499"/>
      <c r="R14" s="502"/>
    </row>
    <row r="15" spans="1:18">
      <c r="L15" s="498"/>
      <c r="M15" s="501"/>
      <c r="N15" s="504"/>
      <c r="O15" s="501"/>
      <c r="P15" s="504"/>
      <c r="Q15" s="501"/>
      <c r="R15" s="504"/>
    </row>
    <row r="16" spans="1:18">
      <c r="C16" s="1100"/>
      <c r="D16" s="1100"/>
      <c r="F16" s="1100"/>
      <c r="G16" s="1100"/>
      <c r="H16" s="1100"/>
      <c r="L16" s="498"/>
      <c r="M16" s="501"/>
      <c r="N16" s="504"/>
      <c r="O16" s="501"/>
      <c r="P16" s="502"/>
      <c r="Q16" s="503"/>
      <c r="R16" s="504"/>
    </row>
    <row r="17" spans="3:18">
      <c r="C17" s="1100"/>
      <c r="D17" s="1100"/>
      <c r="L17" s="498"/>
      <c r="M17" s="501"/>
      <c r="N17" s="504"/>
      <c r="O17" s="501"/>
      <c r="P17" s="502"/>
      <c r="Q17" s="503"/>
      <c r="R17" s="504"/>
    </row>
    <row r="18" spans="3:18">
      <c r="C18" s="1100"/>
      <c r="D18" s="1100"/>
      <c r="L18" s="498"/>
      <c r="M18" s="501"/>
      <c r="N18" s="504"/>
      <c r="O18" s="501"/>
      <c r="P18" s="502"/>
      <c r="Q18" s="503"/>
      <c r="R18" s="504"/>
    </row>
    <row r="19" spans="3:18">
      <c r="C19" s="1098"/>
      <c r="D19" s="1098"/>
      <c r="L19" s="498"/>
      <c r="M19" s="501"/>
      <c r="N19" s="502"/>
      <c r="O19" s="499"/>
      <c r="P19" s="504"/>
      <c r="Q19" s="501"/>
      <c r="R19" s="504"/>
    </row>
    <row r="20" spans="3:18">
      <c r="C20" s="1098"/>
      <c r="D20" s="1098"/>
      <c r="L20" s="498"/>
      <c r="M20" s="501"/>
      <c r="N20" s="504"/>
      <c r="O20" s="501"/>
      <c r="P20" s="502"/>
      <c r="Q20" s="503"/>
      <c r="R20" s="504"/>
    </row>
    <row r="21" spans="3:18">
      <c r="C21" s="1098"/>
      <c r="D21" s="1098"/>
      <c r="L21" s="498"/>
      <c r="M21" s="499"/>
      <c r="N21" s="500"/>
      <c r="O21" s="501"/>
      <c r="P21" s="502"/>
      <c r="Q21" s="503"/>
      <c r="R21" s="502"/>
    </row>
    <row r="22" spans="3:18">
      <c r="C22" s="1098"/>
      <c r="D22" s="1098"/>
      <c r="F22" s="1099"/>
      <c r="G22" s="1099"/>
      <c r="H22" s="509"/>
      <c r="L22" s="498"/>
      <c r="M22" s="501"/>
      <c r="N22" s="502"/>
      <c r="O22" s="499"/>
      <c r="P22" s="504"/>
      <c r="Q22" s="501"/>
      <c r="R22" s="504"/>
    </row>
    <row r="23" spans="3:18">
      <c r="C23" s="1098"/>
      <c r="D23" s="1098"/>
      <c r="F23" s="1099"/>
      <c r="G23" s="1099"/>
      <c r="H23" s="509"/>
      <c r="L23" s="498"/>
      <c r="M23" s="499"/>
      <c r="N23" s="500"/>
      <c r="O23" s="499"/>
      <c r="P23" s="502"/>
      <c r="Q23" s="503"/>
      <c r="R23" s="502"/>
    </row>
    <row r="24" spans="3:18">
      <c r="C24" s="1098"/>
      <c r="D24" s="1098"/>
      <c r="F24" s="1099"/>
      <c r="G24" s="1099"/>
      <c r="H24" s="509"/>
      <c r="L24" s="498"/>
      <c r="M24" s="501"/>
      <c r="N24" s="504"/>
      <c r="O24" s="501"/>
      <c r="P24" s="502"/>
      <c r="Q24" s="503"/>
      <c r="R24" s="504"/>
    </row>
    <row r="25" spans="3:18">
      <c r="C25" s="1098"/>
      <c r="D25" s="1098"/>
      <c r="L25" s="498"/>
      <c r="M25" s="501"/>
      <c r="N25" s="504"/>
      <c r="O25" s="501"/>
      <c r="P25" s="502"/>
      <c r="Q25" s="503"/>
      <c r="R25" s="504"/>
    </row>
    <row r="26" spans="3:18">
      <c r="C26" s="1098"/>
      <c r="D26" s="1098"/>
      <c r="L26" s="493"/>
      <c r="M26" s="510"/>
      <c r="N26" s="511"/>
      <c r="O26" s="510"/>
      <c r="P26" s="512"/>
      <c r="Q26" s="511"/>
      <c r="R26" s="512"/>
    </row>
    <row r="27" spans="3:18">
      <c r="C27" s="1098"/>
      <c r="D27" s="1098"/>
    </row>
    <row r="28" spans="3:18">
      <c r="C28" s="1098"/>
      <c r="D28" s="1098"/>
    </row>
    <row r="29" spans="3:18">
      <c r="C29" s="1098"/>
      <c r="D29" s="1098"/>
    </row>
  </sheetData>
  <mergeCells count="25">
    <mergeCell ref="M5:O5"/>
    <mergeCell ref="P5:R5"/>
    <mergeCell ref="C1:E1"/>
    <mergeCell ref="M3:O3"/>
    <mergeCell ref="P3:R3"/>
    <mergeCell ref="M4:O4"/>
    <mergeCell ref="P4:R4"/>
    <mergeCell ref="C24:D24"/>
    <mergeCell ref="F24:G24"/>
    <mergeCell ref="C16:D16"/>
    <mergeCell ref="F16:H16"/>
    <mergeCell ref="C17:D17"/>
    <mergeCell ref="C18:D18"/>
    <mergeCell ref="C19:D19"/>
    <mergeCell ref="C20:D20"/>
    <mergeCell ref="C21:D21"/>
    <mergeCell ref="C22:D22"/>
    <mergeCell ref="F22:G22"/>
    <mergeCell ref="C23:D23"/>
    <mergeCell ref="F23:G23"/>
    <mergeCell ref="C25:D25"/>
    <mergeCell ref="C26:D26"/>
    <mergeCell ref="C27:D27"/>
    <mergeCell ref="C28:D28"/>
    <mergeCell ref="C29:D29"/>
  </mergeCells>
  <printOptions horizontalCentered="1"/>
  <pageMargins left="0.51181102362204722" right="0.51181102362204722" top="0.55118110236220474" bottom="0.74803149606299213" header="0.11811023622047245" footer="0.31496062992125984"/>
  <pageSetup paperSize="9" scale="88" orientation="portrait" r:id="rId1"/>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2"/>
    <pageSetUpPr fitToPage="1"/>
  </sheetPr>
  <dimension ref="A1:J75"/>
  <sheetViews>
    <sheetView showGridLines="0" view="pageBreakPreview" zoomScaleNormal="90" zoomScaleSheetLayoutView="100" workbookViewId="0">
      <selection activeCell="A3" sqref="A3:J3"/>
    </sheetView>
  </sheetViews>
  <sheetFormatPr defaultColWidth="8" defaultRowHeight="12.75"/>
  <cols>
    <col min="1" max="1" width="4.140625" style="462" customWidth="1"/>
    <col min="2" max="2" width="32.42578125" style="462" customWidth="1"/>
    <col min="3" max="3" width="16.42578125" style="462" bestFit="1" customWidth="1"/>
    <col min="4" max="4" width="19.28515625" style="462" bestFit="1" customWidth="1"/>
    <col min="5" max="5" width="15.5703125" style="462" customWidth="1"/>
    <col min="6" max="6" width="16" style="462" customWidth="1"/>
    <col min="7" max="7" width="15.28515625" style="525" customWidth="1"/>
    <col min="8" max="8" width="21.28515625" style="462" customWidth="1"/>
    <col min="9" max="9" width="17.140625" style="462" bestFit="1" customWidth="1"/>
    <col min="10" max="10" width="19.28515625" style="462" bestFit="1" customWidth="1"/>
    <col min="11" max="11" width="8" style="462"/>
    <col min="12" max="12" width="10.85546875" style="462" bestFit="1" customWidth="1"/>
    <col min="13" max="13" width="8" style="462"/>
    <col min="14" max="14" width="11.28515625" style="462" bestFit="1" customWidth="1"/>
    <col min="15" max="16384" width="8" style="462"/>
  </cols>
  <sheetData>
    <row r="1" spans="1:10" ht="14.25">
      <c r="A1" s="631"/>
      <c r="J1" s="526" t="s">
        <v>118</v>
      </c>
    </row>
    <row r="2" spans="1:10">
      <c r="A2" s="1106" t="str">
        <f>+BS!A1</f>
        <v>ABC PRIVATE LIMITED</v>
      </c>
      <c r="B2" s="1107"/>
      <c r="C2" s="1107"/>
      <c r="D2" s="1107"/>
      <c r="E2" s="1107"/>
      <c r="F2" s="1107"/>
      <c r="G2" s="1107"/>
      <c r="H2" s="1107"/>
      <c r="I2" s="1107"/>
      <c r="J2" s="1107"/>
    </row>
    <row r="3" spans="1:10">
      <c r="A3" s="1108" t="s">
        <v>123</v>
      </c>
      <c r="B3" s="1108"/>
      <c r="C3" s="1108"/>
      <c r="D3" s="1108"/>
      <c r="E3" s="1108"/>
      <c r="F3" s="1108"/>
      <c r="G3" s="1108"/>
      <c r="H3" s="1108"/>
      <c r="I3" s="1108"/>
      <c r="J3" s="1108"/>
    </row>
    <row r="4" spans="1:10">
      <c r="G4" s="251"/>
    </row>
    <row r="5" spans="1:10">
      <c r="A5" s="456"/>
      <c r="B5" s="456"/>
      <c r="C5" s="527" t="s">
        <v>3</v>
      </c>
      <c r="D5" s="456"/>
      <c r="E5" s="1109" t="s">
        <v>40</v>
      </c>
      <c r="F5" s="1110"/>
      <c r="G5" s="528" t="s">
        <v>41</v>
      </c>
      <c r="H5" s="456" t="s">
        <v>81</v>
      </c>
      <c r="I5" s="529"/>
      <c r="J5" s="456"/>
    </row>
    <row r="6" spans="1:10">
      <c r="B6" s="530" t="s">
        <v>2</v>
      </c>
      <c r="C6" s="530" t="s">
        <v>5</v>
      </c>
      <c r="D6" s="530" t="s">
        <v>42</v>
      </c>
      <c r="E6" s="530" t="s">
        <v>43</v>
      </c>
      <c r="F6" s="530" t="s">
        <v>44</v>
      </c>
      <c r="G6" s="531" t="s">
        <v>45</v>
      </c>
      <c r="H6" s="530" t="s">
        <v>88</v>
      </c>
      <c r="I6" s="532" t="s">
        <v>46</v>
      </c>
      <c r="J6" s="530" t="s">
        <v>47</v>
      </c>
    </row>
    <row r="7" spans="1:10" ht="13.5" thickBot="1">
      <c r="A7" s="533"/>
      <c r="B7" s="533"/>
      <c r="C7" s="534" t="s">
        <v>10</v>
      </c>
      <c r="D7" s="534" t="s">
        <v>656</v>
      </c>
      <c r="E7" s="535" t="s">
        <v>48</v>
      </c>
      <c r="F7" s="536" t="s">
        <v>48</v>
      </c>
      <c r="G7" s="537" t="s">
        <v>49</v>
      </c>
      <c r="H7" s="536" t="s">
        <v>473</v>
      </c>
      <c r="I7" s="536" t="s">
        <v>50</v>
      </c>
      <c r="J7" s="536" t="s">
        <v>657</v>
      </c>
    </row>
    <row r="8" spans="1:10" ht="13.5" thickTop="1">
      <c r="B8" s="462" t="s">
        <v>81</v>
      </c>
      <c r="D8" s="532"/>
      <c r="E8" s="532"/>
      <c r="F8" s="532"/>
      <c r="G8" s="531"/>
    </row>
    <row r="9" spans="1:10">
      <c r="A9" s="530"/>
      <c r="B9" s="546" t="s">
        <v>1773</v>
      </c>
      <c r="D9" s="538"/>
      <c r="E9" s="538"/>
      <c r="F9" s="538"/>
      <c r="G9" s="251"/>
      <c r="H9" s="538"/>
      <c r="I9" s="538"/>
      <c r="J9" s="538"/>
    </row>
    <row r="10" spans="1:10">
      <c r="A10" s="530"/>
      <c r="B10" s="462" t="s">
        <v>1862</v>
      </c>
      <c r="C10" s="539">
        <v>0.15</v>
      </c>
      <c r="D10" s="538">
        <v>1000</v>
      </c>
      <c r="E10" s="540">
        <v>0</v>
      </c>
      <c r="F10" s="540">
        <v>0</v>
      </c>
      <c r="G10" s="531">
        <v>0</v>
      </c>
      <c r="H10" s="538">
        <f>SUM(D10:G10)</f>
        <v>1000</v>
      </c>
      <c r="I10" s="538">
        <f>(D10+E10)*C10+F10*C10/2</f>
        <v>150</v>
      </c>
      <c r="J10" s="538">
        <f>H10-I10</f>
        <v>850</v>
      </c>
    </row>
    <row r="11" spans="1:10">
      <c r="A11" s="530"/>
      <c r="B11" s="462" t="s">
        <v>1863</v>
      </c>
      <c r="C11" s="539">
        <v>0.15</v>
      </c>
      <c r="D11" s="538">
        <v>1000</v>
      </c>
      <c r="E11" s="540">
        <v>0</v>
      </c>
      <c r="F11" s="540">
        <v>0</v>
      </c>
      <c r="G11" s="531">
        <v>0</v>
      </c>
      <c r="H11" s="538">
        <f t="shared" ref="H11:H41" si="0">SUM(D11:G11)</f>
        <v>1000</v>
      </c>
      <c r="I11" s="538">
        <f t="shared" ref="I11:I41" si="1">(D11+E11)*C11+F11*C11/2</f>
        <v>150</v>
      </c>
      <c r="J11" s="538">
        <f t="shared" ref="J11:J41" si="2">H11-I11</f>
        <v>850</v>
      </c>
    </row>
    <row r="12" spans="1:10">
      <c r="A12" s="530"/>
      <c r="B12" s="462" t="s">
        <v>1864</v>
      </c>
      <c r="C12" s="539">
        <v>0.15</v>
      </c>
      <c r="D12" s="538">
        <v>1000</v>
      </c>
      <c r="E12" s="540">
        <v>0</v>
      </c>
      <c r="F12" s="540">
        <v>0</v>
      </c>
      <c r="G12" s="531">
        <v>0</v>
      </c>
      <c r="H12" s="538">
        <f t="shared" si="0"/>
        <v>1000</v>
      </c>
      <c r="I12" s="538">
        <f t="shared" si="1"/>
        <v>150</v>
      </c>
      <c r="J12" s="538">
        <f t="shared" si="2"/>
        <v>850</v>
      </c>
    </row>
    <row r="13" spans="1:10">
      <c r="A13" s="530"/>
      <c r="B13" s="462" t="s">
        <v>1786</v>
      </c>
      <c r="C13" s="539">
        <v>0.15</v>
      </c>
      <c r="D13" s="538">
        <v>1000</v>
      </c>
      <c r="E13" s="540">
        <v>0</v>
      </c>
      <c r="F13" s="540">
        <v>0</v>
      </c>
      <c r="G13" s="531">
        <v>0</v>
      </c>
      <c r="H13" s="538">
        <f t="shared" si="0"/>
        <v>1000</v>
      </c>
      <c r="I13" s="538">
        <f t="shared" si="1"/>
        <v>150</v>
      </c>
      <c r="J13" s="538">
        <f t="shared" si="2"/>
        <v>850</v>
      </c>
    </row>
    <row r="14" spans="1:10">
      <c r="A14" s="530"/>
      <c r="B14" s="462" t="s">
        <v>1865</v>
      </c>
      <c r="C14" s="539">
        <v>0.15</v>
      </c>
      <c r="D14" s="538">
        <v>1000</v>
      </c>
      <c r="E14" s="540">
        <v>0</v>
      </c>
      <c r="F14" s="540">
        <v>0</v>
      </c>
      <c r="G14" s="531">
        <v>0</v>
      </c>
      <c r="H14" s="538">
        <f t="shared" si="0"/>
        <v>1000</v>
      </c>
      <c r="I14" s="538">
        <f t="shared" si="1"/>
        <v>150</v>
      </c>
      <c r="J14" s="538">
        <f t="shared" si="2"/>
        <v>850</v>
      </c>
    </row>
    <row r="15" spans="1:10">
      <c r="A15" s="530"/>
      <c r="B15" s="462" t="s">
        <v>1866</v>
      </c>
      <c r="C15" s="539">
        <v>0.15</v>
      </c>
      <c r="D15" s="538">
        <v>1000</v>
      </c>
      <c r="E15" s="540">
        <v>0</v>
      </c>
      <c r="F15" s="540">
        <v>0</v>
      </c>
      <c r="G15" s="531">
        <v>0</v>
      </c>
      <c r="H15" s="538">
        <f t="shared" si="0"/>
        <v>1000</v>
      </c>
      <c r="I15" s="538">
        <f t="shared" si="1"/>
        <v>150</v>
      </c>
      <c r="J15" s="538">
        <f t="shared" si="2"/>
        <v>850</v>
      </c>
    </row>
    <row r="16" spans="1:10">
      <c r="A16" s="530"/>
      <c r="B16" s="462" t="s">
        <v>1787</v>
      </c>
      <c r="C16" s="539">
        <v>0.15</v>
      </c>
      <c r="D16" s="538">
        <v>1000</v>
      </c>
      <c r="E16" s="540">
        <v>0</v>
      </c>
      <c r="F16" s="540">
        <v>0</v>
      </c>
      <c r="G16" s="531">
        <v>0</v>
      </c>
      <c r="H16" s="538">
        <f t="shared" si="0"/>
        <v>1000</v>
      </c>
      <c r="I16" s="538">
        <f t="shared" si="1"/>
        <v>150</v>
      </c>
      <c r="J16" s="538">
        <f t="shared" si="2"/>
        <v>850</v>
      </c>
    </row>
    <row r="17" spans="1:10">
      <c r="A17" s="530"/>
      <c r="B17" s="462" t="s">
        <v>1867</v>
      </c>
      <c r="C17" s="539">
        <v>0.15</v>
      </c>
      <c r="D17" s="538">
        <v>1000</v>
      </c>
      <c r="E17" s="540">
        <v>0</v>
      </c>
      <c r="F17" s="540">
        <v>0</v>
      </c>
      <c r="G17" s="531">
        <v>0</v>
      </c>
      <c r="H17" s="538">
        <f t="shared" si="0"/>
        <v>1000</v>
      </c>
      <c r="I17" s="538">
        <f t="shared" si="1"/>
        <v>150</v>
      </c>
      <c r="J17" s="538">
        <f t="shared" si="2"/>
        <v>850</v>
      </c>
    </row>
    <row r="18" spans="1:10">
      <c r="A18" s="530"/>
      <c r="B18" s="462" t="s">
        <v>1868</v>
      </c>
      <c r="C18" s="539">
        <v>0.4</v>
      </c>
      <c r="D18" s="538">
        <v>1000</v>
      </c>
      <c r="E18" s="540">
        <v>0</v>
      </c>
      <c r="F18" s="540">
        <v>0</v>
      </c>
      <c r="G18" s="531">
        <v>0</v>
      </c>
      <c r="H18" s="538">
        <f t="shared" si="0"/>
        <v>1000</v>
      </c>
      <c r="I18" s="538">
        <f t="shared" si="1"/>
        <v>400</v>
      </c>
      <c r="J18" s="538">
        <f t="shared" si="2"/>
        <v>600</v>
      </c>
    </row>
    <row r="19" spans="1:10">
      <c r="A19" s="530"/>
      <c r="B19" s="462" t="s">
        <v>1869</v>
      </c>
      <c r="C19" s="539">
        <v>0.15</v>
      </c>
      <c r="D19" s="538">
        <v>1000</v>
      </c>
      <c r="E19" s="540">
        <v>0</v>
      </c>
      <c r="F19" s="540">
        <v>0</v>
      </c>
      <c r="G19" s="531">
        <v>0</v>
      </c>
      <c r="H19" s="538">
        <f t="shared" si="0"/>
        <v>1000</v>
      </c>
      <c r="I19" s="538">
        <f t="shared" si="1"/>
        <v>150</v>
      </c>
      <c r="J19" s="538">
        <f t="shared" si="2"/>
        <v>850</v>
      </c>
    </row>
    <row r="20" spans="1:10">
      <c r="A20" s="530"/>
      <c r="B20" s="462" t="s">
        <v>1870</v>
      </c>
      <c r="C20" s="539">
        <v>0.15</v>
      </c>
      <c r="D20" s="538">
        <v>1000</v>
      </c>
      <c r="E20" s="540">
        <v>0</v>
      </c>
      <c r="F20" s="540">
        <v>0</v>
      </c>
      <c r="G20" s="531">
        <v>0</v>
      </c>
      <c r="H20" s="538">
        <f t="shared" si="0"/>
        <v>1000</v>
      </c>
      <c r="I20" s="538">
        <f t="shared" si="1"/>
        <v>150</v>
      </c>
      <c r="J20" s="538">
        <f t="shared" si="2"/>
        <v>850</v>
      </c>
    </row>
    <row r="21" spans="1:10">
      <c r="A21" s="530"/>
      <c r="B21" s="462" t="s">
        <v>1871</v>
      </c>
      <c r="C21" s="539">
        <v>0.1</v>
      </c>
      <c r="D21" s="538">
        <v>1000</v>
      </c>
      <c r="E21" s="540">
        <v>123</v>
      </c>
      <c r="F21" s="540">
        <v>0</v>
      </c>
      <c r="G21" s="531">
        <v>0</v>
      </c>
      <c r="H21" s="538">
        <f t="shared" si="0"/>
        <v>1123</v>
      </c>
      <c r="I21" s="538">
        <f t="shared" si="1"/>
        <v>112.30000000000001</v>
      </c>
      <c r="J21" s="538">
        <f t="shared" si="2"/>
        <v>1010.7</v>
      </c>
    </row>
    <row r="22" spans="1:10">
      <c r="A22" s="530"/>
      <c r="C22" s="539"/>
      <c r="D22" s="538"/>
      <c r="E22" s="540"/>
      <c r="F22" s="540"/>
      <c r="G22" s="531"/>
      <c r="H22" s="538"/>
      <c r="I22" s="538"/>
      <c r="J22" s="538"/>
    </row>
    <row r="23" spans="1:10">
      <c r="A23" s="530"/>
      <c r="B23" s="546" t="s">
        <v>1872</v>
      </c>
      <c r="C23" s="539"/>
      <c r="D23" s="538"/>
      <c r="E23" s="540"/>
      <c r="F23" s="540"/>
      <c r="G23" s="531"/>
      <c r="H23" s="538"/>
      <c r="I23" s="538"/>
      <c r="J23" s="538"/>
    </row>
    <row r="24" spans="1:10">
      <c r="A24" s="530"/>
      <c r="B24" s="462" t="s">
        <v>1873</v>
      </c>
      <c r="C24" s="539">
        <v>0</v>
      </c>
      <c r="D24" s="538">
        <v>1000</v>
      </c>
      <c r="E24" s="540">
        <v>0</v>
      </c>
      <c r="F24" s="540">
        <v>0</v>
      </c>
      <c r="G24" s="531">
        <v>0</v>
      </c>
      <c r="H24" s="538">
        <f t="shared" si="0"/>
        <v>1000</v>
      </c>
      <c r="I24" s="538">
        <f t="shared" si="1"/>
        <v>0</v>
      </c>
      <c r="J24" s="538">
        <f t="shared" si="2"/>
        <v>1000</v>
      </c>
    </row>
    <row r="25" spans="1:10">
      <c r="A25" s="530"/>
      <c r="B25" s="462" t="s">
        <v>1874</v>
      </c>
      <c r="C25" s="539">
        <v>0</v>
      </c>
      <c r="D25" s="538">
        <v>1000</v>
      </c>
      <c r="E25" s="540">
        <v>0</v>
      </c>
      <c r="F25" s="540">
        <v>0</v>
      </c>
      <c r="G25" s="531">
        <v>0</v>
      </c>
      <c r="H25" s="538">
        <f t="shared" si="0"/>
        <v>1000</v>
      </c>
      <c r="I25" s="538">
        <f t="shared" si="1"/>
        <v>0</v>
      </c>
      <c r="J25" s="538">
        <f t="shared" si="2"/>
        <v>1000</v>
      </c>
    </row>
    <row r="26" spans="1:10">
      <c r="A26" s="530"/>
      <c r="B26" s="462" t="s">
        <v>1875</v>
      </c>
      <c r="C26" s="539">
        <v>0.1</v>
      </c>
      <c r="D26" s="538">
        <v>1000</v>
      </c>
      <c r="E26" s="540">
        <v>0</v>
      </c>
      <c r="F26" s="540">
        <v>0</v>
      </c>
      <c r="G26" s="531">
        <v>0</v>
      </c>
      <c r="H26" s="538">
        <f t="shared" si="0"/>
        <v>1000</v>
      </c>
      <c r="I26" s="538">
        <f t="shared" si="1"/>
        <v>100</v>
      </c>
      <c r="J26" s="538">
        <f t="shared" si="2"/>
        <v>900</v>
      </c>
    </row>
    <row r="27" spans="1:10">
      <c r="A27" s="530"/>
      <c r="B27" s="462" t="s">
        <v>1876</v>
      </c>
      <c r="C27" s="539">
        <v>0.1</v>
      </c>
      <c r="D27" s="538">
        <v>1000</v>
      </c>
      <c r="E27" s="540">
        <v>0</v>
      </c>
      <c r="F27" s="540">
        <v>0</v>
      </c>
      <c r="G27" s="531">
        <v>0</v>
      </c>
      <c r="H27" s="538">
        <f t="shared" si="0"/>
        <v>1000</v>
      </c>
      <c r="I27" s="538">
        <f t="shared" si="1"/>
        <v>100</v>
      </c>
      <c r="J27" s="538">
        <f t="shared" si="2"/>
        <v>900</v>
      </c>
    </row>
    <row r="28" spans="1:10">
      <c r="A28" s="530"/>
      <c r="B28" s="462" t="s">
        <v>1877</v>
      </c>
      <c r="C28" s="539">
        <v>0.1</v>
      </c>
      <c r="D28" s="538">
        <v>1000</v>
      </c>
      <c r="E28" s="540">
        <v>0</v>
      </c>
      <c r="F28" s="540">
        <v>0</v>
      </c>
      <c r="G28" s="531">
        <v>0</v>
      </c>
      <c r="H28" s="538">
        <f t="shared" si="0"/>
        <v>1000</v>
      </c>
      <c r="I28" s="538">
        <f t="shared" si="1"/>
        <v>100</v>
      </c>
      <c r="J28" s="538">
        <f t="shared" si="2"/>
        <v>900</v>
      </c>
    </row>
    <row r="29" spans="1:10">
      <c r="A29" s="530"/>
      <c r="B29" s="462" t="s">
        <v>1878</v>
      </c>
      <c r="C29" s="539">
        <v>0.1</v>
      </c>
      <c r="D29" s="538">
        <v>1000</v>
      </c>
      <c r="E29" s="540">
        <v>123</v>
      </c>
      <c r="F29" s="540">
        <v>0</v>
      </c>
      <c r="G29" s="531">
        <v>0</v>
      </c>
      <c r="H29" s="538">
        <f t="shared" si="0"/>
        <v>1123</v>
      </c>
      <c r="I29" s="538">
        <f t="shared" si="1"/>
        <v>112.30000000000001</v>
      </c>
      <c r="J29" s="538">
        <f t="shared" si="2"/>
        <v>1010.7</v>
      </c>
    </row>
    <row r="30" spans="1:10">
      <c r="A30" s="530"/>
      <c r="B30" s="462" t="s">
        <v>1879</v>
      </c>
      <c r="C30" s="539">
        <v>0.15</v>
      </c>
      <c r="D30" s="538">
        <v>1000</v>
      </c>
      <c r="E30" s="540">
        <v>0</v>
      </c>
      <c r="F30" s="540">
        <v>0</v>
      </c>
      <c r="G30" s="531">
        <v>0</v>
      </c>
      <c r="H30" s="538">
        <f t="shared" si="0"/>
        <v>1000</v>
      </c>
      <c r="I30" s="538">
        <f t="shared" si="1"/>
        <v>150</v>
      </c>
      <c r="J30" s="538">
        <f t="shared" si="2"/>
        <v>850</v>
      </c>
    </row>
    <row r="31" spans="1:10">
      <c r="A31" s="530"/>
      <c r="B31" s="462" t="s">
        <v>1880</v>
      </c>
      <c r="C31" s="539">
        <v>0.15</v>
      </c>
      <c r="D31" s="538">
        <v>1000</v>
      </c>
      <c r="E31" s="540">
        <v>0</v>
      </c>
      <c r="F31" s="540">
        <v>0</v>
      </c>
      <c r="G31" s="531">
        <v>0</v>
      </c>
      <c r="H31" s="538">
        <f t="shared" si="0"/>
        <v>1000</v>
      </c>
      <c r="I31" s="538">
        <f t="shared" si="1"/>
        <v>150</v>
      </c>
      <c r="J31" s="538">
        <f t="shared" si="2"/>
        <v>850</v>
      </c>
    </row>
    <row r="32" spans="1:10">
      <c r="A32" s="530"/>
      <c r="B32" s="462" t="s">
        <v>23</v>
      </c>
      <c r="C32" s="539">
        <v>0.15</v>
      </c>
      <c r="D32" s="538">
        <v>1000</v>
      </c>
      <c r="E32" s="540">
        <v>123</v>
      </c>
      <c r="F32" s="540">
        <v>124</v>
      </c>
      <c r="G32" s="531">
        <v>0</v>
      </c>
      <c r="H32" s="538">
        <f t="shared" si="0"/>
        <v>1247</v>
      </c>
      <c r="I32" s="538">
        <f t="shared" si="1"/>
        <v>177.75</v>
      </c>
      <c r="J32" s="538">
        <f t="shared" si="2"/>
        <v>1069.25</v>
      </c>
    </row>
    <row r="33" spans="1:10">
      <c r="A33" s="530"/>
      <c r="B33" s="462" t="s">
        <v>1881</v>
      </c>
      <c r="C33" s="539">
        <v>0.15</v>
      </c>
      <c r="D33" s="538">
        <v>1000</v>
      </c>
      <c r="E33" s="540">
        <v>1</v>
      </c>
      <c r="F33" s="540">
        <v>0</v>
      </c>
      <c r="G33" s="531">
        <v>0</v>
      </c>
      <c r="H33" s="538">
        <f t="shared" si="0"/>
        <v>1001</v>
      </c>
      <c r="I33" s="538">
        <f t="shared" si="1"/>
        <v>150.15</v>
      </c>
      <c r="J33" s="538">
        <f t="shared" si="2"/>
        <v>850.85</v>
      </c>
    </row>
    <row r="34" spans="1:10">
      <c r="A34" s="530"/>
      <c r="B34" s="462" t="s">
        <v>1882</v>
      </c>
      <c r="C34" s="539">
        <v>0.15</v>
      </c>
      <c r="D34" s="538">
        <v>1000</v>
      </c>
      <c r="E34" s="540">
        <v>0</v>
      </c>
      <c r="F34" s="540">
        <v>0</v>
      </c>
      <c r="G34" s="531">
        <v>0</v>
      </c>
      <c r="H34" s="538">
        <f t="shared" si="0"/>
        <v>1000</v>
      </c>
      <c r="I34" s="538">
        <f t="shared" si="1"/>
        <v>150</v>
      </c>
      <c r="J34" s="538">
        <f t="shared" si="2"/>
        <v>850</v>
      </c>
    </row>
    <row r="35" spans="1:10">
      <c r="A35" s="530"/>
      <c r="B35" s="462" t="s">
        <v>1867</v>
      </c>
      <c r="C35" s="539">
        <v>0.15</v>
      </c>
      <c r="D35" s="538">
        <v>1000</v>
      </c>
      <c r="E35" s="540">
        <v>0</v>
      </c>
      <c r="F35" s="540">
        <v>0</v>
      </c>
      <c r="G35" s="531">
        <v>0</v>
      </c>
      <c r="H35" s="538">
        <f t="shared" si="0"/>
        <v>1000</v>
      </c>
      <c r="I35" s="538">
        <f t="shared" si="1"/>
        <v>150</v>
      </c>
      <c r="J35" s="538">
        <f t="shared" si="2"/>
        <v>850</v>
      </c>
    </row>
    <row r="36" spans="1:10">
      <c r="A36" s="530"/>
      <c r="B36" s="462" t="s">
        <v>1883</v>
      </c>
      <c r="C36" s="539">
        <v>0.15</v>
      </c>
      <c r="D36" s="538">
        <v>1000</v>
      </c>
      <c r="E36" s="540">
        <v>0</v>
      </c>
      <c r="F36" s="540">
        <v>0</v>
      </c>
      <c r="G36" s="531">
        <v>0</v>
      </c>
      <c r="H36" s="538">
        <f t="shared" si="0"/>
        <v>1000</v>
      </c>
      <c r="I36" s="538">
        <f t="shared" si="1"/>
        <v>150</v>
      </c>
      <c r="J36" s="538">
        <f t="shared" si="2"/>
        <v>850</v>
      </c>
    </row>
    <row r="37" spans="1:10">
      <c r="A37" s="530"/>
      <c r="B37" s="462" t="s">
        <v>1884</v>
      </c>
      <c r="C37" s="539">
        <v>0.15</v>
      </c>
      <c r="D37" s="538">
        <v>1000</v>
      </c>
      <c r="E37" s="540">
        <v>0</v>
      </c>
      <c r="F37" s="540">
        <v>0</v>
      </c>
      <c r="G37" s="531">
        <v>0</v>
      </c>
      <c r="H37" s="538">
        <f t="shared" si="0"/>
        <v>1000</v>
      </c>
      <c r="I37" s="538">
        <f t="shared" si="1"/>
        <v>150</v>
      </c>
      <c r="J37" s="538">
        <f t="shared" si="2"/>
        <v>850</v>
      </c>
    </row>
    <row r="38" spans="1:10">
      <c r="A38" s="530"/>
      <c r="B38" s="462" t="s">
        <v>1885</v>
      </c>
      <c r="C38" s="539">
        <v>0.3</v>
      </c>
      <c r="D38" s="538">
        <v>1000</v>
      </c>
      <c r="E38" s="540">
        <v>0</v>
      </c>
      <c r="F38" s="540">
        <v>0</v>
      </c>
      <c r="G38" s="531">
        <v>0</v>
      </c>
      <c r="H38" s="538">
        <f t="shared" si="0"/>
        <v>1000</v>
      </c>
      <c r="I38" s="538">
        <f t="shared" si="1"/>
        <v>300</v>
      </c>
      <c r="J38" s="538">
        <f t="shared" si="2"/>
        <v>700</v>
      </c>
    </row>
    <row r="39" spans="1:10">
      <c r="A39" s="530"/>
      <c r="B39" s="462" t="s">
        <v>1886</v>
      </c>
      <c r="C39" s="539">
        <v>0.3</v>
      </c>
      <c r="D39" s="538">
        <v>1000</v>
      </c>
      <c r="E39" s="540">
        <v>0</v>
      </c>
      <c r="F39" s="540">
        <v>0</v>
      </c>
      <c r="G39" s="531">
        <v>0</v>
      </c>
      <c r="H39" s="538">
        <f t="shared" si="0"/>
        <v>1000</v>
      </c>
      <c r="I39" s="538">
        <f t="shared" si="1"/>
        <v>300</v>
      </c>
      <c r="J39" s="538">
        <f t="shared" si="2"/>
        <v>700</v>
      </c>
    </row>
    <row r="40" spans="1:10">
      <c r="A40" s="530"/>
      <c r="B40" s="462" t="s">
        <v>1868</v>
      </c>
      <c r="C40" s="539">
        <v>0.4</v>
      </c>
      <c r="D40" s="538">
        <v>1000</v>
      </c>
      <c r="E40" s="540">
        <v>0</v>
      </c>
      <c r="F40" s="540">
        <v>0</v>
      </c>
      <c r="G40" s="531">
        <v>0</v>
      </c>
      <c r="H40" s="538">
        <f t="shared" si="0"/>
        <v>1000</v>
      </c>
      <c r="I40" s="538">
        <f t="shared" si="1"/>
        <v>400</v>
      </c>
      <c r="J40" s="538">
        <f t="shared" si="2"/>
        <v>600</v>
      </c>
    </row>
    <row r="41" spans="1:10">
      <c r="A41" s="530"/>
      <c r="B41" s="462" t="s">
        <v>1887</v>
      </c>
      <c r="C41" s="539">
        <v>0.15</v>
      </c>
      <c r="D41" s="538">
        <v>1000</v>
      </c>
      <c r="E41" s="540">
        <v>0</v>
      </c>
      <c r="F41" s="540">
        <v>0</v>
      </c>
      <c r="G41" s="531">
        <v>0</v>
      </c>
      <c r="H41" s="538">
        <f t="shared" si="0"/>
        <v>1000</v>
      </c>
      <c r="I41" s="538">
        <f t="shared" si="1"/>
        <v>150</v>
      </c>
      <c r="J41" s="538">
        <f t="shared" si="2"/>
        <v>850</v>
      </c>
    </row>
    <row r="42" spans="1:10">
      <c r="A42" s="530"/>
      <c r="C42" s="539"/>
      <c r="D42" s="538"/>
      <c r="E42" s="540"/>
      <c r="F42" s="540"/>
      <c r="G42" s="251"/>
      <c r="H42" s="538"/>
      <c r="I42" s="538"/>
      <c r="J42" s="538"/>
    </row>
    <row r="43" spans="1:10">
      <c r="A43" s="530"/>
      <c r="C43" s="539"/>
      <c r="D43" s="538"/>
      <c r="E43" s="540"/>
      <c r="F43" s="540"/>
      <c r="G43" s="251"/>
      <c r="H43" s="538"/>
      <c r="I43" s="538"/>
      <c r="J43" s="538"/>
    </row>
    <row r="44" spans="1:10" ht="13.5" thickBot="1">
      <c r="A44" s="541" t="s">
        <v>81</v>
      </c>
      <c r="B44" s="542" t="s">
        <v>26</v>
      </c>
      <c r="C44" s="543" t="s">
        <v>81</v>
      </c>
      <c r="D44" s="544">
        <f t="shared" ref="D44:J44" si="3">SUM(D10:D42)</f>
        <v>30000</v>
      </c>
      <c r="E44" s="544">
        <f t="shared" si="3"/>
        <v>370</v>
      </c>
      <c r="F44" s="544">
        <f t="shared" si="3"/>
        <v>124</v>
      </c>
      <c r="G44" s="545">
        <f t="shared" si="3"/>
        <v>0</v>
      </c>
      <c r="H44" s="544">
        <f t="shared" si="3"/>
        <v>30494</v>
      </c>
      <c r="I44" s="544">
        <f t="shared" si="3"/>
        <v>4802.5</v>
      </c>
      <c r="J44" s="544">
        <f t="shared" si="3"/>
        <v>25691.5</v>
      </c>
    </row>
    <row r="45" spans="1:10" ht="13.5" thickTop="1">
      <c r="A45" s="546"/>
      <c r="C45" s="469"/>
      <c r="D45" s="464"/>
      <c r="E45" s="464"/>
      <c r="F45" s="464"/>
      <c r="G45" s="547">
        <v>0</v>
      </c>
      <c r="H45" s="464"/>
      <c r="I45" s="466"/>
      <c r="J45" s="467"/>
    </row>
    <row r="46" spans="1:10">
      <c r="A46" s="465"/>
      <c r="B46" s="464"/>
      <c r="C46" s="469"/>
      <c r="D46" s="464"/>
      <c r="E46" s="464"/>
      <c r="F46" s="464"/>
      <c r="G46" s="547"/>
      <c r="H46" s="464"/>
      <c r="I46" s="466"/>
      <c r="J46" s="467"/>
    </row>
    <row r="47" spans="1:10">
      <c r="A47" s="465"/>
      <c r="B47" s="464"/>
      <c r="C47" s="471"/>
      <c r="G47" s="472"/>
      <c r="H47" s="470"/>
      <c r="I47" s="472"/>
      <c r="J47" s="354"/>
    </row>
    <row r="48" spans="1:10">
      <c r="A48" s="465"/>
      <c r="B48" s="464"/>
      <c r="C48" s="471"/>
      <c r="G48" s="548"/>
      <c r="H48" s="293"/>
      <c r="I48" s="472"/>
      <c r="J48" s="354"/>
    </row>
    <row r="49" spans="1:10">
      <c r="A49" s="465"/>
      <c r="B49" s="464"/>
      <c r="C49" s="471"/>
      <c r="G49" s="357"/>
      <c r="H49" s="293"/>
      <c r="I49" s="293"/>
      <c r="J49" s="354"/>
    </row>
    <row r="50" spans="1:10">
      <c r="A50" s="465"/>
      <c r="B50" s="464"/>
      <c r="C50" s="471"/>
      <c r="G50" s="357"/>
      <c r="H50" s="293"/>
      <c r="I50" s="293"/>
      <c r="J50" s="354"/>
    </row>
    <row r="51" spans="1:10">
      <c r="A51" s="465"/>
      <c r="B51" s="464"/>
      <c r="C51" s="471"/>
      <c r="G51" s="249" t="str">
        <f>BS!F56</f>
        <v>Director 1</v>
      </c>
      <c r="H51" s="262"/>
      <c r="I51" s="249" t="str">
        <f>BS!G56</f>
        <v>Director 2</v>
      </c>
      <c r="J51" s="354"/>
    </row>
    <row r="52" spans="1:10">
      <c r="A52" s="465"/>
      <c r="B52" s="464"/>
      <c r="C52" s="471"/>
      <c r="G52" s="249" t="str">
        <f>BS!F57</f>
        <v>(DIRECTOR)</v>
      </c>
      <c r="H52" s="262"/>
      <c r="I52" s="249" t="str">
        <f>BS!G57</f>
        <v>(DIRECTOR)</v>
      </c>
      <c r="J52" s="354"/>
    </row>
    <row r="53" spans="1:10">
      <c r="A53" s="465"/>
      <c r="B53" s="464"/>
      <c r="C53" s="471"/>
      <c r="G53" s="249" t="str">
        <f>BS!F58</f>
        <v>DIN - 00XXXX70</v>
      </c>
      <c r="H53" s="262"/>
      <c r="I53" s="249" t="str">
        <f>BS!G58</f>
        <v>DIN - 00XXXX70</v>
      </c>
      <c r="J53" s="468"/>
    </row>
    <row r="54" spans="1:10">
      <c r="A54" s="465"/>
      <c r="B54" s="546"/>
      <c r="D54" s="549"/>
      <c r="E54" s="549"/>
      <c r="F54" s="549"/>
      <c r="G54" s="473"/>
      <c r="H54" s="549"/>
      <c r="I54" s="549"/>
      <c r="J54" s="549"/>
    </row>
    <row r="55" spans="1:10">
      <c r="A55" s="530"/>
      <c r="B55" s="546"/>
      <c r="D55" s="549"/>
      <c r="E55" s="549"/>
      <c r="F55" s="549"/>
      <c r="G55" s="473"/>
      <c r="H55" s="549"/>
      <c r="I55" s="549"/>
      <c r="J55" s="549"/>
    </row>
    <row r="56" spans="1:10">
      <c r="A56" s="530"/>
      <c r="B56" s="546"/>
      <c r="D56" s="549"/>
      <c r="E56" s="549"/>
      <c r="F56" s="549"/>
      <c r="G56" s="473"/>
      <c r="H56" s="549"/>
      <c r="I56" s="549"/>
      <c r="J56" s="549"/>
    </row>
    <row r="57" spans="1:10">
      <c r="A57" s="530"/>
      <c r="B57" s="546"/>
      <c r="D57" s="549"/>
      <c r="E57" s="549"/>
      <c r="F57" s="549"/>
      <c r="G57" s="473"/>
      <c r="H57" s="549"/>
      <c r="I57" s="549"/>
      <c r="J57" s="549"/>
    </row>
    <row r="58" spans="1:10">
      <c r="A58" s="530"/>
      <c r="B58" s="546"/>
      <c r="D58" s="549"/>
      <c r="E58" s="549"/>
      <c r="F58" s="549"/>
      <c r="G58" s="473"/>
      <c r="H58" s="549"/>
      <c r="I58" s="549"/>
      <c r="J58" s="549"/>
    </row>
    <row r="59" spans="1:10">
      <c r="A59" s="530"/>
      <c r="B59" s="550" t="s">
        <v>51</v>
      </c>
      <c r="C59" s="456"/>
      <c r="D59" s="551"/>
      <c r="E59" s="551"/>
      <c r="F59" s="551"/>
      <c r="G59" s="552"/>
      <c r="H59" s="553"/>
      <c r="I59" s="549"/>
      <c r="J59" s="549"/>
    </row>
    <row r="60" spans="1:10">
      <c r="B60" s="554"/>
      <c r="G60" s="251"/>
      <c r="H60" s="555"/>
    </row>
    <row r="61" spans="1:10">
      <c r="B61" s="556" t="s">
        <v>52</v>
      </c>
      <c r="G61" s="251"/>
      <c r="H61" s="555"/>
    </row>
    <row r="62" spans="1:10">
      <c r="B62" s="554"/>
      <c r="E62" s="546" t="s">
        <v>53</v>
      </c>
      <c r="G62" s="251"/>
      <c r="H62" s="555"/>
      <c r="I62" s="462" t="s">
        <v>28</v>
      </c>
    </row>
    <row r="63" spans="1:10">
      <c r="B63" s="554"/>
      <c r="E63" s="462" t="s">
        <v>474</v>
      </c>
      <c r="F63" s="557">
        <f ca="1">PL!F33</f>
        <v>-6952.6900000000005</v>
      </c>
      <c r="G63" s="251"/>
      <c r="H63" s="555"/>
    </row>
    <row r="64" spans="1:10">
      <c r="B64" s="554"/>
      <c r="E64" s="462" t="s">
        <v>54</v>
      </c>
      <c r="F64" s="558">
        <f>'DEP CO aCT'!H49</f>
        <v>686</v>
      </c>
      <c r="G64" s="462">
        <f>'DEP CO aCT'!J49</f>
        <v>11756.04</v>
      </c>
      <c r="H64" s="555"/>
    </row>
    <row r="65" spans="2:8">
      <c r="B65" s="554"/>
      <c r="F65" s="557">
        <f ca="1">SUM(F63:F64)</f>
        <v>-6266.6900000000005</v>
      </c>
      <c r="G65" s="251"/>
      <c r="H65" s="555"/>
    </row>
    <row r="66" spans="2:8">
      <c r="B66" s="554"/>
      <c r="E66" s="462" t="s">
        <v>56</v>
      </c>
      <c r="F66" s="558">
        <f>+I44</f>
        <v>4802.5</v>
      </c>
      <c r="G66" s="251">
        <f>J44</f>
        <v>25691.5</v>
      </c>
      <c r="H66" s="555"/>
    </row>
    <row r="67" spans="2:8">
      <c r="B67" s="554" t="s">
        <v>55</v>
      </c>
      <c r="C67" s="557">
        <v>0</v>
      </c>
      <c r="F67" s="557">
        <f ca="1">F65-F66</f>
        <v>-11069.19</v>
      </c>
      <c r="G67" s="251">
        <f>G66-G64</f>
        <v>13935.46</v>
      </c>
      <c r="H67" s="555"/>
    </row>
    <row r="68" spans="2:8">
      <c r="B68" s="554" t="s">
        <v>57</v>
      </c>
      <c r="C68" s="557">
        <f ca="1">ROUND(F70,2)</f>
        <v>0</v>
      </c>
      <c r="E68" s="462" t="s">
        <v>661</v>
      </c>
      <c r="F68" s="558">
        <v>0</v>
      </c>
      <c r="G68" s="251">
        <v>0</v>
      </c>
      <c r="H68" s="555" t="s">
        <v>475</v>
      </c>
    </row>
    <row r="69" spans="2:8">
      <c r="B69" s="554"/>
      <c r="E69" s="462" t="s">
        <v>662</v>
      </c>
      <c r="F69" s="680">
        <f ca="1">F67-F68</f>
        <v>-11069.19</v>
      </c>
      <c r="G69" s="251">
        <f>SUM(G67:G68)</f>
        <v>13935.46</v>
      </c>
      <c r="H69" s="555" t="s">
        <v>476</v>
      </c>
    </row>
    <row r="70" spans="2:8">
      <c r="B70" s="554" t="s">
        <v>60</v>
      </c>
      <c r="E70" s="462" t="s">
        <v>58</v>
      </c>
      <c r="F70" s="557">
        <f ca="1">IF(F69&gt;0,(F69*26%),0)</f>
        <v>0</v>
      </c>
      <c r="G70" s="251">
        <f>G69*25.17%</f>
        <v>3507.5552820000003</v>
      </c>
      <c r="H70" s="555"/>
    </row>
    <row r="71" spans="2:8">
      <c r="B71" s="554"/>
      <c r="G71" s="251"/>
      <c r="H71" s="555"/>
    </row>
    <row r="72" spans="2:8">
      <c r="B72" s="554" t="s">
        <v>61</v>
      </c>
      <c r="C72" s="557">
        <f ca="1">ROUND(F70-C68,0)</f>
        <v>0</v>
      </c>
      <c r="G72" s="251"/>
      <c r="H72" s="555"/>
    </row>
    <row r="73" spans="2:8">
      <c r="B73" s="554" t="s">
        <v>62</v>
      </c>
      <c r="C73" s="557">
        <f ca="1">F70</f>
        <v>0</v>
      </c>
      <c r="G73" s="251"/>
      <c r="H73" s="555"/>
    </row>
    <row r="74" spans="2:8">
      <c r="B74" s="554"/>
      <c r="G74" s="251"/>
      <c r="H74" s="555"/>
    </row>
    <row r="75" spans="2:8">
      <c r="B75" s="563"/>
      <c r="C75" s="474"/>
      <c r="D75" s="474"/>
      <c r="E75" s="474"/>
      <c r="F75" s="474"/>
      <c r="G75" s="564"/>
      <c r="H75" s="565"/>
    </row>
  </sheetData>
  <mergeCells count="3">
    <mergeCell ref="A2:J2"/>
    <mergeCell ref="A3:J3"/>
    <mergeCell ref="E5:F5"/>
  </mergeCells>
  <phoneticPr fontId="6" type="noConversion"/>
  <printOptions horizontalCentered="1"/>
  <pageMargins left="0" right="0" top="0.74803149606299213" bottom="0.74803149606299213" header="0.51181102362204722" footer="0.51181102362204722"/>
  <pageSetup paperSize="9" scale="7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U278"/>
  <sheetViews>
    <sheetView showGridLines="0" view="pageBreakPreview" topLeftCell="A43" zoomScale="85" zoomScaleSheetLayoutView="85" workbookViewId="0">
      <selection activeCell="C9" sqref="B9:M10"/>
    </sheetView>
  </sheetViews>
  <sheetFormatPr defaultColWidth="9.140625" defaultRowHeight="12.75"/>
  <cols>
    <col min="1" max="1" width="9.140625" style="683"/>
    <col min="2" max="2" width="7.5703125" style="708" customWidth="1"/>
    <col min="3" max="3" width="8.140625" style="683" customWidth="1"/>
    <col min="4" max="4" width="29.7109375" style="683" customWidth="1"/>
    <col min="5" max="5" width="15.5703125" style="683" customWidth="1"/>
    <col min="6" max="6" width="11" style="683" customWidth="1"/>
    <col min="7" max="7" width="13.5703125" style="683" customWidth="1"/>
    <col min="8" max="8" width="22.42578125" style="683" customWidth="1"/>
    <col min="9" max="10" width="12.140625" style="683" customWidth="1"/>
    <col min="11" max="16384" width="9.140625" style="683"/>
  </cols>
  <sheetData>
    <row r="1" spans="2:10" ht="18">
      <c r="B1" s="1114" t="str">
        <f>Master!B10</f>
        <v>ABC PRIVATE LIMITED</v>
      </c>
      <c r="C1" s="1114"/>
      <c r="D1" s="1114"/>
      <c r="E1" s="1114"/>
      <c r="F1" s="1114"/>
      <c r="G1" s="1114"/>
      <c r="H1" s="1114"/>
      <c r="I1" s="1114"/>
      <c r="J1" s="1114"/>
    </row>
    <row r="2" spans="2:10" ht="16.5" customHeight="1">
      <c r="B2" s="1115" t="str">
        <f>Master!B11</f>
        <v>B-2, XXXXXXXXXXXX XXXXXXXXXXX0034</v>
      </c>
      <c r="C2" s="1115"/>
      <c r="D2" s="1115"/>
      <c r="E2" s="1115"/>
      <c r="F2" s="1115"/>
      <c r="G2" s="1115"/>
      <c r="H2" s="1115"/>
      <c r="I2" s="1115"/>
      <c r="J2" s="1115"/>
    </row>
    <row r="3" spans="2:10" ht="16.5" customHeight="1">
      <c r="B3" s="1115" t="str">
        <f>"CIN : "&amp;Master!B12</f>
        <v>CIN : U7XXXXXXXXXXXXXXXXX52</v>
      </c>
      <c r="C3" s="1115"/>
      <c r="D3" s="1115"/>
      <c r="E3" s="1115"/>
      <c r="F3" s="1115"/>
      <c r="G3" s="1115"/>
      <c r="H3" s="1115"/>
      <c r="I3" s="1115"/>
      <c r="J3" s="1115"/>
    </row>
    <row r="4" spans="2:10" ht="16.5" customHeight="1">
      <c r="B4" s="1115" t="s">
        <v>1579</v>
      </c>
      <c r="C4" s="1115"/>
      <c r="D4" s="1115"/>
      <c r="E4" s="1115"/>
      <c r="F4" s="1115"/>
      <c r="G4" s="1115"/>
      <c r="H4" s="1115"/>
      <c r="I4" s="1115"/>
      <c r="J4" s="1115"/>
    </row>
    <row r="5" spans="2:10" ht="16.5" customHeight="1"/>
    <row r="6" spans="2:10" ht="16.5" customHeight="1">
      <c r="I6" s="872" t="s">
        <v>1580</v>
      </c>
    </row>
    <row r="7" spans="2:10" ht="14.25">
      <c r="C7" s="709"/>
    </row>
    <row r="8" spans="2:10" s="710" customFormat="1" ht="14.25">
      <c r="B8" s="873">
        <v>1</v>
      </c>
      <c r="C8" s="1112" t="s">
        <v>1581</v>
      </c>
      <c r="D8" s="1112"/>
      <c r="E8" s="1112"/>
      <c r="F8" s="1112"/>
      <c r="G8" s="1112"/>
      <c r="H8" s="1112"/>
      <c r="I8" s="1112"/>
      <c r="J8" s="1112"/>
    </row>
    <row r="9" spans="2:10" s="710" customFormat="1" ht="14.25">
      <c r="B9" s="873"/>
      <c r="C9" s="1111" t="str">
        <f>"M/s "&amp;PROPER(B1)&amp;" was incorportated on "&amp;TEXT(Master!B13,"mmmm dd, yyyy. ")&amp;"The Company is engaged in the business and services of "&amp;Master!B16</f>
        <v>M/s Abc Private Limited was incorportated on January 01, 2001. The Company is engaged in the business and services of Readymade Garments</v>
      </c>
      <c r="D9" s="1111"/>
      <c r="E9" s="1111"/>
      <c r="F9" s="1111"/>
      <c r="G9" s="1111"/>
      <c r="H9" s="1111"/>
      <c r="I9" s="1111"/>
      <c r="J9" s="1111"/>
    </row>
    <row r="10" spans="2:10" s="710" customFormat="1" ht="14.25">
      <c r="B10" s="873"/>
      <c r="C10" s="1111"/>
      <c r="D10" s="1111"/>
      <c r="E10" s="1111"/>
      <c r="F10" s="1111"/>
      <c r="G10" s="1111"/>
      <c r="H10" s="1111"/>
      <c r="I10" s="1111"/>
      <c r="J10" s="1111"/>
    </row>
    <row r="11" spans="2:10" s="710" customFormat="1" ht="14.25">
      <c r="B11" s="873"/>
      <c r="C11" s="711"/>
      <c r="D11" s="711"/>
      <c r="E11" s="711"/>
      <c r="F11" s="711"/>
      <c r="G11" s="711"/>
      <c r="H11" s="711"/>
      <c r="I11" s="711"/>
      <c r="J11" s="711"/>
    </row>
    <row r="12" spans="2:10" s="710" customFormat="1" ht="16.5" customHeight="1">
      <c r="B12" s="873">
        <f>B8+1</f>
        <v>2</v>
      </c>
      <c r="C12" s="712" t="s">
        <v>1583</v>
      </c>
    </row>
    <row r="13" spans="2:10" s="710" customFormat="1" ht="51" customHeight="1">
      <c r="B13" s="875" t="s">
        <v>1069</v>
      </c>
      <c r="C13" s="1116" t="s">
        <v>1584</v>
      </c>
      <c r="D13" s="1116"/>
      <c r="E13" s="1116"/>
      <c r="F13" s="1116"/>
      <c r="G13" s="1116"/>
      <c r="H13" s="1116"/>
      <c r="I13" s="1116"/>
      <c r="J13" s="1116"/>
    </row>
    <row r="14" spans="2:10" s="710" customFormat="1" ht="78.75" customHeight="1">
      <c r="B14" s="875" t="s">
        <v>1071</v>
      </c>
      <c r="C14" s="1116" t="s">
        <v>1585</v>
      </c>
      <c r="D14" s="1116"/>
      <c r="E14" s="1116"/>
      <c r="F14" s="1116"/>
      <c r="G14" s="1116"/>
      <c r="H14" s="1116"/>
      <c r="I14" s="1116"/>
      <c r="J14" s="1116"/>
    </row>
    <row r="15" spans="2:10" s="710" customFormat="1" ht="35.25" customHeight="1">
      <c r="B15" s="875" t="s">
        <v>1073</v>
      </c>
      <c r="C15" s="1116" t="str">
        <f>"Rounding of amounts:  All amount disclosed in these financial statements and notes have been rounded off "&amp;Master!B17&amp;" as per the requirement of Schedule III, unless otherwise stated."</f>
        <v>Rounding of amounts:  All amount disclosed in these financial statements and notes have been rounded off In Rs. Thousands as per the requirement of Schedule III, unless otherwise stated.</v>
      </c>
      <c r="D15" s="1116"/>
      <c r="E15" s="1116"/>
      <c r="F15" s="1116"/>
      <c r="G15" s="1116"/>
      <c r="H15" s="1116"/>
      <c r="I15" s="1116"/>
      <c r="J15" s="1116"/>
    </row>
    <row r="16" spans="2:10" s="710" customFormat="1" ht="14.25">
      <c r="B16" s="873"/>
      <c r="C16" s="711"/>
      <c r="D16" s="711"/>
      <c r="E16" s="711"/>
      <c r="F16" s="711"/>
      <c r="G16" s="711"/>
      <c r="H16" s="711"/>
      <c r="I16" s="711"/>
      <c r="J16" s="711"/>
    </row>
    <row r="17" spans="2:10" s="710" customFormat="1" ht="14.25">
      <c r="B17" s="879">
        <v>2.1</v>
      </c>
      <c r="C17" s="1112" t="s">
        <v>1588</v>
      </c>
      <c r="D17" s="1112"/>
      <c r="E17" s="1112"/>
      <c r="F17" s="1112"/>
      <c r="G17" s="1112"/>
      <c r="H17" s="1112"/>
      <c r="I17" s="1112"/>
      <c r="J17" s="1112"/>
    </row>
    <row r="18" spans="2:10" s="710" customFormat="1" ht="14.25">
      <c r="B18" s="879"/>
      <c r="C18" s="711"/>
      <c r="D18" s="711"/>
      <c r="E18" s="711"/>
      <c r="F18" s="711"/>
      <c r="G18" s="711"/>
      <c r="H18" s="711"/>
      <c r="I18" s="711"/>
      <c r="J18" s="711"/>
    </row>
    <row r="19" spans="2:10" s="710" customFormat="1" ht="14.25">
      <c r="B19" s="879" t="s">
        <v>1038</v>
      </c>
      <c r="C19" s="1112" t="s">
        <v>1589</v>
      </c>
      <c r="D19" s="1112"/>
      <c r="E19" s="1112"/>
      <c r="F19" s="1112"/>
      <c r="G19" s="1112"/>
      <c r="H19" s="1112"/>
      <c r="I19" s="1112"/>
      <c r="J19" s="1112"/>
    </row>
    <row r="20" spans="2:10" s="710" customFormat="1" ht="63" customHeight="1">
      <c r="B20" s="879"/>
      <c r="C20" s="1111" t="s">
        <v>1590</v>
      </c>
      <c r="D20" s="1111"/>
      <c r="E20" s="1111"/>
      <c r="F20" s="1111"/>
      <c r="G20" s="1111"/>
      <c r="H20" s="1111"/>
      <c r="I20" s="1111"/>
      <c r="J20" s="1111"/>
    </row>
    <row r="21" spans="2:10" s="710" customFormat="1" ht="22.5" customHeight="1">
      <c r="B21" s="879"/>
      <c r="C21" s="1111" t="s">
        <v>1591</v>
      </c>
      <c r="D21" s="1111"/>
      <c r="E21" s="1111"/>
      <c r="F21" s="1111"/>
      <c r="G21" s="1111"/>
      <c r="H21" s="1111"/>
      <c r="I21" s="1111"/>
      <c r="J21" s="1111"/>
    </row>
    <row r="22" spans="2:10" s="710" customFormat="1" ht="14.25">
      <c r="B22" s="879"/>
      <c r="C22" s="711"/>
      <c r="D22" s="711"/>
      <c r="E22" s="711"/>
      <c r="F22" s="711"/>
      <c r="G22" s="711"/>
      <c r="H22" s="711"/>
      <c r="I22" s="711"/>
      <c r="J22" s="711"/>
    </row>
    <row r="23" spans="2:10" s="710" customFormat="1" ht="14.25">
      <c r="B23" s="879" t="s">
        <v>1040</v>
      </c>
      <c r="C23" s="1112" t="s">
        <v>1592</v>
      </c>
      <c r="D23" s="1112"/>
      <c r="E23" s="1112"/>
      <c r="F23" s="1112"/>
      <c r="G23" s="1112"/>
      <c r="H23" s="1112"/>
      <c r="I23" s="1112"/>
      <c r="J23" s="1112"/>
    </row>
    <row r="24" spans="2:10" s="710" customFormat="1" ht="106.5" customHeight="1">
      <c r="B24" s="879"/>
      <c r="C24" s="1111" t="s">
        <v>1593</v>
      </c>
      <c r="D24" s="1111"/>
      <c r="E24" s="1111"/>
      <c r="F24" s="1111"/>
      <c r="G24" s="1111"/>
      <c r="H24" s="1111"/>
      <c r="I24" s="1111"/>
      <c r="J24" s="1111"/>
    </row>
    <row r="25" spans="2:10" s="710" customFormat="1" ht="14.25">
      <c r="B25" s="879" t="s">
        <v>1042</v>
      </c>
      <c r="C25" s="1112" t="s">
        <v>1594</v>
      </c>
      <c r="D25" s="1112"/>
      <c r="E25" s="1112"/>
      <c r="F25" s="1112"/>
      <c r="G25" s="1112"/>
      <c r="H25" s="1112"/>
      <c r="I25" s="1112"/>
      <c r="J25" s="1112"/>
    </row>
    <row r="26" spans="2:10" s="710" customFormat="1" ht="36" customHeight="1">
      <c r="B26" s="879"/>
      <c r="C26" s="1111" t="s">
        <v>1595</v>
      </c>
      <c r="D26" s="1111"/>
      <c r="E26" s="1111"/>
      <c r="F26" s="1111"/>
      <c r="G26" s="1111"/>
      <c r="H26" s="1111"/>
      <c r="I26" s="1111"/>
      <c r="J26" s="1111"/>
    </row>
    <row r="27" spans="2:10" s="710" customFormat="1" ht="30.75" customHeight="1">
      <c r="B27" s="879"/>
      <c r="C27" s="1111" t="s">
        <v>1596</v>
      </c>
      <c r="D27" s="1111"/>
      <c r="E27" s="1111"/>
      <c r="F27" s="1111"/>
      <c r="G27" s="1111"/>
      <c r="H27" s="1111"/>
      <c r="I27" s="1111"/>
      <c r="J27" s="1111"/>
    </row>
    <row r="28" spans="2:10" s="710" customFormat="1" ht="14.25">
      <c r="B28" s="879"/>
      <c r="C28" s="711"/>
      <c r="D28" s="711"/>
      <c r="E28" s="711"/>
      <c r="F28" s="711"/>
      <c r="G28" s="711"/>
      <c r="H28" s="711"/>
      <c r="I28" s="711"/>
      <c r="J28" s="711"/>
    </row>
    <row r="29" spans="2:10" s="710" customFormat="1" ht="14.25">
      <c r="B29" s="879" t="s">
        <v>1121</v>
      </c>
      <c r="C29" s="1112" t="s">
        <v>1597</v>
      </c>
      <c r="D29" s="1112"/>
      <c r="E29" s="1112"/>
      <c r="F29" s="1112"/>
      <c r="G29" s="1112"/>
      <c r="H29" s="1112"/>
      <c r="I29" s="1112"/>
      <c r="J29" s="1112"/>
    </row>
    <row r="30" spans="2:10" s="710" customFormat="1" ht="61.5" customHeight="1">
      <c r="B30" s="879"/>
      <c r="C30" s="1111" t="s">
        <v>1598</v>
      </c>
      <c r="D30" s="1111"/>
      <c r="E30" s="1111"/>
      <c r="F30" s="1111"/>
      <c r="G30" s="1111"/>
      <c r="H30" s="1111"/>
      <c r="I30" s="1111"/>
      <c r="J30" s="1111"/>
    </row>
    <row r="31" spans="2:10" s="710" customFormat="1" ht="14.25">
      <c r="B31" s="879"/>
      <c r="C31" s="711"/>
      <c r="D31" s="711"/>
      <c r="E31" s="711"/>
      <c r="F31" s="711"/>
      <c r="G31" s="711"/>
      <c r="H31" s="711"/>
      <c r="I31" s="711"/>
      <c r="J31" s="711"/>
    </row>
    <row r="32" spans="2:10" s="710" customFormat="1" ht="14.25">
      <c r="B32" s="879" t="s">
        <v>1146</v>
      </c>
      <c r="C32" s="1112" t="s">
        <v>1599</v>
      </c>
      <c r="D32" s="1112"/>
      <c r="E32" s="1112"/>
      <c r="F32" s="1112"/>
      <c r="G32" s="1112"/>
      <c r="H32" s="1112"/>
      <c r="I32" s="1112"/>
      <c r="J32" s="1112"/>
    </row>
    <row r="33" spans="2:10" s="710" customFormat="1" ht="77.25" customHeight="1">
      <c r="B33" s="879"/>
      <c r="C33" s="1111" t="s">
        <v>1600</v>
      </c>
      <c r="D33" s="1111"/>
      <c r="E33" s="1111"/>
      <c r="F33" s="1111"/>
      <c r="G33" s="1111"/>
      <c r="H33" s="1111"/>
      <c r="I33" s="1111"/>
      <c r="J33" s="1111"/>
    </row>
    <row r="34" spans="2:10" s="710" customFormat="1" ht="14.25">
      <c r="B34" s="879"/>
      <c r="C34" s="711"/>
      <c r="D34" s="711"/>
      <c r="E34" s="711"/>
      <c r="F34" s="711"/>
      <c r="G34" s="711"/>
      <c r="H34" s="711"/>
      <c r="I34" s="711"/>
      <c r="J34" s="711"/>
    </row>
    <row r="35" spans="2:10" s="710" customFormat="1" ht="14.25">
      <c r="B35" s="879" t="s">
        <v>1601</v>
      </c>
      <c r="C35" s="1112" t="s">
        <v>1602</v>
      </c>
      <c r="D35" s="1112"/>
      <c r="E35" s="1112"/>
      <c r="F35" s="1112"/>
      <c r="G35" s="1112"/>
      <c r="H35" s="1112"/>
      <c r="I35" s="1112"/>
      <c r="J35" s="1112"/>
    </row>
    <row r="36" spans="2:10" s="710" customFormat="1" ht="14.25">
      <c r="B36" s="879"/>
      <c r="C36" s="1111" t="s">
        <v>1603</v>
      </c>
      <c r="D36" s="1111"/>
      <c r="E36" s="1111"/>
      <c r="F36" s="1111"/>
      <c r="G36" s="1111"/>
      <c r="H36" s="1111"/>
      <c r="I36" s="1111"/>
      <c r="J36" s="1111"/>
    </row>
    <row r="37" spans="2:10" s="710" customFormat="1" ht="14.25">
      <c r="B37" s="879"/>
      <c r="C37" s="711"/>
      <c r="D37" s="711"/>
      <c r="E37" s="711"/>
      <c r="F37" s="711"/>
      <c r="G37" s="711"/>
      <c r="H37" s="711"/>
      <c r="I37" s="711"/>
      <c r="J37" s="711"/>
    </row>
    <row r="38" spans="2:10" s="710" customFormat="1" ht="14.25">
      <c r="B38" s="879" t="s">
        <v>1615</v>
      </c>
      <c r="C38" s="1112" t="s">
        <v>1604</v>
      </c>
      <c r="D38" s="1112"/>
      <c r="E38" s="1112"/>
      <c r="F38" s="1112"/>
      <c r="G38" s="1112"/>
      <c r="H38" s="1112"/>
      <c r="I38" s="1112"/>
      <c r="J38" s="1112"/>
    </row>
    <row r="39" spans="2:10" s="710" customFormat="1" ht="14.25">
      <c r="B39" s="879"/>
      <c r="C39" s="1111" t="s">
        <v>1605</v>
      </c>
      <c r="D39" s="1111"/>
      <c r="E39" s="1111"/>
      <c r="F39" s="1111"/>
      <c r="G39" s="1111"/>
      <c r="H39" s="1111"/>
      <c r="I39" s="1111"/>
      <c r="J39" s="1111"/>
    </row>
    <row r="40" spans="2:10" s="710" customFormat="1" ht="14.25">
      <c r="B40" s="879"/>
      <c r="C40" s="711"/>
      <c r="D40" s="711"/>
      <c r="E40" s="711"/>
      <c r="F40" s="711"/>
      <c r="G40" s="711"/>
      <c r="H40" s="711"/>
      <c r="I40" s="711"/>
      <c r="J40" s="711"/>
    </row>
    <row r="41" spans="2:10" s="710" customFormat="1" ht="14.25">
      <c r="B41" s="879" t="s">
        <v>1616</v>
      </c>
      <c r="C41" s="1112" t="s">
        <v>1606</v>
      </c>
      <c r="D41" s="1112"/>
      <c r="E41" s="1112"/>
      <c r="F41" s="1112"/>
      <c r="G41" s="1112"/>
      <c r="H41" s="1112"/>
      <c r="I41" s="1112"/>
      <c r="J41" s="1112"/>
    </row>
    <row r="42" spans="2:10" s="710" customFormat="1" ht="14.25">
      <c r="B42" s="879"/>
      <c r="C42" s="1111" t="s">
        <v>1608</v>
      </c>
      <c r="D42" s="1111"/>
      <c r="E42" s="1111"/>
      <c r="F42" s="1111"/>
      <c r="G42" s="1111"/>
      <c r="H42" s="1111"/>
      <c r="I42" s="1111"/>
      <c r="J42" s="1111"/>
    </row>
    <row r="43" spans="2:10" s="710" customFormat="1" ht="14.25">
      <c r="B43" s="879"/>
      <c r="C43" s="711">
        <v>1</v>
      </c>
      <c r="D43" s="1111" t="s">
        <v>1609</v>
      </c>
      <c r="E43" s="1111"/>
      <c r="F43" s="1111"/>
      <c r="G43" s="1111"/>
      <c r="H43" s="1111"/>
      <c r="I43" s="1111"/>
      <c r="J43" s="711"/>
    </row>
    <row r="44" spans="2:10" s="710" customFormat="1" ht="14.25">
      <c r="B44" s="879"/>
      <c r="C44" s="711">
        <v>2</v>
      </c>
      <c r="D44" s="868" t="s">
        <v>1610</v>
      </c>
      <c r="E44" s="711"/>
      <c r="F44" s="711"/>
      <c r="G44" s="711"/>
      <c r="H44" s="711"/>
      <c r="I44" s="711"/>
      <c r="J44" s="711"/>
    </row>
    <row r="45" spans="2:10" s="710" customFormat="1" ht="14.25">
      <c r="B45" s="879"/>
      <c r="C45" s="711"/>
      <c r="D45" s="711"/>
      <c r="E45" s="711"/>
      <c r="F45" s="711"/>
      <c r="G45" s="711"/>
      <c r="H45" s="711"/>
      <c r="I45" s="711"/>
      <c r="J45" s="711"/>
    </row>
    <row r="46" spans="2:10" s="710" customFormat="1" ht="14.25">
      <c r="B46" s="879" t="s">
        <v>1012</v>
      </c>
      <c r="C46" s="1112" t="s">
        <v>1611</v>
      </c>
      <c r="D46" s="1112"/>
      <c r="E46" s="1112"/>
      <c r="F46" s="1112"/>
      <c r="G46" s="1112"/>
      <c r="H46" s="1112"/>
      <c r="I46" s="1112"/>
      <c r="J46" s="1112"/>
    </row>
    <row r="47" spans="2:10" s="710" customFormat="1" ht="14.25">
      <c r="B47" s="879"/>
      <c r="C47" s="1111" t="s">
        <v>1612</v>
      </c>
      <c r="D47" s="1111"/>
      <c r="E47" s="1111"/>
      <c r="F47" s="1111"/>
      <c r="G47" s="1111"/>
      <c r="H47" s="1111"/>
      <c r="I47" s="1111"/>
      <c r="J47" s="1111"/>
    </row>
    <row r="48" spans="2:10" s="710" customFormat="1" ht="14.25">
      <c r="B48" s="879"/>
      <c r="C48" s="711"/>
      <c r="D48" s="711"/>
      <c r="E48" s="711"/>
      <c r="F48" s="711"/>
      <c r="G48" s="711"/>
      <c r="H48" s="711"/>
      <c r="I48" s="711"/>
      <c r="J48" s="711"/>
    </row>
    <row r="49" spans="2:10" s="710" customFormat="1" ht="14.25">
      <c r="B49" s="879" t="s">
        <v>1607</v>
      </c>
      <c r="C49" s="1112" t="s">
        <v>1617</v>
      </c>
      <c r="D49" s="1112"/>
      <c r="E49" s="1112"/>
      <c r="F49" s="1112"/>
      <c r="G49" s="1112"/>
      <c r="H49" s="1112"/>
      <c r="I49" s="1112"/>
      <c r="J49" s="1112"/>
    </row>
    <row r="50" spans="2:10" s="710" customFormat="1" ht="14.25" customHeight="1">
      <c r="B50" s="879"/>
      <c r="C50" s="711" t="s">
        <v>1618</v>
      </c>
      <c r="D50" s="1111" t="s">
        <v>1621</v>
      </c>
      <c r="E50" s="1111"/>
      <c r="F50" s="1111"/>
      <c r="G50" s="1111"/>
      <c r="H50" s="1111"/>
      <c r="I50" s="1111"/>
      <c r="J50" s="1111"/>
    </row>
    <row r="51" spans="2:10" s="710" customFormat="1" ht="14.25" customHeight="1">
      <c r="B51" s="879"/>
      <c r="C51" s="711" t="s">
        <v>1619</v>
      </c>
      <c r="D51" s="1111" t="s">
        <v>1620</v>
      </c>
      <c r="E51" s="1111"/>
      <c r="F51" s="1111"/>
      <c r="G51" s="1111"/>
      <c r="H51" s="1111"/>
      <c r="I51" s="1111"/>
      <c r="J51" s="1111"/>
    </row>
    <row r="52" spans="2:10" s="710" customFormat="1" ht="14.25" customHeight="1">
      <c r="B52" s="879"/>
      <c r="C52" s="711" t="s">
        <v>1623</v>
      </c>
      <c r="D52" s="1111" t="s">
        <v>1622</v>
      </c>
      <c r="E52" s="1111"/>
      <c r="F52" s="1111"/>
      <c r="G52" s="1111"/>
      <c r="H52" s="1111"/>
      <c r="I52" s="1111"/>
      <c r="J52" s="1111"/>
    </row>
    <row r="53" spans="2:10" s="710" customFormat="1" ht="14.25">
      <c r="B53" s="879"/>
      <c r="C53" s="711"/>
      <c r="D53" s="711"/>
      <c r="E53" s="711"/>
      <c r="F53" s="711"/>
      <c r="G53" s="711"/>
      <c r="H53" s="711"/>
      <c r="I53" s="711"/>
      <c r="J53" s="711"/>
    </row>
    <row r="54" spans="2:10" s="710" customFormat="1" ht="14.25">
      <c r="B54" s="879" t="s">
        <v>1613</v>
      </c>
      <c r="C54" s="1112" t="s">
        <v>1624</v>
      </c>
      <c r="D54" s="1112"/>
      <c r="E54" s="1112"/>
      <c r="F54" s="1112"/>
      <c r="G54" s="1112"/>
      <c r="H54" s="1112"/>
      <c r="I54" s="1112"/>
      <c r="J54" s="1112"/>
    </row>
    <row r="55" spans="2:10" s="710" customFormat="1" ht="14.25">
      <c r="B55" s="879"/>
      <c r="C55" s="1111" t="s">
        <v>1625</v>
      </c>
      <c r="D55" s="1111"/>
      <c r="E55" s="1111"/>
      <c r="F55" s="1111"/>
      <c r="G55" s="1111"/>
      <c r="H55" s="1111"/>
      <c r="I55" s="1111"/>
      <c r="J55" s="1111"/>
    </row>
    <row r="56" spans="2:10" s="710" customFormat="1" ht="14.25">
      <c r="B56" s="879"/>
      <c r="C56" s="711"/>
      <c r="D56" s="711"/>
      <c r="E56" s="711"/>
      <c r="F56" s="711"/>
      <c r="G56" s="711"/>
      <c r="H56" s="711"/>
      <c r="I56" s="711"/>
      <c r="J56" s="711"/>
    </row>
    <row r="57" spans="2:10" s="710" customFormat="1" ht="14.25">
      <c r="B57" s="879" t="s">
        <v>1614</v>
      </c>
      <c r="C57" s="1112" t="s">
        <v>1626</v>
      </c>
      <c r="D57" s="1112"/>
      <c r="E57" s="1112"/>
      <c r="F57" s="1112"/>
      <c r="G57" s="1112"/>
      <c r="H57" s="1112"/>
      <c r="I57" s="1112"/>
      <c r="J57" s="1112"/>
    </row>
    <row r="58" spans="2:10" s="710" customFormat="1" ht="99.75" customHeight="1">
      <c r="B58" s="879"/>
      <c r="C58" s="1111" t="s">
        <v>1627</v>
      </c>
      <c r="D58" s="1111"/>
      <c r="E58" s="1111"/>
      <c r="F58" s="1111"/>
      <c r="G58" s="1111"/>
      <c r="H58" s="1111"/>
      <c r="I58" s="1111"/>
      <c r="J58" s="1111"/>
    </row>
    <row r="59" spans="2:10" s="710" customFormat="1" ht="14.25">
      <c r="B59" s="879"/>
      <c r="C59" s="711"/>
      <c r="D59" s="711"/>
      <c r="E59" s="711"/>
      <c r="F59" s="711"/>
      <c r="G59" s="711"/>
      <c r="H59" s="711"/>
      <c r="I59" s="711"/>
      <c r="J59" s="711"/>
    </row>
    <row r="60" spans="2:10" s="710" customFormat="1" ht="14.25">
      <c r="B60" s="879" t="s">
        <v>1628</v>
      </c>
      <c r="C60" s="1112" t="s">
        <v>1629</v>
      </c>
      <c r="D60" s="1112"/>
      <c r="E60" s="1112"/>
      <c r="F60" s="1112"/>
      <c r="G60" s="1112"/>
      <c r="H60" s="1112"/>
      <c r="I60" s="1112"/>
      <c r="J60" s="1112"/>
    </row>
    <row r="61" spans="2:10" s="710" customFormat="1" ht="61.5" customHeight="1">
      <c r="B61" s="879"/>
      <c r="C61" s="1111" t="s">
        <v>1630</v>
      </c>
      <c r="D61" s="1111"/>
      <c r="E61" s="1111"/>
      <c r="F61" s="1111"/>
      <c r="G61" s="1111"/>
      <c r="H61" s="1111"/>
      <c r="I61" s="1111"/>
      <c r="J61" s="1111"/>
    </row>
    <row r="62" spans="2:10" s="710" customFormat="1" ht="28.5" customHeight="1">
      <c r="B62" s="879"/>
      <c r="C62" s="711" t="s">
        <v>1618</v>
      </c>
      <c r="D62" s="1111" t="s">
        <v>1631</v>
      </c>
      <c r="E62" s="1111"/>
      <c r="F62" s="1111"/>
      <c r="G62" s="1111"/>
      <c r="H62" s="1111"/>
      <c r="I62" s="1111"/>
      <c r="J62" s="1111"/>
    </row>
    <row r="63" spans="2:10" s="710" customFormat="1" ht="45.75" customHeight="1">
      <c r="B63" s="879"/>
      <c r="C63" s="711" t="s">
        <v>1619</v>
      </c>
      <c r="D63" s="1111" t="s">
        <v>1632</v>
      </c>
      <c r="E63" s="1111"/>
      <c r="F63" s="1111"/>
      <c r="G63" s="1111"/>
      <c r="H63" s="1111"/>
      <c r="I63" s="1111"/>
      <c r="J63" s="1111"/>
    </row>
    <row r="64" spans="2:10" s="710" customFormat="1" ht="34.5" customHeight="1">
      <c r="B64" s="879"/>
      <c r="C64" s="1111" t="s">
        <v>1633</v>
      </c>
      <c r="D64" s="1111"/>
      <c r="E64" s="1111"/>
      <c r="F64" s="1111"/>
      <c r="G64" s="1111"/>
      <c r="H64" s="1111"/>
      <c r="I64" s="1111"/>
      <c r="J64" s="1111"/>
    </row>
    <row r="65" spans="2:10" s="710" customFormat="1" ht="14.25">
      <c r="B65" s="879"/>
      <c r="C65" s="711"/>
      <c r="D65" s="711"/>
      <c r="E65" s="711"/>
      <c r="F65" s="711"/>
      <c r="G65" s="711"/>
      <c r="H65" s="711"/>
      <c r="I65" s="711"/>
      <c r="J65" s="711"/>
    </row>
    <row r="66" spans="2:10" s="710" customFormat="1" ht="14.25">
      <c r="B66" s="879"/>
      <c r="C66" s="1121" t="s">
        <v>1634</v>
      </c>
      <c r="D66" s="1121"/>
      <c r="E66" s="1121"/>
      <c r="F66" s="1121"/>
      <c r="G66" s="1121"/>
      <c r="H66" s="1121"/>
      <c r="I66" s="1121"/>
      <c r="J66" s="1121"/>
    </row>
    <row r="67" spans="2:10" s="710" customFormat="1" ht="33.75" customHeight="1">
      <c r="B67" s="879"/>
      <c r="C67" s="1111" t="s">
        <v>1635</v>
      </c>
      <c r="D67" s="1111"/>
      <c r="E67" s="1111"/>
      <c r="F67" s="1111"/>
      <c r="G67" s="1111"/>
      <c r="H67" s="1111"/>
      <c r="I67" s="1111"/>
      <c r="J67" s="1111"/>
    </row>
    <row r="68" spans="2:10" s="710" customFormat="1" ht="14.25">
      <c r="C68" s="711"/>
      <c r="D68" s="711"/>
      <c r="E68" s="711"/>
      <c r="F68" s="711"/>
      <c r="G68" s="711"/>
      <c r="H68" s="711"/>
      <c r="I68" s="711"/>
      <c r="J68" s="711"/>
    </row>
    <row r="69" spans="2:10" s="710" customFormat="1" ht="14.25">
      <c r="B69" s="873">
        <f ca="1">MAX(PL!$E:$E)+1</f>
        <v>22</v>
      </c>
      <c r="C69" s="1111" t="s">
        <v>1636</v>
      </c>
      <c r="D69" s="1111"/>
      <c r="E69" s="1111"/>
      <c r="F69" s="1111"/>
      <c r="G69" s="1111"/>
      <c r="H69" s="1111"/>
      <c r="I69" s="1111"/>
      <c r="J69" s="1111"/>
    </row>
    <row r="70" spans="2:10" s="710" customFormat="1" ht="14.25">
      <c r="B70" s="873"/>
      <c r="C70" s="711"/>
      <c r="D70" s="711"/>
      <c r="E70" s="711"/>
      <c r="F70" s="711"/>
      <c r="G70" s="711"/>
      <c r="H70" s="711"/>
      <c r="I70" s="711"/>
      <c r="J70" s="711"/>
    </row>
    <row r="71" spans="2:10" s="710" customFormat="1" ht="14.25">
      <c r="B71" s="873">
        <f ca="1">B69+1</f>
        <v>23</v>
      </c>
      <c r="C71" s="1111" t="s">
        <v>1637</v>
      </c>
      <c r="D71" s="1111"/>
      <c r="E71" s="1111"/>
      <c r="F71" s="1111"/>
      <c r="G71" s="1111"/>
      <c r="H71" s="1111"/>
      <c r="I71" s="1111"/>
      <c r="J71" s="1111"/>
    </row>
    <row r="72" spans="2:10" s="710" customFormat="1" ht="6" customHeight="1">
      <c r="B72" s="873"/>
      <c r="C72" s="711"/>
      <c r="D72" s="711"/>
      <c r="E72" s="711"/>
      <c r="F72" s="711"/>
      <c r="G72" s="711"/>
      <c r="H72" s="711"/>
      <c r="I72" s="711"/>
      <c r="J72" s="711"/>
    </row>
    <row r="73" spans="2:10" s="710" customFormat="1" ht="14.25">
      <c r="B73" s="873"/>
      <c r="C73" s="881" t="s">
        <v>1355</v>
      </c>
      <c r="D73" s="882" t="s">
        <v>1264</v>
      </c>
      <c r="E73" s="1117" t="s">
        <v>1638</v>
      </c>
      <c r="F73" s="1117"/>
      <c r="G73" s="1117"/>
      <c r="H73" s="711"/>
      <c r="I73" s="711"/>
      <c r="J73" s="711"/>
    </row>
    <row r="74" spans="2:10" s="710" customFormat="1" ht="14.25">
      <c r="B74" s="873"/>
      <c r="C74" s="883">
        <v>1</v>
      </c>
      <c r="D74" s="884" t="str">
        <f>Master!B19</f>
        <v>Director 1</v>
      </c>
      <c r="E74" s="1118"/>
      <c r="F74" s="1118"/>
      <c r="G74" s="1118"/>
      <c r="H74" s="711"/>
      <c r="I74" s="711"/>
      <c r="J74" s="711"/>
    </row>
    <row r="75" spans="2:10" s="710" customFormat="1" ht="14.25">
      <c r="B75" s="873"/>
      <c r="C75" s="883">
        <v>2</v>
      </c>
      <c r="D75" s="884" t="str">
        <f>Master!B20</f>
        <v>Director 2</v>
      </c>
      <c r="E75" s="1119"/>
      <c r="F75" s="1119"/>
      <c r="G75" s="1119"/>
      <c r="H75" s="711"/>
      <c r="I75" s="711"/>
      <c r="J75" s="711"/>
    </row>
    <row r="76" spans="2:10" s="710" customFormat="1" ht="14.25">
      <c r="B76" s="873"/>
      <c r="C76" s="883">
        <f>IF(Master!B18&gt;2,Notes!C75+1,"")</f>
        <v>3</v>
      </c>
      <c r="D76" s="880" t="str">
        <f>IF(C76="","",Master!B21)</f>
        <v>Director 3</v>
      </c>
      <c r="E76" s="1120"/>
      <c r="F76" s="1120"/>
      <c r="G76" s="1120"/>
      <c r="H76" s="711"/>
      <c r="I76" s="711"/>
      <c r="J76" s="711"/>
    </row>
    <row r="77" spans="2:10" s="710" customFormat="1" ht="29.25" customHeight="1">
      <c r="B77" s="873">
        <f ca="1">B71+1</f>
        <v>24</v>
      </c>
      <c r="C77" s="1111" t="s">
        <v>1640</v>
      </c>
      <c r="D77" s="1111"/>
      <c r="E77" s="1111"/>
      <c r="F77" s="1111"/>
      <c r="G77" s="1111"/>
      <c r="H77" s="1111"/>
      <c r="I77" s="1111"/>
      <c r="J77" s="1111"/>
    </row>
    <row r="78" spans="2:10" s="710" customFormat="1" ht="14.25">
      <c r="B78" s="873"/>
      <c r="C78" s="883"/>
      <c r="D78" s="880"/>
      <c r="E78" s="880"/>
      <c r="F78" s="880"/>
      <c r="G78" s="880"/>
      <c r="H78" s="711"/>
      <c r="I78" s="711"/>
      <c r="J78" s="711"/>
    </row>
    <row r="79" spans="2:10" s="710" customFormat="1" ht="14.25">
      <c r="B79" s="873">
        <f ca="1">B77+1</f>
        <v>25</v>
      </c>
      <c r="C79" s="712" t="s">
        <v>1641</v>
      </c>
      <c r="J79" s="863"/>
    </row>
    <row r="80" spans="2:10" s="713" customFormat="1" ht="14.25" customHeight="1">
      <c r="B80" s="874"/>
      <c r="C80" s="1124" t="s">
        <v>63</v>
      </c>
      <c r="D80" s="1125"/>
      <c r="E80" s="1125"/>
      <c r="F80" s="1124" t="str">
        <f>BS!$F$5</f>
        <v>March 2023</v>
      </c>
      <c r="G80" s="1128"/>
      <c r="H80" s="1124" t="str">
        <f>BS!$G$5</f>
        <v>March 2022</v>
      </c>
      <c r="I80" s="1128"/>
      <c r="J80" s="863"/>
    </row>
    <row r="81" spans="2:10" s="713" customFormat="1" ht="14.25" customHeight="1">
      <c r="B81" s="874"/>
      <c r="C81" s="1126" t="s">
        <v>1642</v>
      </c>
      <c r="D81" s="1127"/>
      <c r="E81" s="1127"/>
      <c r="F81" s="1129">
        <v>0</v>
      </c>
      <c r="G81" s="1130"/>
      <c r="H81" s="1129">
        <v>0</v>
      </c>
      <c r="I81" s="1130"/>
      <c r="J81" s="863"/>
    </row>
    <row r="82" spans="2:10" s="713" customFormat="1" ht="14.25" customHeight="1">
      <c r="B82" s="874"/>
      <c r="C82" s="1122" t="s">
        <v>1643</v>
      </c>
      <c r="D82" s="1123"/>
      <c r="E82" s="1123"/>
      <c r="F82" s="1131">
        <v>0</v>
      </c>
      <c r="G82" s="1132"/>
      <c r="H82" s="1131">
        <v>0</v>
      </c>
      <c r="I82" s="1132"/>
      <c r="J82" s="863"/>
    </row>
    <row r="83" spans="2:10" s="713" customFormat="1" ht="14.25" customHeight="1">
      <c r="B83" s="874"/>
      <c r="C83" s="1122" t="s">
        <v>1644</v>
      </c>
      <c r="D83" s="1123"/>
      <c r="E83" s="1123"/>
      <c r="F83" s="1133"/>
      <c r="G83" s="1134"/>
      <c r="H83" s="1133"/>
      <c r="I83" s="1134"/>
      <c r="J83" s="863"/>
    </row>
    <row r="84" spans="2:10" s="713" customFormat="1" ht="14.25" customHeight="1">
      <c r="B84" s="874"/>
      <c r="C84" s="1122" t="s">
        <v>1645</v>
      </c>
      <c r="D84" s="1123"/>
      <c r="E84" s="1123"/>
      <c r="F84" s="1122"/>
      <c r="G84" s="1134"/>
      <c r="H84" s="1122"/>
      <c r="I84" s="1134"/>
      <c r="J84" s="863"/>
    </row>
    <row r="85" spans="2:10" s="713" customFormat="1" ht="15" customHeight="1" thickBot="1">
      <c r="B85" s="874"/>
      <c r="C85" s="1138"/>
      <c r="D85" s="1139"/>
      <c r="E85" s="1139"/>
      <c r="F85" s="1135">
        <f>SUM(G81:H82)</f>
        <v>0</v>
      </c>
      <c r="G85" s="1136"/>
      <c r="H85" s="1135">
        <f>SUM(H81:I84)</f>
        <v>0</v>
      </c>
      <c r="I85" s="1136"/>
      <c r="J85" s="863"/>
    </row>
    <row r="86" spans="2:10" s="713" customFormat="1" ht="15" customHeight="1" thickTop="1">
      <c r="B86" s="874"/>
      <c r="C86" s="889"/>
      <c r="D86" s="889"/>
      <c r="E86" s="889"/>
      <c r="F86" s="888"/>
      <c r="G86" s="888"/>
      <c r="H86" s="888"/>
      <c r="I86" s="888"/>
      <c r="J86" s="863"/>
    </row>
    <row r="87" spans="2:10" s="713" customFormat="1" ht="15" customHeight="1">
      <c r="B87" s="874"/>
      <c r="C87" s="889"/>
      <c r="D87" s="889"/>
      <c r="E87" s="889"/>
      <c r="F87" s="888"/>
      <c r="G87" s="888"/>
      <c r="H87" s="888"/>
      <c r="I87" s="888"/>
      <c r="J87" s="863"/>
    </row>
    <row r="88" spans="2:10" s="713" customFormat="1" ht="15" customHeight="1">
      <c r="B88" s="874">
        <f ca="1">+B79+1</f>
        <v>26</v>
      </c>
      <c r="C88" s="1111" t="s">
        <v>1646</v>
      </c>
      <c r="D88" s="1111"/>
      <c r="E88" s="1111"/>
      <c r="F88" s="1111"/>
      <c r="G88" s="1111"/>
      <c r="H88" s="1111"/>
      <c r="I88" s="1111"/>
      <c r="J88" s="1111"/>
    </row>
    <row r="89" spans="2:10" s="713" customFormat="1" ht="15" customHeight="1">
      <c r="B89" s="874"/>
      <c r="C89" s="889"/>
      <c r="D89" s="889"/>
      <c r="E89" s="889"/>
      <c r="F89" s="888"/>
      <c r="G89" s="888"/>
      <c r="H89" s="888"/>
      <c r="I89" s="888"/>
      <c r="J89" s="863"/>
    </row>
    <row r="90" spans="2:10" s="713" customFormat="1" ht="29.25" customHeight="1">
      <c r="B90" s="874">
        <f ca="1">B88+1</f>
        <v>27</v>
      </c>
      <c r="C90" s="1137" t="str">
        <f>"No provision for retirement benefits has been made, in view of accounting policy No. "&amp;B54&amp;" The impact of the same on Profit &amp; Loss is not determined."</f>
        <v>No provision for retirement benefits has been made, in view of accounting policy No. k) The impact of the same on Profit &amp; Loss is not determined.</v>
      </c>
      <c r="D90" s="1137"/>
      <c r="E90" s="1137"/>
      <c r="F90" s="1137"/>
      <c r="G90" s="1137"/>
      <c r="H90" s="1137"/>
      <c r="I90" s="1137"/>
      <c r="J90" s="1137"/>
    </row>
    <row r="91" spans="2:10" s="713" customFormat="1" ht="15" customHeight="1">
      <c r="B91" s="874"/>
      <c r="C91" s="889"/>
      <c r="D91" s="889"/>
      <c r="E91" s="889"/>
      <c r="F91" s="888"/>
      <c r="G91" s="888"/>
      <c r="H91" s="888"/>
      <c r="I91" s="888"/>
      <c r="J91" s="863"/>
    </row>
    <row r="92" spans="2:10" s="713" customFormat="1" ht="15" customHeight="1">
      <c r="B92" s="874">
        <f ca="1">B90+1</f>
        <v>28</v>
      </c>
      <c r="C92" s="1137" t="s">
        <v>1647</v>
      </c>
      <c r="D92" s="1137"/>
      <c r="E92" s="1137"/>
      <c r="F92" s="1137"/>
      <c r="G92" s="1137"/>
      <c r="H92" s="1137"/>
      <c r="I92" s="1137"/>
      <c r="J92" s="1137"/>
    </row>
    <row r="93" spans="2:10" s="713" customFormat="1" ht="15" customHeight="1">
      <c r="B93" s="874"/>
      <c r="C93" s="889"/>
      <c r="D93" s="889"/>
      <c r="E93" s="889"/>
      <c r="F93" s="888"/>
      <c r="G93" s="888"/>
      <c r="H93" s="888"/>
      <c r="I93" s="888"/>
      <c r="J93" s="863"/>
    </row>
    <row r="94" spans="2:10" s="713" customFormat="1" ht="15" customHeight="1">
      <c r="B94" s="874"/>
      <c r="C94" s="1146" t="s">
        <v>1648</v>
      </c>
      <c r="D94" s="1147"/>
      <c r="E94" s="1148"/>
      <c r="F94" s="1124" t="str">
        <f>BS!$F$5</f>
        <v>March 2023</v>
      </c>
      <c r="G94" s="1128"/>
      <c r="H94" s="1124" t="str">
        <f>BS!$G$5</f>
        <v>March 2022</v>
      </c>
      <c r="I94" s="1128"/>
      <c r="J94" s="863"/>
    </row>
    <row r="95" spans="2:10" s="713" customFormat="1" ht="15" customHeight="1">
      <c r="B95" s="874"/>
      <c r="C95" s="1149"/>
      <c r="D95" s="1137"/>
      <c r="E95" s="1150"/>
      <c r="F95" s="1144">
        <v>0</v>
      </c>
      <c r="G95" s="1145"/>
      <c r="H95" s="1144">
        <v>0</v>
      </c>
      <c r="I95" s="1145"/>
      <c r="J95" s="863"/>
    </row>
    <row r="96" spans="2:10" s="713" customFormat="1" ht="15" customHeight="1">
      <c r="B96" s="874"/>
      <c r="C96" s="890"/>
      <c r="D96" s="892" t="s">
        <v>1649</v>
      </c>
      <c r="E96" s="891"/>
      <c r="F96" s="1140"/>
      <c r="G96" s="1141"/>
      <c r="H96" s="1140"/>
      <c r="I96" s="1141"/>
      <c r="J96" s="863"/>
    </row>
    <row r="97" spans="1:21" s="713" customFormat="1" ht="15" customHeight="1" thickBot="1">
      <c r="B97" s="874"/>
      <c r="C97" s="864"/>
      <c r="D97" s="865"/>
      <c r="E97" s="866"/>
      <c r="F97" s="1142">
        <f>SUM(G95:H95)</f>
        <v>0</v>
      </c>
      <c r="G97" s="1143"/>
      <c r="H97" s="1142">
        <f>SUM(H95:I96)</f>
        <v>0</v>
      </c>
      <c r="I97" s="1143"/>
      <c r="J97" s="863"/>
    </row>
    <row r="98" spans="1:21" s="713" customFormat="1" ht="15" customHeight="1" thickTop="1">
      <c r="B98" s="874"/>
      <c r="C98" s="889"/>
      <c r="D98" s="889"/>
      <c r="E98" s="889"/>
      <c r="F98" s="888"/>
      <c r="G98" s="888"/>
      <c r="H98" s="888"/>
      <c r="I98" s="888"/>
      <c r="J98" s="863"/>
    </row>
    <row r="99" spans="1:21" s="713" customFormat="1" ht="15" customHeight="1">
      <c r="B99" s="874">
        <f ca="1">B92+1</f>
        <v>29</v>
      </c>
      <c r="C99" s="1137" t="s">
        <v>1650</v>
      </c>
      <c r="D99" s="1137"/>
      <c r="E99" s="1137"/>
      <c r="F99" s="1137"/>
      <c r="G99" s="1137"/>
      <c r="H99" s="1137"/>
      <c r="I99" s="1137"/>
      <c r="J99" s="1137"/>
    </row>
    <row r="100" spans="1:21" s="713" customFormat="1" ht="15" customHeight="1">
      <c r="B100" s="873"/>
      <c r="C100" s="710" t="s">
        <v>1008</v>
      </c>
      <c r="D100" s="710"/>
      <c r="E100" s="710"/>
      <c r="F100" s="710"/>
      <c r="G100" s="710"/>
      <c r="H100" s="710"/>
      <c r="I100" s="710"/>
      <c r="J100" s="710"/>
    </row>
    <row r="101" spans="1:21" s="713" customFormat="1" ht="15" customHeight="1">
      <c r="B101" s="873"/>
      <c r="C101" s="710"/>
      <c r="D101" s="710"/>
      <c r="E101" s="710"/>
      <c r="F101" s="710"/>
      <c r="G101" s="710"/>
      <c r="H101" s="710"/>
      <c r="I101" s="710"/>
      <c r="J101" s="710"/>
    </row>
    <row r="102" spans="1:21" s="713" customFormat="1" ht="15" customHeight="1">
      <c r="B102" s="875" t="s">
        <v>166</v>
      </c>
      <c r="C102" s="1112" t="s">
        <v>1010</v>
      </c>
      <c r="D102" s="1112"/>
      <c r="E102" s="1112"/>
      <c r="F102" s="1112"/>
      <c r="G102" s="1112"/>
      <c r="H102" s="1112"/>
      <c r="I102" s="1112"/>
      <c r="J102" s="1112"/>
    </row>
    <row r="103" spans="1:21" s="710" customFormat="1" ht="14.25">
      <c r="A103" s="713"/>
      <c r="B103" s="875"/>
      <c r="C103" s="867"/>
      <c r="D103" s="867"/>
      <c r="E103" s="867"/>
      <c r="F103" s="867"/>
      <c r="G103" s="867"/>
      <c r="H103" s="867"/>
      <c r="I103" s="867"/>
      <c r="J103" s="867"/>
      <c r="K103" s="713"/>
      <c r="L103" s="713"/>
      <c r="M103" s="714" t="s">
        <v>1007</v>
      </c>
    </row>
    <row r="104" spans="1:21" s="710" customFormat="1" ht="14.25">
      <c r="B104" s="873"/>
      <c r="C104" s="868" t="s">
        <v>1011</v>
      </c>
      <c r="M104" s="1111" t="s">
        <v>1009</v>
      </c>
      <c r="N104" s="1111"/>
      <c r="O104" s="1111"/>
      <c r="P104" s="1111"/>
      <c r="Q104" s="1111"/>
      <c r="R104" s="1111"/>
      <c r="S104" s="1111"/>
      <c r="T104" s="1111"/>
      <c r="U104" s="1111"/>
    </row>
    <row r="105" spans="1:21" s="710" customFormat="1" ht="14.25">
      <c r="B105" s="873"/>
      <c r="C105" s="869" t="s">
        <v>1012</v>
      </c>
      <c r="D105" s="893" t="str">
        <f>Master!B19</f>
        <v>Director 1</v>
      </c>
      <c r="E105" s="870" t="s">
        <v>1013</v>
      </c>
      <c r="I105" s="894"/>
      <c r="M105" s="1111"/>
      <c r="N105" s="1111"/>
      <c r="O105" s="1111"/>
      <c r="P105" s="1111"/>
      <c r="Q105" s="1111"/>
      <c r="R105" s="1111"/>
      <c r="S105" s="1111"/>
      <c r="T105" s="1111"/>
      <c r="U105" s="1111"/>
    </row>
    <row r="106" spans="1:21" s="710" customFormat="1" ht="14.25">
      <c r="B106" s="873"/>
      <c r="C106" s="869" t="s">
        <v>1014</v>
      </c>
      <c r="D106" s="893" t="str">
        <f>Master!B20</f>
        <v>Director 2</v>
      </c>
      <c r="E106" s="870" t="s">
        <v>1013</v>
      </c>
      <c r="I106" s="894"/>
      <c r="M106" s="1111"/>
      <c r="N106" s="1111"/>
      <c r="O106" s="1111"/>
      <c r="P106" s="1111"/>
      <c r="Q106" s="1111"/>
      <c r="R106" s="1111"/>
      <c r="S106" s="1111"/>
      <c r="T106" s="1111"/>
      <c r="U106" s="1111"/>
    </row>
    <row r="107" spans="1:21" s="710" customFormat="1" ht="14.25">
      <c r="B107" s="873"/>
      <c r="C107" s="869" t="s">
        <v>1562</v>
      </c>
      <c r="D107" s="868" t="str">
        <f>'Sch - liab (2)'!A16</f>
        <v>ABC</v>
      </c>
      <c r="E107" s="870" t="s">
        <v>1667</v>
      </c>
      <c r="G107" s="711"/>
      <c r="H107" s="711"/>
      <c r="I107" s="895"/>
      <c r="J107" s="711"/>
      <c r="M107" s="1111"/>
      <c r="N107" s="1111"/>
      <c r="O107" s="1111"/>
      <c r="P107" s="1111"/>
      <c r="Q107" s="1111"/>
      <c r="R107" s="1111"/>
      <c r="S107" s="1111"/>
      <c r="T107" s="1111"/>
      <c r="U107" s="1111"/>
    </row>
    <row r="108" spans="1:21" s="710" customFormat="1" ht="14.25">
      <c r="B108" s="873"/>
      <c r="C108" s="869" t="s">
        <v>1666</v>
      </c>
      <c r="D108" s="868" t="str">
        <f>'Sch - liab (2)'!A17</f>
        <v>ABC</v>
      </c>
      <c r="E108" s="870" t="s">
        <v>1667</v>
      </c>
      <c r="G108" s="711"/>
      <c r="H108" s="711"/>
      <c r="I108" s="895"/>
      <c r="J108" s="711"/>
      <c r="M108" s="1111"/>
      <c r="N108" s="1111"/>
      <c r="O108" s="1111"/>
      <c r="P108" s="1111"/>
      <c r="Q108" s="1111"/>
      <c r="R108" s="1111"/>
      <c r="S108" s="1111"/>
      <c r="T108" s="1111"/>
      <c r="U108" s="1111"/>
    </row>
    <row r="109" spans="1:21" s="710" customFormat="1" ht="14.25">
      <c r="B109" s="873"/>
      <c r="C109" s="869"/>
      <c r="G109" s="711"/>
      <c r="H109" s="711"/>
      <c r="I109" s="895"/>
      <c r="J109" s="711"/>
      <c r="M109" s="1111"/>
      <c r="N109" s="1111"/>
      <c r="O109" s="1111"/>
      <c r="P109" s="1111"/>
      <c r="Q109" s="1111"/>
      <c r="R109" s="1111"/>
      <c r="S109" s="1111"/>
      <c r="T109" s="1111"/>
      <c r="U109" s="1111"/>
    </row>
    <row r="110" spans="1:21" s="710" customFormat="1" ht="14.25">
      <c r="B110" s="873"/>
      <c r="C110" s="710" t="s">
        <v>1652</v>
      </c>
      <c r="G110" s="711"/>
      <c r="H110" s="711"/>
      <c r="I110" s="895"/>
      <c r="J110" s="711"/>
      <c r="M110" s="1111"/>
      <c r="N110" s="1111"/>
      <c r="O110" s="1111"/>
      <c r="P110" s="1111"/>
      <c r="Q110" s="1111"/>
      <c r="R110" s="1111"/>
      <c r="S110" s="1111"/>
      <c r="T110" s="1111"/>
      <c r="U110" s="1111"/>
    </row>
    <row r="111" spans="1:21" s="710" customFormat="1" ht="14.25">
      <c r="B111" s="873"/>
      <c r="G111" s="711"/>
      <c r="H111" s="711"/>
      <c r="I111" s="895"/>
      <c r="J111" s="711"/>
      <c r="M111" s="1111"/>
      <c r="N111" s="1111"/>
      <c r="O111" s="1111"/>
      <c r="P111" s="1111"/>
      <c r="Q111" s="1111"/>
      <c r="R111" s="1111"/>
      <c r="S111" s="1111"/>
      <c r="T111" s="1111"/>
      <c r="U111" s="1111"/>
    </row>
    <row r="112" spans="1:21" s="710" customFormat="1" ht="14.25">
      <c r="B112" s="873"/>
      <c r="G112" s="711"/>
      <c r="H112" s="711"/>
      <c r="I112" s="895"/>
      <c r="J112" s="711"/>
      <c r="M112" s="1111"/>
      <c r="N112" s="1111"/>
      <c r="O112" s="1111"/>
      <c r="P112" s="1111"/>
      <c r="Q112" s="1111"/>
      <c r="R112" s="1111"/>
      <c r="S112" s="1111"/>
      <c r="T112" s="1111"/>
      <c r="U112" s="1111"/>
    </row>
    <row r="113" spans="1:21" s="710" customFormat="1" ht="14.25">
      <c r="B113" s="873"/>
      <c r="C113" s="710" t="s">
        <v>1651</v>
      </c>
      <c r="G113" s="711"/>
      <c r="H113" s="711"/>
      <c r="I113" s="895"/>
      <c r="J113" s="711"/>
      <c r="M113" s="1111"/>
      <c r="N113" s="1111"/>
      <c r="O113" s="1111"/>
      <c r="P113" s="1111"/>
      <c r="Q113" s="1111"/>
      <c r="R113" s="1111"/>
      <c r="S113" s="1111"/>
      <c r="T113" s="1111"/>
      <c r="U113" s="1111"/>
    </row>
    <row r="114" spans="1:21" s="717" customFormat="1" ht="16.5" customHeight="1">
      <c r="A114" s="710"/>
      <c r="B114" s="873"/>
      <c r="C114" s="710"/>
      <c r="D114" s="710"/>
      <c r="E114" s="710"/>
      <c r="F114" s="710"/>
      <c r="G114" s="711"/>
      <c r="H114" s="711"/>
      <c r="I114" s="895"/>
      <c r="J114" s="711"/>
      <c r="K114" s="710"/>
      <c r="L114" s="710"/>
      <c r="M114" s="1111"/>
      <c r="N114" s="1111"/>
      <c r="O114" s="1111"/>
      <c r="P114" s="1111"/>
      <c r="Q114" s="1111"/>
      <c r="R114" s="1111"/>
      <c r="S114" s="1111"/>
      <c r="T114" s="1111"/>
      <c r="U114" s="1111"/>
    </row>
    <row r="115" spans="1:21" s="713" customFormat="1" ht="14.25">
      <c r="A115" s="710"/>
      <c r="B115" s="873"/>
      <c r="C115" s="710"/>
      <c r="D115" s="710"/>
      <c r="E115" s="710"/>
      <c r="F115" s="710"/>
      <c r="G115" s="711"/>
      <c r="H115" s="711"/>
      <c r="I115" s="711"/>
      <c r="J115" s="711"/>
      <c r="K115" s="710"/>
      <c r="L115" s="717"/>
      <c r="M115" s="1111"/>
      <c r="N115" s="1111"/>
      <c r="O115" s="1111"/>
      <c r="P115" s="1111"/>
      <c r="Q115" s="1111"/>
      <c r="R115" s="1111"/>
      <c r="S115" s="1111"/>
      <c r="T115" s="1111"/>
      <c r="U115" s="1111"/>
    </row>
    <row r="116" spans="1:21" s="710" customFormat="1" ht="14.25">
      <c r="A116" s="717"/>
      <c r="B116" s="873"/>
      <c r="G116" s="711"/>
      <c r="H116" s="711"/>
      <c r="I116" s="711"/>
      <c r="J116" s="711"/>
      <c r="K116" s="717"/>
      <c r="L116" s="713"/>
      <c r="M116" s="1111"/>
      <c r="N116" s="1111"/>
      <c r="O116" s="1111"/>
      <c r="P116" s="1111"/>
      <c r="Q116" s="1111"/>
      <c r="R116" s="1111"/>
      <c r="S116" s="1111"/>
      <c r="T116" s="1111"/>
      <c r="U116" s="1111"/>
    </row>
    <row r="117" spans="1:21" s="710" customFormat="1" ht="14.25">
      <c r="A117" s="713"/>
      <c r="B117" s="875" t="s">
        <v>171</v>
      </c>
      <c r="C117" s="712" t="s">
        <v>1653</v>
      </c>
      <c r="J117" s="871"/>
      <c r="K117" s="713"/>
      <c r="M117" s="1111"/>
      <c r="N117" s="1111"/>
      <c r="O117" s="1111"/>
      <c r="P117" s="1111"/>
      <c r="Q117" s="1111"/>
      <c r="R117" s="1111"/>
      <c r="S117" s="1111"/>
      <c r="T117" s="1111"/>
      <c r="U117" s="1111"/>
    </row>
    <row r="118" spans="1:21" s="710" customFormat="1" ht="14.25">
      <c r="B118" s="876"/>
      <c r="C118" s="897"/>
      <c r="D118" s="897"/>
      <c r="E118" s="887"/>
      <c r="F118" s="887"/>
      <c r="G118" s="887"/>
      <c r="H118" s="1151" t="str">
        <f>Master!B17</f>
        <v>In Rs. Thousands</v>
      </c>
      <c r="I118" s="1151"/>
      <c r="J118" s="716"/>
      <c r="M118" s="1111"/>
      <c r="N118" s="1111"/>
      <c r="O118" s="1111"/>
      <c r="P118" s="1111"/>
      <c r="Q118" s="1111"/>
      <c r="R118" s="1111"/>
      <c r="S118" s="1111"/>
      <c r="T118" s="1111"/>
      <c r="U118" s="1111"/>
    </row>
    <row r="119" spans="1:21" s="710" customFormat="1" ht="14.25">
      <c r="B119" s="877"/>
      <c r="C119" s="1154"/>
      <c r="D119" s="1154"/>
      <c r="E119" s="1154" t="s">
        <v>1665</v>
      </c>
      <c r="F119" s="1154"/>
      <c r="G119" s="1154"/>
      <c r="H119" s="1154"/>
      <c r="I119" s="1154"/>
      <c r="J119" s="1154"/>
      <c r="M119" s="1111"/>
      <c r="N119" s="1111"/>
      <c r="O119" s="1111"/>
      <c r="P119" s="1111"/>
      <c r="Q119" s="1111"/>
      <c r="R119" s="1111"/>
      <c r="S119" s="1111"/>
      <c r="T119" s="1111"/>
      <c r="U119" s="1111"/>
    </row>
    <row r="120" spans="1:21" s="710" customFormat="1" ht="14.25">
      <c r="B120" s="875"/>
      <c r="C120" s="1158"/>
      <c r="D120" s="1158"/>
      <c r="E120" s="1154" t="str">
        <f>BS!$F$5</f>
        <v>March 2023</v>
      </c>
      <c r="F120" s="1154"/>
      <c r="G120" s="1154"/>
      <c r="H120" s="1154" t="str">
        <f>BS!$G$5</f>
        <v>March 2022</v>
      </c>
      <c r="I120" s="1154"/>
      <c r="J120" s="1154"/>
      <c r="M120" s="1111"/>
      <c r="N120" s="1111"/>
      <c r="O120" s="1111"/>
      <c r="P120" s="1111"/>
      <c r="Q120" s="1111"/>
      <c r="R120" s="1111"/>
      <c r="S120" s="1111"/>
      <c r="T120" s="1111"/>
      <c r="U120" s="1111"/>
    </row>
    <row r="121" spans="1:21" s="710" customFormat="1" ht="42.75" customHeight="1">
      <c r="B121" s="875"/>
      <c r="C121" s="1113" t="s">
        <v>63</v>
      </c>
      <c r="D121" s="1113"/>
      <c r="E121" s="899" t="s">
        <v>1668</v>
      </c>
      <c r="F121" s="1157" t="s">
        <v>1669</v>
      </c>
      <c r="G121" s="1157"/>
      <c r="H121" s="899" t="s">
        <v>1668</v>
      </c>
      <c r="I121" s="1157" t="s">
        <v>1669</v>
      </c>
      <c r="J121" s="1157"/>
    </row>
    <row r="122" spans="1:21" s="710" customFormat="1" ht="14.25">
      <c r="B122" s="875"/>
      <c r="C122" s="1152" t="s">
        <v>1654</v>
      </c>
      <c r="D122" s="1152"/>
      <c r="E122" s="900">
        <v>0</v>
      </c>
      <c r="F122" s="1153">
        <v>0</v>
      </c>
      <c r="G122" s="1153"/>
      <c r="H122" s="900">
        <v>0</v>
      </c>
      <c r="I122" s="1155">
        <v>0</v>
      </c>
      <c r="J122" s="1156"/>
    </row>
    <row r="123" spans="1:21" s="710" customFormat="1" ht="14.25" customHeight="1">
      <c r="B123" s="875"/>
      <c r="C123" s="1152" t="s">
        <v>1655</v>
      </c>
      <c r="D123" s="1152"/>
      <c r="E123" s="900">
        <v>0</v>
      </c>
      <c r="F123" s="1153">
        <v>0</v>
      </c>
      <c r="G123" s="1153"/>
      <c r="H123" s="900">
        <v>0</v>
      </c>
      <c r="I123" s="1155">
        <v>0</v>
      </c>
      <c r="J123" s="1156"/>
    </row>
    <row r="124" spans="1:21" s="710" customFormat="1" ht="14.25" customHeight="1">
      <c r="B124" s="875"/>
      <c r="C124" s="1152" t="s">
        <v>1656</v>
      </c>
      <c r="D124" s="1152"/>
      <c r="E124" s="900">
        <v>0</v>
      </c>
      <c r="F124" s="1153">
        <v>0</v>
      </c>
      <c r="G124" s="1153"/>
      <c r="H124" s="900">
        <v>0</v>
      </c>
      <c r="I124" s="1155">
        <v>0</v>
      </c>
      <c r="J124" s="1156"/>
    </row>
    <row r="125" spans="1:21" s="710" customFormat="1" ht="14.25" customHeight="1">
      <c r="B125" s="875"/>
      <c r="C125" s="1152" t="s">
        <v>1657</v>
      </c>
      <c r="D125" s="1152"/>
      <c r="E125" s="900">
        <v>0</v>
      </c>
      <c r="F125" s="1153">
        <v>0</v>
      </c>
      <c r="G125" s="1153"/>
      <c r="H125" s="900">
        <v>0</v>
      </c>
      <c r="I125" s="1155">
        <v>0</v>
      </c>
      <c r="J125" s="1156"/>
    </row>
    <row r="126" spans="1:21" s="710" customFormat="1" ht="14.25" customHeight="1">
      <c r="B126" s="875"/>
      <c r="C126" s="1152" t="s">
        <v>1658</v>
      </c>
      <c r="D126" s="1152"/>
      <c r="E126" s="900">
        <v>0</v>
      </c>
      <c r="F126" s="1153">
        <v>0</v>
      </c>
      <c r="G126" s="1153"/>
      <c r="H126" s="900">
        <v>0</v>
      </c>
      <c r="I126" s="1155">
        <v>0</v>
      </c>
      <c r="J126" s="1156"/>
    </row>
    <row r="127" spans="1:21" s="710" customFormat="1" ht="14.25" customHeight="1">
      <c r="B127" s="875"/>
      <c r="C127" s="1152" t="s">
        <v>1659</v>
      </c>
      <c r="D127" s="1152"/>
      <c r="E127" s="900">
        <v>0</v>
      </c>
      <c r="F127" s="1153">
        <v>0</v>
      </c>
      <c r="G127" s="1153"/>
      <c r="H127" s="900">
        <v>0</v>
      </c>
      <c r="I127" s="1155">
        <v>0</v>
      </c>
      <c r="J127" s="1156"/>
    </row>
    <row r="128" spans="1:21" s="710" customFormat="1" ht="14.25" customHeight="1">
      <c r="B128" s="875"/>
      <c r="C128" s="1152" t="s">
        <v>1660</v>
      </c>
      <c r="D128" s="1152"/>
      <c r="E128" s="900">
        <v>0</v>
      </c>
      <c r="F128" s="1153">
        <v>0</v>
      </c>
      <c r="G128" s="1153"/>
      <c r="H128" s="900">
        <v>0</v>
      </c>
      <c r="I128" s="1155">
        <v>0</v>
      </c>
      <c r="J128" s="1156"/>
    </row>
    <row r="129" spans="2:10" s="710" customFormat="1" ht="14.25" customHeight="1">
      <c r="B129" s="875"/>
      <c r="C129" s="1152" t="s">
        <v>1661</v>
      </c>
      <c r="D129" s="1152"/>
      <c r="E129" s="900">
        <v>0</v>
      </c>
      <c r="F129" s="1153">
        <v>0</v>
      </c>
      <c r="G129" s="1153"/>
      <c r="H129" s="900">
        <v>0</v>
      </c>
      <c r="I129" s="1155">
        <v>0</v>
      </c>
      <c r="J129" s="1156"/>
    </row>
    <row r="130" spans="2:10" s="710" customFormat="1" ht="14.25" customHeight="1">
      <c r="B130" s="875"/>
      <c r="C130" s="1152" t="s">
        <v>1662</v>
      </c>
      <c r="D130" s="1152"/>
      <c r="E130" s="900">
        <v>0</v>
      </c>
      <c r="F130" s="1153">
        <v>0</v>
      </c>
      <c r="G130" s="1153"/>
      <c r="H130" s="900">
        <v>0</v>
      </c>
      <c r="I130" s="1155">
        <v>0</v>
      </c>
      <c r="J130" s="1156"/>
    </row>
    <row r="131" spans="2:10" s="710" customFormat="1" ht="14.25" customHeight="1">
      <c r="B131" s="875"/>
      <c r="C131" s="1152" t="s">
        <v>1663</v>
      </c>
      <c r="D131" s="1152"/>
      <c r="E131" s="900">
        <v>0</v>
      </c>
      <c r="F131" s="1153">
        <v>0</v>
      </c>
      <c r="G131" s="1153"/>
      <c r="H131" s="900">
        <v>0</v>
      </c>
      <c r="I131" s="1155">
        <v>0</v>
      </c>
      <c r="J131" s="1156"/>
    </row>
    <row r="132" spans="2:10" s="710" customFormat="1" ht="14.25" customHeight="1">
      <c r="B132" s="875"/>
      <c r="C132" s="1152" t="s">
        <v>1664</v>
      </c>
      <c r="D132" s="1152"/>
      <c r="E132" s="900">
        <v>0</v>
      </c>
      <c r="F132" s="1153">
        <v>0</v>
      </c>
      <c r="G132" s="1153"/>
      <c r="H132" s="900">
        <v>0</v>
      </c>
      <c r="I132" s="1155">
        <v>0</v>
      </c>
      <c r="J132" s="1156"/>
    </row>
    <row r="133" spans="2:10" s="710" customFormat="1" ht="14.25" customHeight="1">
      <c r="B133" s="875"/>
      <c r="C133" s="886"/>
      <c r="D133" s="886"/>
      <c r="E133" s="896"/>
      <c r="F133" s="896"/>
      <c r="G133" s="896"/>
      <c r="H133" s="896"/>
      <c r="I133" s="715"/>
      <c r="J133" s="716"/>
    </row>
    <row r="134" spans="2:10" s="710" customFormat="1" ht="14.25" customHeight="1">
      <c r="B134" s="875"/>
      <c r="C134" s="886"/>
      <c r="D134" s="886"/>
      <c r="E134" s="896"/>
      <c r="F134" s="896"/>
      <c r="G134" s="896"/>
      <c r="H134" s="896"/>
      <c r="I134" s="715"/>
      <c r="J134" s="716"/>
    </row>
    <row r="135" spans="2:10" s="710" customFormat="1" ht="14.25" customHeight="1">
      <c r="B135" s="875" t="s">
        <v>178</v>
      </c>
      <c r="C135" s="712" t="s">
        <v>1670</v>
      </c>
      <c r="D135" s="886"/>
      <c r="E135" s="896"/>
      <c r="F135" s="896"/>
      <c r="G135" s="896"/>
      <c r="H135" s="896"/>
      <c r="I135" s="715"/>
      <c r="J135" s="716"/>
    </row>
    <row r="136" spans="2:10" s="710" customFormat="1" ht="6" customHeight="1">
      <c r="B136" s="875"/>
      <c r="C136" s="886"/>
      <c r="D136" s="886"/>
      <c r="E136" s="896"/>
      <c r="F136" s="896"/>
      <c r="G136" s="896"/>
      <c r="H136" s="896"/>
      <c r="I136" s="715"/>
      <c r="J136" s="716"/>
    </row>
    <row r="137" spans="2:10" s="710" customFormat="1" ht="14.25" customHeight="1">
      <c r="B137" s="875"/>
      <c r="C137" s="1158"/>
      <c r="D137" s="1158"/>
      <c r="E137" s="1154" t="str">
        <f>BS!$F$5</f>
        <v>March 2023</v>
      </c>
      <c r="F137" s="1154"/>
      <c r="G137" s="1154"/>
      <c r="H137" s="1154" t="str">
        <f>BS!$G$5</f>
        <v>March 2022</v>
      </c>
      <c r="I137" s="1154"/>
      <c r="J137" s="1154"/>
    </row>
    <row r="138" spans="2:10" s="710" customFormat="1" ht="42.75">
      <c r="B138" s="875"/>
      <c r="C138" s="1113" t="s">
        <v>63</v>
      </c>
      <c r="D138" s="1113"/>
      <c r="E138" s="899" t="s">
        <v>1668</v>
      </c>
      <c r="F138" s="1157" t="s">
        <v>1669</v>
      </c>
      <c r="G138" s="1157"/>
      <c r="H138" s="899" t="s">
        <v>1668</v>
      </c>
      <c r="I138" s="1157" t="s">
        <v>1669</v>
      </c>
      <c r="J138" s="1157"/>
    </row>
    <row r="139" spans="2:10" s="710" customFormat="1" ht="14.25" customHeight="1">
      <c r="B139" s="875"/>
      <c r="C139" s="1152" t="s">
        <v>1671</v>
      </c>
      <c r="D139" s="1152"/>
      <c r="E139" s="900">
        <v>0</v>
      </c>
      <c r="F139" s="1153">
        <v>0</v>
      </c>
      <c r="G139" s="1153"/>
      <c r="H139" s="900">
        <v>0</v>
      </c>
      <c r="I139" s="1155">
        <v>0</v>
      </c>
      <c r="J139" s="1156"/>
    </row>
    <row r="140" spans="2:10" s="710" customFormat="1" ht="14.25" customHeight="1">
      <c r="B140" s="875"/>
      <c r="C140" s="1152" t="s">
        <v>1672</v>
      </c>
      <c r="D140" s="1152"/>
      <c r="E140" s="900">
        <v>0</v>
      </c>
      <c r="F140" s="1153">
        <v>0</v>
      </c>
      <c r="G140" s="1153"/>
      <c r="H140" s="900">
        <v>0</v>
      </c>
      <c r="I140" s="1155">
        <v>0</v>
      </c>
      <c r="J140" s="1156"/>
    </row>
    <row r="141" spans="2:10" s="710" customFormat="1" ht="14.25">
      <c r="B141" s="873"/>
      <c r="C141" s="867"/>
      <c r="D141" s="867"/>
      <c r="E141" s="715"/>
      <c r="F141" s="715"/>
      <c r="G141" s="715"/>
      <c r="H141" s="715"/>
      <c r="I141" s="715"/>
      <c r="J141" s="716"/>
    </row>
    <row r="142" spans="2:10" s="710" customFormat="1" ht="14.25">
      <c r="B142" s="873">
        <f ca="1">B99+1</f>
        <v>30</v>
      </c>
      <c r="C142" s="1159" t="s">
        <v>1673</v>
      </c>
      <c r="D142" s="1159"/>
      <c r="E142" s="1159"/>
      <c r="F142" s="1159"/>
      <c r="G142" s="1159"/>
      <c r="H142" s="1159"/>
      <c r="I142" s="1159"/>
      <c r="J142" s="1159"/>
    </row>
    <row r="143" spans="2:10" s="710" customFormat="1" ht="6" customHeight="1">
      <c r="B143" s="873"/>
      <c r="C143" s="867"/>
      <c r="D143" s="867"/>
      <c r="E143" s="715"/>
      <c r="F143" s="715"/>
      <c r="G143" s="715"/>
      <c r="H143" s="715"/>
      <c r="I143" s="715"/>
      <c r="J143" s="716"/>
    </row>
    <row r="144" spans="2:10" s="710" customFormat="1" ht="14.25">
      <c r="B144" s="873"/>
      <c r="C144" s="1158"/>
      <c r="D144" s="1158"/>
      <c r="E144" s="1154" t="str">
        <f>BS!$F$5</f>
        <v>March 2023</v>
      </c>
      <c r="F144" s="1154"/>
      <c r="G144" s="1154"/>
      <c r="H144" s="1154" t="str">
        <f>BS!$G$5</f>
        <v>March 2022</v>
      </c>
      <c r="I144" s="1154"/>
      <c r="J144" s="1154"/>
    </row>
    <row r="145" spans="2:10" s="710" customFormat="1" ht="14.25">
      <c r="B145" s="873"/>
      <c r="C145" s="1113" t="s">
        <v>63</v>
      </c>
      <c r="D145" s="1113"/>
      <c r="E145" s="899" t="s">
        <v>0</v>
      </c>
      <c r="F145" s="1157" t="s">
        <v>473</v>
      </c>
      <c r="G145" s="1157"/>
      <c r="H145" s="899" t="s">
        <v>0</v>
      </c>
      <c r="I145" s="1157" t="s">
        <v>473</v>
      </c>
      <c r="J145" s="1157"/>
    </row>
    <row r="146" spans="2:10" s="710" customFormat="1" ht="14.25">
      <c r="B146" s="873"/>
      <c r="C146" s="1152" t="s">
        <v>1674</v>
      </c>
      <c r="D146" s="1152"/>
      <c r="E146" s="900">
        <v>0</v>
      </c>
      <c r="F146" s="1153">
        <v>0</v>
      </c>
      <c r="G146" s="1153"/>
      <c r="H146" s="900">
        <v>0</v>
      </c>
      <c r="I146" s="1155">
        <v>0</v>
      </c>
      <c r="J146" s="1156"/>
    </row>
    <row r="147" spans="2:10" s="710" customFormat="1" ht="14.25">
      <c r="B147" s="873"/>
      <c r="C147" s="1152" t="s">
        <v>1675</v>
      </c>
      <c r="D147" s="1152"/>
      <c r="E147" s="900">
        <v>0</v>
      </c>
      <c r="F147" s="1153">
        <v>0</v>
      </c>
      <c r="G147" s="1153"/>
      <c r="H147" s="900">
        <v>0</v>
      </c>
      <c r="I147" s="1155">
        <v>0</v>
      </c>
      <c r="J147" s="1156"/>
    </row>
    <row r="148" spans="2:10" s="710" customFormat="1" ht="14.25">
      <c r="B148" s="873"/>
      <c r="C148" s="867"/>
      <c r="D148" s="867"/>
      <c r="E148" s="715"/>
      <c r="F148" s="715"/>
      <c r="G148" s="715"/>
      <c r="H148" s="715"/>
      <c r="I148" s="715"/>
      <c r="J148" s="716"/>
    </row>
    <row r="149" spans="2:10" s="710" customFormat="1" ht="14.25">
      <c r="B149" s="873">
        <f ca="1">B142+1</f>
        <v>31</v>
      </c>
      <c r="C149" s="1159" t="s">
        <v>1676</v>
      </c>
      <c r="D149" s="1159"/>
      <c r="E149" s="1159"/>
      <c r="F149" s="1159"/>
      <c r="G149" s="1159"/>
      <c r="H149" s="1159"/>
      <c r="I149" s="1159"/>
      <c r="J149" s="1159"/>
    </row>
    <row r="150" spans="2:10" s="710" customFormat="1" ht="5.25" customHeight="1">
      <c r="B150" s="873"/>
      <c r="C150" s="867"/>
      <c r="D150" s="867"/>
      <c r="E150" s="715"/>
      <c r="F150" s="715"/>
      <c r="G150" s="715"/>
      <c r="H150" s="715"/>
      <c r="I150" s="715"/>
      <c r="J150" s="716"/>
    </row>
    <row r="151" spans="2:10" s="710" customFormat="1" ht="14.25">
      <c r="B151" s="873"/>
      <c r="C151" s="1158"/>
      <c r="D151" s="1158"/>
      <c r="E151" s="1154" t="str">
        <f>BS!$F$5</f>
        <v>March 2023</v>
      </c>
      <c r="F151" s="1154"/>
      <c r="G151" s="1154"/>
      <c r="H151" s="1154" t="str">
        <f>BS!$G$5</f>
        <v>March 2022</v>
      </c>
      <c r="I151" s="1154"/>
      <c r="J151" s="1154"/>
    </row>
    <row r="152" spans="2:10" s="710" customFormat="1" ht="14.25" customHeight="1">
      <c r="B152" s="873"/>
      <c r="C152" s="1113" t="s">
        <v>63</v>
      </c>
      <c r="D152" s="1113"/>
      <c r="E152" s="1160" t="s">
        <v>473</v>
      </c>
      <c r="F152" s="1161"/>
      <c r="G152" s="1162"/>
      <c r="H152" s="1160" t="s">
        <v>473</v>
      </c>
      <c r="I152" s="1161"/>
      <c r="J152" s="1162"/>
    </row>
    <row r="153" spans="2:10" s="710" customFormat="1" ht="15" customHeight="1">
      <c r="B153" s="873"/>
      <c r="C153" s="1152" t="s">
        <v>1674</v>
      </c>
      <c r="D153" s="1152"/>
      <c r="E153" s="1164">
        <v>0</v>
      </c>
      <c r="F153" s="1165"/>
      <c r="G153" s="1166"/>
      <c r="H153" s="1155">
        <v>0</v>
      </c>
      <c r="I153" s="1163"/>
      <c r="J153" s="1156"/>
    </row>
    <row r="154" spans="2:10" s="710" customFormat="1" ht="15" customHeight="1">
      <c r="B154" s="873"/>
      <c r="C154" s="1152" t="s">
        <v>1675</v>
      </c>
      <c r="D154" s="1152"/>
      <c r="E154" s="1164">
        <v>0</v>
      </c>
      <c r="F154" s="1165"/>
      <c r="G154" s="1166"/>
      <c r="H154" s="1155">
        <v>0</v>
      </c>
      <c r="I154" s="1163"/>
      <c r="J154" s="1156"/>
    </row>
    <row r="155" spans="2:10" s="710" customFormat="1" ht="14.25">
      <c r="B155" s="873"/>
      <c r="C155" s="867"/>
      <c r="D155" s="867"/>
      <c r="E155" s="715"/>
      <c r="F155" s="715"/>
      <c r="G155" s="715"/>
      <c r="H155" s="715"/>
      <c r="I155" s="715"/>
      <c r="J155" s="716"/>
    </row>
    <row r="156" spans="2:10" s="710" customFormat="1" ht="14.25">
      <c r="B156" s="873">
        <f ca="1">B149+1</f>
        <v>32</v>
      </c>
      <c r="C156" s="1159" t="s">
        <v>1677</v>
      </c>
      <c r="D156" s="1159"/>
      <c r="E156" s="1159"/>
      <c r="F156" s="1159"/>
      <c r="G156" s="1159"/>
      <c r="H156" s="1159"/>
      <c r="I156" s="1159"/>
      <c r="J156" s="1159"/>
    </row>
    <row r="157" spans="2:10" s="710" customFormat="1" ht="14.25">
      <c r="B157" s="873"/>
      <c r="C157" s="867"/>
      <c r="D157" s="867"/>
      <c r="E157" s="715"/>
      <c r="F157" s="715"/>
      <c r="G157" s="715"/>
      <c r="H157" s="715"/>
      <c r="I157" s="715"/>
      <c r="J157" s="716"/>
    </row>
    <row r="158" spans="2:10" s="710" customFormat="1" ht="14.25">
      <c r="B158" s="873"/>
      <c r="C158" s="1158"/>
      <c r="D158" s="1158"/>
      <c r="E158" s="1154" t="str">
        <f>BS!$F$5</f>
        <v>March 2023</v>
      </c>
      <c r="F158" s="1154"/>
      <c r="G158" s="1154"/>
      <c r="H158" s="1154" t="str">
        <f>BS!$G$5</f>
        <v>March 2022</v>
      </c>
      <c r="I158" s="1154"/>
      <c r="J158" s="1154"/>
    </row>
    <row r="159" spans="2:10" s="710" customFormat="1" ht="14.25">
      <c r="B159" s="873"/>
      <c r="C159" s="1113" t="s">
        <v>63</v>
      </c>
      <c r="D159" s="1113"/>
      <c r="E159" s="1160" t="s">
        <v>473</v>
      </c>
      <c r="F159" s="1161"/>
      <c r="G159" s="1162"/>
      <c r="H159" s="1160" t="s">
        <v>473</v>
      </c>
      <c r="I159" s="1161"/>
      <c r="J159" s="1162"/>
    </row>
    <row r="160" spans="2:10" s="710" customFormat="1" ht="14.25">
      <c r="B160" s="873"/>
      <c r="C160" s="1152" t="s">
        <v>1661</v>
      </c>
      <c r="D160" s="1152"/>
      <c r="E160" s="1164">
        <v>0</v>
      </c>
      <c r="F160" s="1165"/>
      <c r="G160" s="1166"/>
      <c r="H160" s="1155">
        <v>0</v>
      </c>
      <c r="I160" s="1163"/>
      <c r="J160" s="1156"/>
    </row>
    <row r="161" spans="2:10" s="710" customFormat="1" ht="14.25">
      <c r="B161" s="873"/>
      <c r="C161" s="1152" t="s">
        <v>1678</v>
      </c>
      <c r="D161" s="1152"/>
      <c r="E161" s="1164">
        <v>0</v>
      </c>
      <c r="F161" s="1165"/>
      <c r="G161" s="1166"/>
      <c r="H161" s="1155">
        <v>0</v>
      </c>
      <c r="I161" s="1163"/>
      <c r="J161" s="1156"/>
    </row>
    <row r="162" spans="2:10" s="710" customFormat="1" ht="14.25">
      <c r="B162" s="873"/>
      <c r="C162" s="867"/>
      <c r="D162" s="867"/>
      <c r="E162" s="715"/>
      <c r="F162" s="715"/>
      <c r="G162" s="715"/>
      <c r="H162" s="715"/>
      <c r="I162" s="715"/>
      <c r="J162" s="716"/>
    </row>
    <row r="163" spans="2:10" s="710" customFormat="1" ht="14.25">
      <c r="B163" s="873">
        <f ca="1">B156+1</f>
        <v>33</v>
      </c>
      <c r="C163" s="1159" t="s">
        <v>1679</v>
      </c>
      <c r="D163" s="1159"/>
      <c r="E163" s="1159"/>
      <c r="F163" s="1159"/>
      <c r="G163" s="1159"/>
      <c r="H163" s="1159"/>
      <c r="I163" s="1159"/>
      <c r="J163" s="1159"/>
    </row>
    <row r="164" spans="2:10" s="710" customFormat="1" ht="14.25">
      <c r="B164" s="873"/>
      <c r="C164" s="867"/>
      <c r="D164" s="867"/>
      <c r="E164" s="715"/>
      <c r="F164" s="715"/>
      <c r="G164" s="715"/>
      <c r="H164" s="715"/>
      <c r="I164" s="715"/>
      <c r="J164" s="716"/>
    </row>
    <row r="165" spans="2:10" s="710" customFormat="1" ht="14.25">
      <c r="B165" s="873"/>
      <c r="C165" s="1158"/>
      <c r="D165" s="1158"/>
      <c r="E165" s="1154" t="str">
        <f>BS!$F$5</f>
        <v>March 2023</v>
      </c>
      <c r="F165" s="1154"/>
      <c r="G165" s="1154"/>
      <c r="H165" s="1154" t="str">
        <f>BS!$G$5</f>
        <v>March 2022</v>
      </c>
      <c r="I165" s="1154"/>
      <c r="J165" s="1154"/>
    </row>
    <row r="166" spans="2:10" s="710" customFormat="1" ht="14.25">
      <c r="B166" s="873"/>
      <c r="C166" s="1113" t="s">
        <v>63</v>
      </c>
      <c r="D166" s="1113"/>
      <c r="E166" s="1160" t="s">
        <v>473</v>
      </c>
      <c r="F166" s="1161"/>
      <c r="G166" s="1162"/>
      <c r="H166" s="1160" t="s">
        <v>473</v>
      </c>
      <c r="I166" s="1161"/>
      <c r="J166" s="1162"/>
    </row>
    <row r="167" spans="2:10" s="710" customFormat="1" ht="14.25">
      <c r="B167" s="873"/>
      <c r="C167" s="1152" t="s">
        <v>1680</v>
      </c>
      <c r="D167" s="1152"/>
      <c r="E167" s="1164">
        <v>0</v>
      </c>
      <c r="F167" s="1165"/>
      <c r="G167" s="1166"/>
      <c r="H167" s="1155">
        <v>0</v>
      </c>
      <c r="I167" s="1163"/>
      <c r="J167" s="1156"/>
    </row>
    <row r="168" spans="2:10" s="710" customFormat="1" ht="14.25">
      <c r="B168" s="873"/>
      <c r="C168" s="1152" t="s">
        <v>1678</v>
      </c>
      <c r="D168" s="1152"/>
      <c r="E168" s="1164">
        <v>0</v>
      </c>
      <c r="F168" s="1165"/>
      <c r="G168" s="1166"/>
      <c r="H168" s="1155">
        <v>0</v>
      </c>
      <c r="I168" s="1163"/>
      <c r="J168" s="1156"/>
    </row>
    <row r="169" spans="2:10" s="710" customFormat="1" ht="14.25">
      <c r="B169" s="873"/>
      <c r="C169" s="867"/>
      <c r="D169" s="867"/>
      <c r="E169" s="715"/>
      <c r="F169" s="715"/>
      <c r="G169" s="715"/>
      <c r="H169" s="715"/>
      <c r="I169" s="715"/>
      <c r="J169" s="716"/>
    </row>
    <row r="170" spans="2:10" s="710" customFormat="1" ht="30" customHeight="1">
      <c r="B170" s="873">
        <f ca="1">B163+1</f>
        <v>34</v>
      </c>
      <c r="C170" s="1137" t="s">
        <v>1681</v>
      </c>
      <c r="D170" s="1137"/>
      <c r="E170" s="1137"/>
      <c r="F170" s="1137"/>
      <c r="G170" s="1137"/>
      <c r="H170" s="1137"/>
      <c r="I170" s="1137"/>
      <c r="J170" s="1137"/>
    </row>
    <row r="171" spans="2:10" s="710" customFormat="1" ht="14.25">
      <c r="B171" s="873"/>
      <c r="C171" s="867"/>
      <c r="D171" s="867"/>
      <c r="E171" s="715"/>
      <c r="F171" s="715"/>
      <c r="G171" s="715"/>
      <c r="H171" s="715"/>
      <c r="I171" s="715"/>
      <c r="J171" s="716"/>
    </row>
    <row r="172" spans="2:10" s="710" customFormat="1" ht="14.25">
      <c r="B172" s="873">
        <f ca="1">B170+1</f>
        <v>35</v>
      </c>
      <c r="C172" s="1137" t="s">
        <v>1682</v>
      </c>
      <c r="D172" s="1137"/>
      <c r="E172" s="1137"/>
      <c r="F172" s="1137"/>
      <c r="G172" s="1137"/>
      <c r="H172" s="1137"/>
      <c r="I172" s="1137"/>
      <c r="J172" s="1137"/>
    </row>
    <row r="173" spans="2:10" s="710" customFormat="1" ht="14.25">
      <c r="B173" s="873"/>
      <c r="C173" s="867"/>
      <c r="D173" s="867"/>
      <c r="E173" s="715"/>
      <c r="F173" s="715"/>
      <c r="G173" s="715"/>
      <c r="H173" s="715"/>
      <c r="I173" s="715"/>
      <c r="J173" s="716"/>
    </row>
    <row r="174" spans="2:10" s="710" customFormat="1" ht="14.25">
      <c r="B174" s="873">
        <f ca="1">B172+1</f>
        <v>36</v>
      </c>
      <c r="C174" s="1137" t="s">
        <v>1683</v>
      </c>
      <c r="D174" s="1137"/>
      <c r="E174" s="1137"/>
      <c r="F174" s="1137"/>
      <c r="G174" s="1137"/>
      <c r="H174" s="1137"/>
      <c r="I174" s="1137"/>
      <c r="J174" s="1137"/>
    </row>
    <row r="175" spans="2:10" s="710" customFormat="1" ht="14.25">
      <c r="B175" s="873"/>
      <c r="C175" s="867"/>
      <c r="D175" s="867"/>
      <c r="E175" s="715"/>
      <c r="F175" s="715"/>
      <c r="G175" s="715"/>
      <c r="H175" s="715"/>
      <c r="I175" s="715"/>
      <c r="J175" s="716"/>
    </row>
    <row r="176" spans="2:10" s="710" customFormat="1" ht="14.25">
      <c r="B176" s="873"/>
      <c r="C176" s="712" t="s">
        <v>1618</v>
      </c>
      <c r="D176" s="712" t="s">
        <v>1684</v>
      </c>
    </row>
    <row r="177" spans="2:10" s="710" customFormat="1" ht="14.25" customHeight="1">
      <c r="B177" s="901"/>
      <c r="C177" s="711"/>
      <c r="D177" s="711"/>
      <c r="E177" s="711"/>
      <c r="F177" s="711"/>
      <c r="G177" s="711"/>
      <c r="H177" s="711"/>
      <c r="I177" s="711"/>
      <c r="J177" s="711"/>
    </row>
    <row r="178" spans="2:10" s="710" customFormat="1" ht="142.5">
      <c r="B178" s="873"/>
      <c r="C178" s="903"/>
      <c r="D178" s="905" t="s">
        <v>1685</v>
      </c>
      <c r="E178" s="905" t="s">
        <v>1686</v>
      </c>
      <c r="F178" s="905" t="s">
        <v>308</v>
      </c>
      <c r="G178" s="905" t="s">
        <v>305</v>
      </c>
      <c r="H178" s="905" t="s">
        <v>1687</v>
      </c>
      <c r="I178" s="905" t="s">
        <v>310</v>
      </c>
      <c r="J178" s="905" t="s">
        <v>311</v>
      </c>
    </row>
    <row r="179" spans="2:10" s="710" customFormat="1" ht="62.25" customHeight="1">
      <c r="B179" s="873"/>
      <c r="C179" s="711"/>
      <c r="D179" s="1167" t="s">
        <v>1688</v>
      </c>
      <c r="E179" s="1168"/>
      <c r="F179" s="1168"/>
      <c r="G179" s="1168"/>
      <c r="H179" s="1168"/>
      <c r="I179" s="1168"/>
      <c r="J179" s="1169"/>
    </row>
    <row r="180" spans="2:10" s="710" customFormat="1" ht="14.25" customHeight="1">
      <c r="B180" s="873"/>
      <c r="C180" s="711"/>
      <c r="D180" s="711"/>
      <c r="E180" s="711"/>
      <c r="F180" s="711"/>
      <c r="G180" s="898"/>
      <c r="H180" s="898"/>
    </row>
    <row r="181" spans="2:10" s="710" customFormat="1" ht="14.25" customHeight="1">
      <c r="B181" s="873"/>
      <c r="C181" s="711" t="s">
        <v>1619</v>
      </c>
      <c r="D181" s="1111" t="s">
        <v>1689</v>
      </c>
      <c r="E181" s="1111"/>
      <c r="F181" s="1111"/>
      <c r="G181" s="1111"/>
      <c r="H181" s="1111"/>
      <c r="I181" s="1111"/>
      <c r="J181" s="1111"/>
    </row>
    <row r="182" spans="2:10" s="710" customFormat="1" ht="14.25" customHeight="1">
      <c r="B182" s="873"/>
      <c r="C182" s="904"/>
      <c r="D182" s="904"/>
      <c r="E182" s="904"/>
      <c r="F182" s="904"/>
      <c r="G182" s="904"/>
      <c r="H182" s="904"/>
      <c r="I182" s="904"/>
      <c r="J182" s="904"/>
    </row>
    <row r="183" spans="2:10" s="710" customFormat="1" ht="33.75" customHeight="1">
      <c r="B183" s="873"/>
      <c r="C183" s="711" t="s">
        <v>1623</v>
      </c>
      <c r="D183" s="1111" t="s">
        <v>1690</v>
      </c>
      <c r="E183" s="1111"/>
      <c r="F183" s="1111"/>
      <c r="G183" s="1111"/>
      <c r="H183" s="1111"/>
      <c r="I183" s="1111"/>
      <c r="J183" s="1111"/>
    </row>
    <row r="184" spans="2:10" s="710" customFormat="1" ht="14.25" customHeight="1">
      <c r="B184" s="873"/>
      <c r="C184" s="711"/>
      <c r="D184" s="711"/>
      <c r="E184" s="711"/>
      <c r="F184" s="711"/>
      <c r="G184" s="711"/>
      <c r="H184" s="711"/>
      <c r="I184" s="711"/>
      <c r="J184" s="711"/>
    </row>
    <row r="185" spans="2:10" s="710" customFormat="1" ht="14.25" customHeight="1">
      <c r="B185" s="873"/>
      <c r="C185" s="711" t="s">
        <v>1691</v>
      </c>
      <c r="D185" s="1111" t="s">
        <v>322</v>
      </c>
      <c r="E185" s="1111"/>
      <c r="F185" s="1111"/>
      <c r="G185" s="1111"/>
      <c r="H185" s="1111"/>
      <c r="I185" s="1111"/>
      <c r="J185" s="1111"/>
    </row>
    <row r="186" spans="2:10" s="710" customFormat="1" ht="14.25" customHeight="1">
      <c r="B186" s="873"/>
      <c r="C186" s="711"/>
      <c r="D186" s="1170" t="s">
        <v>1693</v>
      </c>
      <c r="E186" s="1170"/>
      <c r="F186" s="1170"/>
      <c r="G186" s="1170"/>
      <c r="H186" s="1170"/>
      <c r="I186" s="1170"/>
      <c r="J186" s="711"/>
    </row>
    <row r="187" spans="2:10" s="710" customFormat="1" ht="14.25">
      <c r="B187" s="873"/>
      <c r="C187" s="711"/>
      <c r="D187" s="1171" t="s">
        <v>324</v>
      </c>
      <c r="E187" s="1171" t="s">
        <v>325</v>
      </c>
      <c r="F187" s="1171"/>
      <c r="G187" s="1171"/>
      <c r="H187" s="1171"/>
      <c r="I187" s="1171" t="s">
        <v>88</v>
      </c>
      <c r="J187" s="711"/>
    </row>
    <row r="188" spans="2:10" s="710" customFormat="1" ht="25.5">
      <c r="B188" s="873"/>
      <c r="C188" s="711"/>
      <c r="D188" s="1171"/>
      <c r="E188" s="906" t="s">
        <v>326</v>
      </c>
      <c r="F188" s="906" t="s">
        <v>330</v>
      </c>
      <c r="G188" s="906" t="s">
        <v>273</v>
      </c>
      <c r="H188" s="906" t="s">
        <v>327</v>
      </c>
      <c r="I188" s="1171"/>
      <c r="J188" s="711"/>
    </row>
    <row r="189" spans="2:10" s="710" customFormat="1" ht="14.25">
      <c r="B189" s="873"/>
      <c r="C189" s="711"/>
      <c r="D189" s="908" t="s">
        <v>328</v>
      </c>
      <c r="E189" s="1172" t="s">
        <v>1692</v>
      </c>
      <c r="F189" s="1172"/>
      <c r="G189" s="1172"/>
      <c r="H189" s="1172"/>
      <c r="I189" s="1172"/>
      <c r="J189" s="711"/>
    </row>
    <row r="190" spans="2:10" s="710" customFormat="1" ht="25.5">
      <c r="B190" s="873"/>
      <c r="C190" s="711"/>
      <c r="D190" s="908" t="s">
        <v>329</v>
      </c>
      <c r="E190" s="1172"/>
      <c r="F190" s="1172"/>
      <c r="G190" s="1172"/>
      <c r="H190" s="1172"/>
      <c r="I190" s="1172"/>
      <c r="J190" s="711"/>
    </row>
    <row r="191" spans="2:10" s="710" customFormat="1" ht="14.25" customHeight="1">
      <c r="B191" s="873"/>
      <c r="C191" s="711"/>
      <c r="D191" s="711"/>
      <c r="E191" s="711"/>
      <c r="F191" s="711"/>
      <c r="G191" s="711"/>
      <c r="H191" s="711"/>
      <c r="I191" s="711"/>
      <c r="J191" s="711"/>
    </row>
    <row r="192" spans="2:10" s="710" customFormat="1" ht="33" customHeight="1">
      <c r="B192" s="873"/>
      <c r="C192" s="711"/>
      <c r="D192" s="1111" t="s">
        <v>1694</v>
      </c>
      <c r="E192" s="1111"/>
      <c r="F192" s="1111"/>
      <c r="G192" s="1111"/>
      <c r="H192" s="1111"/>
      <c r="I192" s="1111"/>
      <c r="J192" s="711"/>
    </row>
    <row r="193" spans="2:10" s="710" customFormat="1" ht="14.25">
      <c r="B193" s="873"/>
      <c r="C193" s="711"/>
      <c r="D193" s="1171" t="s">
        <v>324</v>
      </c>
      <c r="E193" s="1171" t="s">
        <v>334</v>
      </c>
      <c r="F193" s="1171"/>
      <c r="G193" s="1171"/>
      <c r="H193" s="1171"/>
      <c r="I193" s="1171" t="s">
        <v>88</v>
      </c>
      <c r="J193" s="711"/>
    </row>
    <row r="194" spans="2:10" s="710" customFormat="1" ht="25.5">
      <c r="B194" s="873"/>
      <c r="C194" s="711"/>
      <c r="D194" s="1171"/>
      <c r="E194" s="906" t="s">
        <v>326</v>
      </c>
      <c r="F194" s="906" t="s">
        <v>330</v>
      </c>
      <c r="G194" s="906" t="s">
        <v>273</v>
      </c>
      <c r="H194" s="906" t="s">
        <v>327</v>
      </c>
      <c r="I194" s="1171"/>
      <c r="J194" s="711"/>
    </row>
    <row r="195" spans="2:10" s="710" customFormat="1" ht="14.25">
      <c r="B195" s="873"/>
      <c r="C195" s="711"/>
      <c r="D195" s="908" t="s">
        <v>332</v>
      </c>
      <c r="E195" s="1172" t="s">
        <v>1692</v>
      </c>
      <c r="F195" s="1172"/>
      <c r="G195" s="1172"/>
      <c r="H195" s="1172"/>
      <c r="I195" s="1172"/>
      <c r="J195" s="711"/>
    </row>
    <row r="196" spans="2:10" s="710" customFormat="1" ht="14.25">
      <c r="B196" s="873"/>
      <c r="C196" s="711"/>
      <c r="D196" s="908" t="s">
        <v>333</v>
      </c>
      <c r="E196" s="1172"/>
      <c r="F196" s="1172"/>
      <c r="G196" s="1172"/>
      <c r="H196" s="1172"/>
      <c r="I196" s="1172"/>
      <c r="J196" s="711"/>
    </row>
    <row r="197" spans="2:10" s="710" customFormat="1" ht="14.25" customHeight="1">
      <c r="B197" s="873"/>
      <c r="C197" s="711"/>
      <c r="D197" s="711"/>
      <c r="E197" s="711"/>
      <c r="F197" s="711"/>
      <c r="G197" s="711"/>
      <c r="H197" s="711"/>
      <c r="I197" s="711"/>
      <c r="J197" s="711"/>
    </row>
    <row r="198" spans="2:10" s="710" customFormat="1" ht="14.25" customHeight="1">
      <c r="B198" s="873"/>
      <c r="C198" s="711" t="s">
        <v>1695</v>
      </c>
      <c r="D198" s="1111" t="s">
        <v>1696</v>
      </c>
      <c r="E198" s="1111"/>
      <c r="F198" s="1111"/>
      <c r="G198" s="1111"/>
      <c r="H198" s="1111"/>
      <c r="I198" s="1111"/>
      <c r="J198" s="1111"/>
    </row>
    <row r="199" spans="2:10" s="710" customFormat="1" ht="14.25" customHeight="1">
      <c r="B199" s="873"/>
      <c r="C199" s="711"/>
      <c r="D199" s="1111" t="s">
        <v>1697</v>
      </c>
      <c r="E199" s="1111"/>
      <c r="F199" s="1111"/>
      <c r="G199" s="1111"/>
      <c r="H199" s="1111"/>
      <c r="I199" s="1111"/>
      <c r="J199" s="711"/>
    </row>
    <row r="200" spans="2:10" s="710" customFormat="1" ht="14.25">
      <c r="B200" s="873"/>
      <c r="C200" s="711"/>
      <c r="D200" s="1171" t="s">
        <v>1698</v>
      </c>
      <c r="E200" s="1171" t="s">
        <v>325</v>
      </c>
      <c r="F200" s="1171"/>
      <c r="G200" s="1171"/>
      <c r="H200" s="1171"/>
      <c r="I200" s="1171" t="s">
        <v>88</v>
      </c>
      <c r="J200" s="711"/>
    </row>
    <row r="201" spans="2:10" s="710" customFormat="1" ht="25.5">
      <c r="B201" s="873"/>
      <c r="C201" s="711"/>
      <c r="D201" s="1171"/>
      <c r="E201" s="906" t="s">
        <v>326</v>
      </c>
      <c r="F201" s="906" t="s">
        <v>330</v>
      </c>
      <c r="G201" s="906" t="s">
        <v>273</v>
      </c>
      <c r="H201" s="906" t="s">
        <v>327</v>
      </c>
      <c r="I201" s="1171"/>
      <c r="J201" s="711"/>
    </row>
    <row r="202" spans="2:10" s="710" customFormat="1" ht="15" customHeight="1">
      <c r="B202" s="873"/>
      <c r="C202" s="711"/>
      <c r="D202" s="908" t="s">
        <v>332</v>
      </c>
      <c r="E202" s="1173" t="s">
        <v>1692</v>
      </c>
      <c r="F202" s="1174"/>
      <c r="G202" s="1174"/>
      <c r="H202" s="1174"/>
      <c r="I202" s="1175"/>
      <c r="J202" s="711"/>
    </row>
    <row r="203" spans="2:10" s="710" customFormat="1" ht="14.25" customHeight="1">
      <c r="B203" s="873"/>
      <c r="C203" s="711"/>
      <c r="D203" s="908" t="s">
        <v>333</v>
      </c>
      <c r="E203" s="1176"/>
      <c r="F203" s="1177"/>
      <c r="G203" s="1177"/>
      <c r="H203" s="1177"/>
      <c r="I203" s="1178"/>
      <c r="J203" s="711"/>
    </row>
    <row r="204" spans="2:10" s="710" customFormat="1" ht="14.25" customHeight="1">
      <c r="B204" s="873"/>
      <c r="C204" s="711"/>
      <c r="D204" s="711"/>
      <c r="E204" s="711"/>
      <c r="F204" s="711"/>
      <c r="G204" s="711"/>
      <c r="H204" s="711"/>
      <c r="I204" s="711"/>
      <c r="J204" s="711"/>
    </row>
    <row r="205" spans="2:10" s="710" customFormat="1" ht="14.25" customHeight="1">
      <c r="B205" s="873"/>
      <c r="C205" s="711"/>
      <c r="D205" s="1111" t="s">
        <v>1699</v>
      </c>
      <c r="E205" s="1111"/>
      <c r="F205" s="1111"/>
      <c r="G205" s="1111"/>
      <c r="H205" s="1111"/>
      <c r="I205" s="1111"/>
      <c r="J205" s="711"/>
    </row>
    <row r="206" spans="2:10" s="710" customFormat="1" ht="14.25">
      <c r="B206" s="873"/>
      <c r="C206" s="711"/>
      <c r="D206" s="1171" t="s">
        <v>1698</v>
      </c>
      <c r="E206" s="1171" t="s">
        <v>334</v>
      </c>
      <c r="F206" s="1171"/>
      <c r="G206" s="1171"/>
      <c r="H206" s="1171"/>
      <c r="I206" s="1171" t="s">
        <v>88</v>
      </c>
      <c r="J206" s="711"/>
    </row>
    <row r="207" spans="2:10" s="710" customFormat="1" ht="25.5">
      <c r="B207" s="873"/>
      <c r="C207" s="711"/>
      <c r="D207" s="1171"/>
      <c r="E207" s="907" t="s">
        <v>326</v>
      </c>
      <c r="F207" s="907" t="s">
        <v>330</v>
      </c>
      <c r="G207" s="907" t="s">
        <v>273</v>
      </c>
      <c r="H207" s="907" t="s">
        <v>327</v>
      </c>
      <c r="I207" s="1171"/>
      <c r="J207" s="711"/>
    </row>
    <row r="208" spans="2:10" s="710" customFormat="1" ht="14.25">
      <c r="B208" s="873"/>
      <c r="C208" s="711"/>
      <c r="D208" s="908" t="s">
        <v>332</v>
      </c>
      <c r="E208" s="1172" t="s">
        <v>1692</v>
      </c>
      <c r="F208" s="1172"/>
      <c r="G208" s="1172"/>
      <c r="H208" s="1172"/>
      <c r="I208" s="1172"/>
      <c r="J208" s="711"/>
    </row>
    <row r="209" spans="2:10" s="710" customFormat="1" ht="14.25">
      <c r="B209" s="873"/>
      <c r="C209" s="711"/>
      <c r="D209" s="908" t="s">
        <v>333</v>
      </c>
      <c r="E209" s="1172"/>
      <c r="F209" s="1172"/>
      <c r="G209" s="1172"/>
      <c r="H209" s="1172"/>
      <c r="I209" s="1172"/>
      <c r="J209" s="711"/>
    </row>
    <row r="210" spans="2:10" s="710" customFormat="1" ht="14.25" customHeight="1">
      <c r="B210" s="873"/>
      <c r="C210" s="711"/>
      <c r="D210" s="711"/>
      <c r="E210" s="711"/>
      <c r="F210" s="711"/>
      <c r="G210" s="711"/>
      <c r="H210" s="711"/>
      <c r="I210" s="711"/>
      <c r="J210" s="711"/>
    </row>
    <row r="211" spans="2:10" s="710" customFormat="1" ht="30" customHeight="1">
      <c r="B211" s="873"/>
      <c r="C211" s="711" t="s">
        <v>1700</v>
      </c>
      <c r="D211" s="1116" t="s">
        <v>1701</v>
      </c>
      <c r="E211" s="1116"/>
      <c r="F211" s="1116"/>
      <c r="G211" s="1116"/>
      <c r="H211" s="1116"/>
      <c r="I211" s="1116"/>
      <c r="J211" s="1116"/>
    </row>
    <row r="212" spans="2:10" s="710" customFormat="1" ht="14.25" customHeight="1">
      <c r="B212" s="873"/>
      <c r="C212" s="711"/>
      <c r="D212" s="878"/>
      <c r="E212" s="878"/>
      <c r="F212" s="878"/>
      <c r="G212" s="878"/>
      <c r="H212" s="878"/>
      <c r="I212" s="878"/>
      <c r="J212" s="878"/>
    </row>
    <row r="213" spans="2:10" s="710" customFormat="1" ht="30.75" customHeight="1">
      <c r="B213" s="873"/>
      <c r="C213" s="711" t="s">
        <v>1702</v>
      </c>
      <c r="D213" s="1116" t="s">
        <v>1711</v>
      </c>
      <c r="E213" s="1116"/>
      <c r="F213" s="1116"/>
      <c r="G213" s="1116"/>
      <c r="H213" s="1116"/>
      <c r="I213" s="1116"/>
      <c r="J213" s="1116"/>
    </row>
    <row r="214" spans="2:10" s="710" customFormat="1" ht="14.25" customHeight="1">
      <c r="B214" s="873"/>
      <c r="C214" s="711"/>
      <c r="D214" s="878"/>
      <c r="E214" s="878"/>
      <c r="F214" s="878"/>
      <c r="G214" s="878"/>
      <c r="H214" s="878"/>
      <c r="I214" s="878"/>
      <c r="J214" s="878"/>
    </row>
    <row r="215" spans="2:10" s="710" customFormat="1" ht="31.5" customHeight="1">
      <c r="B215" s="873"/>
      <c r="C215" s="711" t="s">
        <v>1703</v>
      </c>
      <c r="D215" s="1116" t="s">
        <v>1712</v>
      </c>
      <c r="E215" s="1116"/>
      <c r="F215" s="1116"/>
      <c r="G215" s="1116"/>
      <c r="H215" s="1116"/>
      <c r="I215" s="1116"/>
      <c r="J215" s="1116"/>
    </row>
    <row r="216" spans="2:10" s="710" customFormat="1" ht="14.25" customHeight="1">
      <c r="B216" s="873"/>
      <c r="C216" s="711"/>
      <c r="D216" s="878"/>
      <c r="E216" s="878"/>
      <c r="F216" s="878"/>
      <c r="G216" s="878"/>
      <c r="H216" s="878"/>
      <c r="I216" s="878"/>
      <c r="J216" s="878"/>
    </row>
    <row r="217" spans="2:10" s="710" customFormat="1" ht="35.25" customHeight="1">
      <c r="B217" s="873"/>
      <c r="C217" s="711"/>
      <c r="D217" s="1116" t="s">
        <v>1713</v>
      </c>
      <c r="E217" s="1116"/>
      <c r="F217" s="1116"/>
      <c r="G217" s="1116"/>
      <c r="H217" s="1116"/>
      <c r="I217" s="1116"/>
      <c r="J217" s="1116"/>
    </row>
    <row r="218" spans="2:10" s="710" customFormat="1" ht="14.25" customHeight="1">
      <c r="B218" s="873"/>
      <c r="C218" s="711"/>
      <c r="D218" s="1116" t="s">
        <v>1717</v>
      </c>
      <c r="E218" s="1116"/>
      <c r="F218" s="1116"/>
      <c r="G218" s="1116"/>
      <c r="H218" s="1116"/>
      <c r="I218" s="1116"/>
      <c r="J218" s="1116"/>
    </row>
    <row r="219" spans="2:10" s="710" customFormat="1" ht="14.25" customHeight="1">
      <c r="B219" s="873"/>
      <c r="C219" s="711"/>
      <c r="D219" s="878"/>
      <c r="E219" s="878"/>
      <c r="F219" s="878"/>
      <c r="G219" s="878"/>
      <c r="H219" s="878"/>
      <c r="I219" s="878"/>
      <c r="J219" s="878"/>
    </row>
    <row r="220" spans="2:10" s="710" customFormat="1" ht="14.25" customHeight="1">
      <c r="B220" s="873"/>
      <c r="C220" s="711" t="s">
        <v>1704</v>
      </c>
      <c r="D220" s="1116" t="s">
        <v>1714</v>
      </c>
      <c r="E220" s="1116"/>
      <c r="F220" s="1116"/>
      <c r="G220" s="1116"/>
      <c r="H220" s="1116"/>
      <c r="I220" s="1116"/>
      <c r="J220" s="1116"/>
    </row>
    <row r="221" spans="2:10" s="710" customFormat="1" ht="14.25" customHeight="1">
      <c r="B221" s="873"/>
      <c r="C221" s="711"/>
      <c r="D221" s="878"/>
      <c r="E221" s="878"/>
      <c r="F221" s="878"/>
      <c r="G221" s="878"/>
      <c r="H221" s="878"/>
      <c r="I221" s="878"/>
      <c r="J221" s="878"/>
    </row>
    <row r="222" spans="2:10" s="710" customFormat="1" ht="32.25" customHeight="1">
      <c r="B222" s="873"/>
      <c r="C222" s="711"/>
      <c r="D222" s="1116" t="s">
        <v>1715</v>
      </c>
      <c r="E222" s="1116"/>
      <c r="F222" s="1116"/>
      <c r="G222" s="1116"/>
      <c r="H222" s="1116"/>
      <c r="I222" s="1116"/>
      <c r="J222" s="1116"/>
    </row>
    <row r="223" spans="2:10" s="710" customFormat="1" ht="18.75" customHeight="1">
      <c r="B223" s="873"/>
      <c r="C223" s="711"/>
      <c r="D223" s="1116" t="s">
        <v>1716</v>
      </c>
      <c r="E223" s="1116"/>
      <c r="F223" s="1116"/>
      <c r="G223" s="1116"/>
      <c r="H223" s="1116"/>
      <c r="I223" s="1116"/>
      <c r="J223" s="1116"/>
    </row>
    <row r="224" spans="2:10" s="710" customFormat="1" ht="14.25" customHeight="1">
      <c r="B224" s="873"/>
      <c r="C224" s="711"/>
      <c r="D224" s="878"/>
      <c r="E224" s="878"/>
      <c r="F224" s="878"/>
      <c r="G224" s="878"/>
      <c r="H224" s="878"/>
      <c r="I224" s="878"/>
      <c r="J224" s="878"/>
    </row>
    <row r="225" spans="1:12" s="710" customFormat="1" ht="28.5" customHeight="1">
      <c r="B225" s="902"/>
      <c r="C225" s="711" t="s">
        <v>1705</v>
      </c>
      <c r="D225" s="1116" t="s">
        <v>1718</v>
      </c>
      <c r="E225" s="1116"/>
      <c r="F225" s="1116"/>
      <c r="G225" s="1116"/>
      <c r="H225" s="1116"/>
      <c r="I225" s="1116"/>
      <c r="J225" s="1116"/>
    </row>
    <row r="226" spans="1:12" s="710" customFormat="1" ht="12.75" customHeight="1">
      <c r="B226" s="902"/>
      <c r="C226" s="711"/>
      <c r="D226" s="878"/>
      <c r="E226" s="878"/>
      <c r="F226" s="878"/>
      <c r="G226" s="878"/>
      <c r="H226" s="878"/>
      <c r="I226" s="878"/>
      <c r="J226" s="878"/>
    </row>
    <row r="227" spans="1:12" s="710" customFormat="1" ht="30.75" customHeight="1">
      <c r="B227" s="902"/>
      <c r="C227" s="711" t="s">
        <v>1706</v>
      </c>
      <c r="D227" s="1116" t="s">
        <v>1719</v>
      </c>
      <c r="E227" s="1116"/>
      <c r="F227" s="1116"/>
      <c r="G227" s="1116"/>
      <c r="H227" s="1116"/>
      <c r="I227" s="1116"/>
      <c r="J227" s="1116"/>
    </row>
    <row r="228" spans="1:12" s="710" customFormat="1" ht="12.75" customHeight="1">
      <c r="B228" s="902"/>
      <c r="C228" s="711"/>
      <c r="D228" s="878"/>
      <c r="E228" s="878"/>
      <c r="F228" s="878"/>
      <c r="G228" s="878"/>
      <c r="H228" s="878"/>
      <c r="I228" s="878"/>
      <c r="J228" s="878"/>
    </row>
    <row r="229" spans="1:12" s="710" customFormat="1" ht="30" customHeight="1">
      <c r="B229" s="902"/>
      <c r="C229" s="711" t="s">
        <v>1707</v>
      </c>
      <c r="D229" s="1116" t="s">
        <v>1720</v>
      </c>
      <c r="E229" s="1116"/>
      <c r="F229" s="1116"/>
      <c r="G229" s="1116"/>
      <c r="H229" s="1116"/>
      <c r="I229" s="1116"/>
      <c r="J229" s="1116"/>
    </row>
    <row r="230" spans="1:12" s="710" customFormat="1" ht="12.75" customHeight="1">
      <c r="B230" s="902"/>
      <c r="C230" s="711"/>
      <c r="D230" s="878"/>
      <c r="E230" s="878"/>
      <c r="F230" s="878"/>
      <c r="G230" s="878"/>
      <c r="H230" s="878"/>
      <c r="I230" s="878"/>
      <c r="J230" s="878"/>
    </row>
    <row r="231" spans="1:12" s="710" customFormat="1" ht="15.75" customHeight="1">
      <c r="B231" s="902"/>
      <c r="C231" s="711" t="s">
        <v>1708</v>
      </c>
      <c r="D231" s="1116" t="s">
        <v>1721</v>
      </c>
      <c r="E231" s="1116"/>
      <c r="F231" s="1116"/>
      <c r="G231" s="1116"/>
      <c r="H231" s="1116"/>
      <c r="I231" s="1116"/>
      <c r="J231" s="1116"/>
    </row>
    <row r="232" spans="1:12" s="710" customFormat="1" ht="12.75" customHeight="1">
      <c r="B232" s="902"/>
      <c r="C232" s="711"/>
      <c r="D232" s="878"/>
      <c r="E232" s="878"/>
      <c r="F232" s="878"/>
      <c r="G232" s="878"/>
      <c r="H232" s="878"/>
      <c r="I232" s="878"/>
      <c r="J232" s="878"/>
    </row>
    <row r="233" spans="1:12" s="710" customFormat="1" ht="12.75" customHeight="1">
      <c r="B233" s="902"/>
      <c r="C233" s="711" t="s">
        <v>1709</v>
      </c>
      <c r="D233" s="1116" t="s">
        <v>1722</v>
      </c>
      <c r="E233" s="1116"/>
      <c r="F233" s="1116"/>
      <c r="G233" s="1116"/>
      <c r="H233" s="1116"/>
      <c r="I233" s="1116"/>
      <c r="J233" s="1116"/>
    </row>
    <row r="234" spans="1:12" s="710" customFormat="1" ht="12.75" customHeight="1">
      <c r="B234" s="902"/>
      <c r="C234" s="711"/>
      <c r="D234" s="878"/>
      <c r="E234" s="878"/>
      <c r="F234" s="878"/>
      <c r="G234" s="878"/>
      <c r="H234" s="878"/>
      <c r="I234" s="878"/>
      <c r="J234" s="878"/>
    </row>
    <row r="235" spans="1:12" s="710" customFormat="1" ht="48.75" customHeight="1">
      <c r="B235" s="902"/>
      <c r="C235" s="711" t="s">
        <v>1710</v>
      </c>
      <c r="D235" s="1116" t="s">
        <v>1723</v>
      </c>
      <c r="E235" s="1116"/>
      <c r="F235" s="1116"/>
      <c r="G235" s="1116"/>
      <c r="H235" s="1116"/>
      <c r="I235" s="1116"/>
      <c r="J235" s="1116"/>
    </row>
    <row r="236" spans="1:12" s="710" customFormat="1" ht="14.25">
      <c r="B236" s="722" t="str">
        <f>BS!$A$48</f>
        <v>See accompanying notes forming part of the financial statements</v>
      </c>
      <c r="C236" s="719"/>
      <c r="E236" s="720"/>
      <c r="F236" s="720"/>
      <c r="G236" s="712"/>
      <c r="H236" s="719"/>
      <c r="I236" s="721"/>
      <c r="J236" s="721"/>
    </row>
    <row r="237" spans="1:12" s="710" customFormat="1" ht="14.25">
      <c r="B237" s="718" t="str">
        <f>BS!$A$49</f>
        <v>As per our separate audit report of even date attached</v>
      </c>
      <c r="C237" s="718"/>
      <c r="G237" s="722" t="str">
        <f>BS!$F$50</f>
        <v>For and on Behalf of</v>
      </c>
      <c r="I237" s="718"/>
      <c r="J237" s="718"/>
    </row>
    <row r="238" spans="1:12" s="710" customFormat="1" ht="14.25">
      <c r="B238" s="722" t="str">
        <f>BS!$A$50</f>
        <v>For A XXXXXXXXXXXociates</v>
      </c>
      <c r="C238" s="718"/>
      <c r="G238" s="722" t="str">
        <f>BS!$F$51</f>
        <v>Abc Private Limited</v>
      </c>
      <c r="I238" s="718"/>
      <c r="J238" s="718"/>
    </row>
    <row r="239" spans="1:12" s="710" customFormat="1" ht="14.25">
      <c r="B239" s="722" t="str">
        <f>BS!$A$51</f>
        <v xml:space="preserve">Chartered Accountants </v>
      </c>
      <c r="C239" s="718"/>
      <c r="G239" s="718"/>
      <c r="I239" s="718"/>
      <c r="J239" s="718"/>
    </row>
    <row r="240" spans="1:12" s="712" customFormat="1" ht="14.25">
      <c r="A240" s="710"/>
      <c r="B240" s="722" t="str">
        <f>BS!$A$52</f>
        <v xml:space="preserve">FRN </v>
      </c>
      <c r="C240" s="718" t="str">
        <f>BS!$C$52</f>
        <v>: XXXXXXXXX</v>
      </c>
      <c r="D240" s="710"/>
      <c r="E240" s="710"/>
      <c r="G240" s="718"/>
      <c r="H240" s="710"/>
      <c r="I240" s="718"/>
      <c r="J240" s="718"/>
      <c r="K240" s="710"/>
      <c r="L240" s="710"/>
    </row>
    <row r="241" spans="1:12" s="710" customFormat="1" ht="14.25">
      <c r="B241" s="718"/>
      <c r="C241" s="718"/>
      <c r="G241" s="718"/>
      <c r="I241" s="718"/>
      <c r="J241" s="718"/>
      <c r="L241" s="712"/>
    </row>
    <row r="242" spans="1:12" s="710" customFormat="1" ht="14.25">
      <c r="A242" s="712"/>
      <c r="B242" s="718"/>
      <c r="C242" s="718"/>
      <c r="G242" s="718"/>
      <c r="I242" s="718"/>
      <c r="J242" s="718"/>
      <c r="K242" s="712"/>
    </row>
    <row r="243" spans="1:12" s="710" customFormat="1" ht="14.25">
      <c r="B243" s="718"/>
      <c r="C243" s="718"/>
      <c r="G243" s="718"/>
      <c r="I243" s="718"/>
      <c r="J243" s="718"/>
    </row>
    <row r="244" spans="1:12" s="710" customFormat="1" ht="14.25">
      <c r="B244" s="722" t="str">
        <f>BS!$A$56</f>
        <v>Akshay Garg</v>
      </c>
      <c r="C244" s="722"/>
      <c r="D244" s="712"/>
      <c r="E244" s="712"/>
      <c r="G244" s="722" t="str">
        <f>BS!$F$56</f>
        <v>Director 1</v>
      </c>
      <c r="I244" s="722" t="str">
        <f>BS!$G$56</f>
        <v>Director 2</v>
      </c>
      <c r="J244" s="722"/>
    </row>
    <row r="245" spans="1:12" s="710" customFormat="1" ht="14.25">
      <c r="B245" s="722" t="str">
        <f>BS!$A$57</f>
        <v>Partner</v>
      </c>
      <c r="C245" s="718"/>
      <c r="G245" s="722" t="str">
        <f>BS!$F$57</f>
        <v>(DIRECTOR)</v>
      </c>
      <c r="I245" s="722" t="str">
        <f>BS!$G$57</f>
        <v>(DIRECTOR)</v>
      </c>
      <c r="J245" s="718"/>
    </row>
    <row r="246" spans="1:12" ht="14.25">
      <c r="A246" s="710"/>
      <c r="B246" s="722" t="str">
        <f>BS!$A$58</f>
        <v>M. No.</v>
      </c>
      <c r="C246" s="718" t="str">
        <f>BS!$C$58</f>
        <v>: XXXXXX</v>
      </c>
      <c r="D246" s="710"/>
      <c r="E246" s="710"/>
      <c r="G246" s="722" t="str">
        <f>BS!$F$58</f>
        <v>DIN - 00XXXX70</v>
      </c>
      <c r="I246" s="722" t="str">
        <f>BS!$G$58</f>
        <v>DIN - 00XXXX70</v>
      </c>
      <c r="J246" s="718"/>
      <c r="K246" s="710"/>
      <c r="L246" s="710"/>
    </row>
    <row r="247" spans="1:12" ht="14.25">
      <c r="A247" s="710"/>
      <c r="B247" s="722" t="str">
        <f>BS!$A$59</f>
        <v>Date</v>
      </c>
      <c r="C247" s="718" t="str">
        <f>BS!$C$59</f>
        <v>: September 01, 2023</v>
      </c>
      <c r="D247" s="718"/>
      <c r="E247" s="718"/>
      <c r="F247" s="718"/>
      <c r="G247" s="718"/>
      <c r="H247" s="718"/>
      <c r="I247" s="718"/>
      <c r="J247" s="718"/>
      <c r="K247" s="710"/>
    </row>
    <row r="248" spans="1:12" ht="14.25">
      <c r="B248" s="722" t="str">
        <f>BS!$A$60</f>
        <v>Place</v>
      </c>
      <c r="C248" s="718" t="str">
        <f>BS!$C$60</f>
        <v>: Delhi</v>
      </c>
      <c r="D248" s="718"/>
      <c r="E248" s="718"/>
      <c r="F248" s="718"/>
      <c r="G248" s="718"/>
      <c r="H248" s="718"/>
      <c r="I248" s="718"/>
      <c r="J248" s="718"/>
    </row>
    <row r="249" spans="1:12" ht="14.25">
      <c r="B249" s="722" t="str">
        <f>BS!$A$61</f>
        <v>UDIN</v>
      </c>
      <c r="C249" s="718" t="str">
        <f>BS!$C$61</f>
        <v xml:space="preserve">: </v>
      </c>
      <c r="D249" s="723"/>
      <c r="E249" s="724"/>
      <c r="F249" s="720"/>
      <c r="G249" s="720"/>
      <c r="H249" s="720"/>
      <c r="I249" s="720"/>
      <c r="J249" s="710"/>
    </row>
    <row r="250" spans="1:12" ht="14.25">
      <c r="B250" s="718"/>
    </row>
    <row r="251" spans="1:12" ht="14.25">
      <c r="B251" s="718"/>
    </row>
    <row r="252" spans="1:12" ht="14.25">
      <c r="B252" s="718"/>
    </row>
    <row r="253" spans="1:12" ht="14.25">
      <c r="B253" s="718"/>
    </row>
    <row r="278" ht="36.75" customHeight="1"/>
  </sheetData>
  <mergeCells count="235">
    <mergeCell ref="D227:J227"/>
    <mergeCell ref="D229:J229"/>
    <mergeCell ref="D231:J231"/>
    <mergeCell ref="D233:J233"/>
    <mergeCell ref="D235:J235"/>
    <mergeCell ref="D217:J217"/>
    <mergeCell ref="D218:J218"/>
    <mergeCell ref="D222:J222"/>
    <mergeCell ref="D223:J223"/>
    <mergeCell ref="D213:J213"/>
    <mergeCell ref="D215:J215"/>
    <mergeCell ref="D220:J220"/>
    <mergeCell ref="D225:J225"/>
    <mergeCell ref="D187:D188"/>
    <mergeCell ref="E187:H187"/>
    <mergeCell ref="I187:I188"/>
    <mergeCell ref="E189:I190"/>
    <mergeCell ref="D192:I192"/>
    <mergeCell ref="D193:D194"/>
    <mergeCell ref="E202:I203"/>
    <mergeCell ref="D205:I205"/>
    <mergeCell ref="D206:D207"/>
    <mergeCell ref="E206:H206"/>
    <mergeCell ref="I206:I207"/>
    <mergeCell ref="E208:I209"/>
    <mergeCell ref="D199:I199"/>
    <mergeCell ref="D200:D201"/>
    <mergeCell ref="E200:H200"/>
    <mergeCell ref="I200:I201"/>
    <mergeCell ref="D179:J179"/>
    <mergeCell ref="D181:J181"/>
    <mergeCell ref="D183:J183"/>
    <mergeCell ref="D185:J185"/>
    <mergeCell ref="D198:J198"/>
    <mergeCell ref="D211:J211"/>
    <mergeCell ref="D186:I186"/>
    <mergeCell ref="E193:H193"/>
    <mergeCell ref="I193:I194"/>
    <mergeCell ref="E195:I196"/>
    <mergeCell ref="C168:D168"/>
    <mergeCell ref="E168:G168"/>
    <mergeCell ref="H168:J168"/>
    <mergeCell ref="C170:J170"/>
    <mergeCell ref="C172:J172"/>
    <mergeCell ref="C174:J174"/>
    <mergeCell ref="C166:D166"/>
    <mergeCell ref="E166:G166"/>
    <mergeCell ref="H166:J166"/>
    <mergeCell ref="C167:D167"/>
    <mergeCell ref="E167:G167"/>
    <mergeCell ref="H167:J167"/>
    <mergeCell ref="C161:D161"/>
    <mergeCell ref="E161:G161"/>
    <mergeCell ref="H161:J161"/>
    <mergeCell ref="C163:J163"/>
    <mergeCell ref="C165:D165"/>
    <mergeCell ref="E165:G165"/>
    <mergeCell ref="H165:J165"/>
    <mergeCell ref="C159:D159"/>
    <mergeCell ref="E159:G159"/>
    <mergeCell ref="H159:J159"/>
    <mergeCell ref="C160:D160"/>
    <mergeCell ref="E160:G160"/>
    <mergeCell ref="H160:J160"/>
    <mergeCell ref="H153:J153"/>
    <mergeCell ref="H154:J154"/>
    <mergeCell ref="C156:J156"/>
    <mergeCell ref="C158:D158"/>
    <mergeCell ref="E158:G158"/>
    <mergeCell ref="H158:J158"/>
    <mergeCell ref="C153:D153"/>
    <mergeCell ref="C154:D154"/>
    <mergeCell ref="E153:G153"/>
    <mergeCell ref="E154:G154"/>
    <mergeCell ref="C149:J149"/>
    <mergeCell ref="C151:D151"/>
    <mergeCell ref="E151:G151"/>
    <mergeCell ref="H151:J151"/>
    <mergeCell ref="C152:D152"/>
    <mergeCell ref="E152:G152"/>
    <mergeCell ref="H152:J152"/>
    <mergeCell ref="C142:J142"/>
    <mergeCell ref="E144:G144"/>
    <mergeCell ref="H144:J144"/>
    <mergeCell ref="C147:D147"/>
    <mergeCell ref="F147:G147"/>
    <mergeCell ref="I147:J147"/>
    <mergeCell ref="C145:D145"/>
    <mergeCell ref="F145:G145"/>
    <mergeCell ref="I145:J145"/>
    <mergeCell ref="C146:D146"/>
    <mergeCell ref="F146:G146"/>
    <mergeCell ref="I146:J146"/>
    <mergeCell ref="C144:D144"/>
    <mergeCell ref="C139:D139"/>
    <mergeCell ref="F139:G139"/>
    <mergeCell ref="I139:J139"/>
    <mergeCell ref="C132:D132"/>
    <mergeCell ref="C130:D130"/>
    <mergeCell ref="C131:D131"/>
    <mergeCell ref="C140:D140"/>
    <mergeCell ref="F140:G140"/>
    <mergeCell ref="I140:J140"/>
    <mergeCell ref="I132:J132"/>
    <mergeCell ref="C137:D137"/>
    <mergeCell ref="E137:G137"/>
    <mergeCell ref="H137:J137"/>
    <mergeCell ref="C138:D138"/>
    <mergeCell ref="F138:G138"/>
    <mergeCell ref="I138:J138"/>
    <mergeCell ref="F132:G132"/>
    <mergeCell ref="F122:G122"/>
    <mergeCell ref="F123:G123"/>
    <mergeCell ref="F124:G124"/>
    <mergeCell ref="F125:G125"/>
    <mergeCell ref="F126:G126"/>
    <mergeCell ref="C129:D129"/>
    <mergeCell ref="I129:J129"/>
    <mergeCell ref="I130:J130"/>
    <mergeCell ref="I131:J131"/>
    <mergeCell ref="F129:G129"/>
    <mergeCell ref="F130:G130"/>
    <mergeCell ref="F131:G131"/>
    <mergeCell ref="H118:I118"/>
    <mergeCell ref="C124:D124"/>
    <mergeCell ref="C125:D125"/>
    <mergeCell ref="C126:D126"/>
    <mergeCell ref="C127:D127"/>
    <mergeCell ref="C128:D128"/>
    <mergeCell ref="F127:G127"/>
    <mergeCell ref="F128:G128"/>
    <mergeCell ref="E119:J119"/>
    <mergeCell ref="I125:J125"/>
    <mergeCell ref="C122:D122"/>
    <mergeCell ref="C123:D123"/>
    <mergeCell ref="I121:J121"/>
    <mergeCell ref="E120:G120"/>
    <mergeCell ref="H120:J120"/>
    <mergeCell ref="I122:J122"/>
    <mergeCell ref="I123:J123"/>
    <mergeCell ref="I124:J124"/>
    <mergeCell ref="I126:J126"/>
    <mergeCell ref="I127:J127"/>
    <mergeCell ref="I128:J128"/>
    <mergeCell ref="C119:D119"/>
    <mergeCell ref="C120:D120"/>
    <mergeCell ref="F121:G121"/>
    <mergeCell ref="F96:G96"/>
    <mergeCell ref="H96:I96"/>
    <mergeCell ref="F97:G97"/>
    <mergeCell ref="H97:I97"/>
    <mergeCell ref="C99:J99"/>
    <mergeCell ref="F94:G94"/>
    <mergeCell ref="H94:I94"/>
    <mergeCell ref="F95:G95"/>
    <mergeCell ref="H95:I95"/>
    <mergeCell ref="C94:E94"/>
    <mergeCell ref="C95:E95"/>
    <mergeCell ref="H85:I85"/>
    <mergeCell ref="C88:J88"/>
    <mergeCell ref="C90:J90"/>
    <mergeCell ref="C92:J92"/>
    <mergeCell ref="C85:E85"/>
    <mergeCell ref="F80:G80"/>
    <mergeCell ref="F81:G81"/>
    <mergeCell ref="F82:G82"/>
    <mergeCell ref="F83:G83"/>
    <mergeCell ref="F84:G84"/>
    <mergeCell ref="F85:G85"/>
    <mergeCell ref="C77:J77"/>
    <mergeCell ref="C84:E84"/>
    <mergeCell ref="C80:E80"/>
    <mergeCell ref="C81:E81"/>
    <mergeCell ref="C82:E82"/>
    <mergeCell ref="C83:E83"/>
    <mergeCell ref="H80:I80"/>
    <mergeCell ref="H81:I81"/>
    <mergeCell ref="H82:I82"/>
    <mergeCell ref="H83:I83"/>
    <mergeCell ref="H84:I84"/>
    <mergeCell ref="C71:J71"/>
    <mergeCell ref="E73:G73"/>
    <mergeCell ref="E74:G74"/>
    <mergeCell ref="E75:G75"/>
    <mergeCell ref="E76:G76"/>
    <mergeCell ref="D62:J62"/>
    <mergeCell ref="D63:J63"/>
    <mergeCell ref="C64:J64"/>
    <mergeCell ref="C66:J66"/>
    <mergeCell ref="C67:J67"/>
    <mergeCell ref="C69:J69"/>
    <mergeCell ref="C55:J55"/>
    <mergeCell ref="C57:J57"/>
    <mergeCell ref="C58:J58"/>
    <mergeCell ref="C60:J60"/>
    <mergeCell ref="C61:J61"/>
    <mergeCell ref="D43:I43"/>
    <mergeCell ref="D50:J50"/>
    <mergeCell ref="D51:J51"/>
    <mergeCell ref="D52:J52"/>
    <mergeCell ref="C42:J42"/>
    <mergeCell ref="C46:J46"/>
    <mergeCell ref="C47:J47"/>
    <mergeCell ref="C49:J49"/>
    <mergeCell ref="C54:J54"/>
    <mergeCell ref="C33:J33"/>
    <mergeCell ref="C35:J35"/>
    <mergeCell ref="C36:J36"/>
    <mergeCell ref="C38:J38"/>
    <mergeCell ref="C39:J39"/>
    <mergeCell ref="C41:J41"/>
    <mergeCell ref="M104:U120"/>
    <mergeCell ref="C102:J102"/>
    <mergeCell ref="C121:D121"/>
    <mergeCell ref="B1:J1"/>
    <mergeCell ref="B2:J2"/>
    <mergeCell ref="B3:J3"/>
    <mergeCell ref="C8:J8"/>
    <mergeCell ref="C17:J17"/>
    <mergeCell ref="B4:J4"/>
    <mergeCell ref="C9:J10"/>
    <mergeCell ref="C13:J13"/>
    <mergeCell ref="C15:J15"/>
    <mergeCell ref="C25:J25"/>
    <mergeCell ref="C26:J26"/>
    <mergeCell ref="C27:J27"/>
    <mergeCell ref="C29:J29"/>
    <mergeCell ref="C30:J30"/>
    <mergeCell ref="C32:J32"/>
    <mergeCell ref="C14:J14"/>
    <mergeCell ref="C19:J19"/>
    <mergeCell ref="C20:J20"/>
    <mergeCell ref="C21:J21"/>
    <mergeCell ref="C23:J23"/>
    <mergeCell ref="C24:J24"/>
  </mergeCells>
  <conditionalFormatting sqref="C74:G76 C78:G78">
    <cfRule type="expression" dxfId="2" priority="4">
      <formula>C74&lt;&gt;""</formula>
    </cfRule>
  </conditionalFormatting>
  <conditionalFormatting sqref="E74:G75">
    <cfRule type="expression" dxfId="1" priority="5">
      <formula>E74=""</formula>
    </cfRule>
  </conditionalFormatting>
  <conditionalFormatting sqref="F80:I85">
    <cfRule type="expression" dxfId="0" priority="3">
      <formula>OR($F$85=0,$H$85=0)</formula>
    </cfRule>
  </conditionalFormatting>
  <pageMargins left="0.70866141732283505" right="0.70866141732283505" top="0.74803149606299202" bottom="0.74803149606299202" header="0.31496062992126" footer="0.31496062992126"/>
  <pageSetup paperSize="9" scale="65" fitToHeight="0" orientation="portrait" blackAndWhite="1" r:id="rId1"/>
  <rowBreaks count="2" manualBreakCount="2">
    <brk id="41" min="1" max="9" man="1"/>
    <brk id="91" min="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F91"/>
  <sheetViews>
    <sheetView showGridLines="0" view="pageBreakPreview" zoomScale="90" zoomScaleNormal="85" zoomScaleSheetLayoutView="90" workbookViewId="0">
      <selection activeCell="D8" sqref="D8"/>
    </sheetView>
  </sheetViews>
  <sheetFormatPr defaultColWidth="9.140625" defaultRowHeight="14.25"/>
  <cols>
    <col min="1" max="1" width="9.140625" style="725"/>
    <col min="2" max="2" width="9.140625" style="727"/>
    <col min="3" max="3" width="14.28515625" style="727" customWidth="1"/>
    <col min="4" max="4" width="25.7109375" style="725" customWidth="1"/>
    <col min="5" max="5" width="32.42578125" style="725" customWidth="1"/>
    <col min="6" max="6" width="16.85546875" style="725" customWidth="1"/>
    <col min="7" max="16384" width="9.140625" style="725"/>
  </cols>
  <sheetData>
    <row r="1" spans="2:6" ht="18">
      <c r="B1" s="1114" t="str">
        <f>Master!$B$10</f>
        <v>ABC PRIVATE LIMITED</v>
      </c>
      <c r="C1" s="1114"/>
      <c r="D1" s="1114"/>
      <c r="E1" s="1114"/>
      <c r="F1" s="1114"/>
    </row>
    <row r="2" spans="2:6" ht="16.5" customHeight="1">
      <c r="B2" s="1179" t="str">
        <f>Master!$B$11</f>
        <v>B-2, XXXXXXXXXXXX XXXXXXXXXXX0034</v>
      </c>
      <c r="C2" s="1179"/>
      <c r="D2" s="1179"/>
      <c r="E2" s="1179"/>
      <c r="F2" s="1179"/>
    </row>
    <row r="3" spans="2:6" ht="16.5" customHeight="1">
      <c r="B3" s="1179" t="str">
        <f>"CIN : "&amp;Master!$B$12</f>
        <v>CIN : U7XXXXXXXXXXXXXXXXX52</v>
      </c>
      <c r="C3" s="1179"/>
      <c r="D3" s="1179"/>
      <c r="E3" s="1179"/>
      <c r="F3" s="1179"/>
    </row>
    <row r="4" spans="2:6" ht="16.5" customHeight="1">
      <c r="B4" s="726"/>
    </row>
    <row r="5" spans="2:6">
      <c r="B5" s="1180" t="str">
        <f>"List of Shareholders as at 31st March "&amp;YEAR(Master!B5)&amp;""</f>
        <v>List of Shareholders as at 31st March 2023</v>
      </c>
      <c r="C5" s="1180"/>
      <c r="D5" s="1180"/>
      <c r="E5" s="1180"/>
      <c r="F5" s="1180"/>
    </row>
    <row r="7" spans="2:6" s="729" customFormat="1" ht="49.5" customHeight="1">
      <c r="B7" s="728" t="s">
        <v>441</v>
      </c>
      <c r="C7" s="728" t="s">
        <v>1015</v>
      </c>
      <c r="D7" s="728" t="s">
        <v>1016</v>
      </c>
      <c r="E7" s="728" t="s">
        <v>994</v>
      </c>
      <c r="F7" s="728" t="s">
        <v>1017</v>
      </c>
    </row>
    <row r="8" spans="2:6" ht="61.5" customHeight="1">
      <c r="B8" s="730">
        <v>1</v>
      </c>
      <c r="C8" s="914" t="s">
        <v>1018</v>
      </c>
      <c r="D8" s="915" t="str">
        <f>'Sch - liab (2)'!A16</f>
        <v>ABC</v>
      </c>
      <c r="E8" s="917" t="str">
        <f>Master!B24</f>
        <v>XXX</v>
      </c>
      <c r="F8" s="916">
        <f>'Sch - liab (2)'!$B$16*Master!$C$17</f>
        <v>85850</v>
      </c>
    </row>
    <row r="9" spans="2:6" ht="61.5" customHeight="1">
      <c r="B9" s="730">
        <v>2</v>
      </c>
      <c r="C9" s="914" t="s">
        <v>1019</v>
      </c>
      <c r="D9" s="915" t="str">
        <f>'Sch - liab (2)'!A17</f>
        <v>ABC</v>
      </c>
      <c r="E9" s="917" t="str">
        <f>Master!B26</f>
        <v>XXX</v>
      </c>
      <c r="F9" s="916">
        <f>'Sch - liab (2)'!B17*Master!$C$17</f>
        <v>6090</v>
      </c>
    </row>
    <row r="10" spans="2:6" s="732" customFormat="1" ht="30.75" customHeight="1">
      <c r="B10" s="1181" t="s">
        <v>88</v>
      </c>
      <c r="C10" s="1182"/>
      <c r="D10" s="1182"/>
      <c r="E10" s="1182"/>
      <c r="F10" s="731">
        <f>SUM(F8:F9)</f>
        <v>91940</v>
      </c>
    </row>
    <row r="11" spans="2:6">
      <c r="B11" s="733"/>
      <c r="C11" s="733"/>
      <c r="D11" s="733"/>
      <c r="E11" s="733"/>
      <c r="F11" s="733"/>
    </row>
    <row r="12" spans="2:6">
      <c r="B12" s="733"/>
      <c r="C12" s="733"/>
      <c r="D12" s="733"/>
      <c r="E12" s="733"/>
      <c r="F12" s="733"/>
    </row>
    <row r="13" spans="2:6">
      <c r="B13" s="718" t="str">
        <f>[111]BS!F58</f>
        <v xml:space="preserve">For and on behalf of the Board          </v>
      </c>
      <c r="C13" s="733"/>
      <c r="D13" s="733"/>
      <c r="E13" s="733"/>
      <c r="F13" s="733"/>
    </row>
    <row r="14" spans="2:6" s="732" customFormat="1">
      <c r="B14" s="722" t="str">
        <f>[111]BS!F59</f>
        <v>COMPANY NAME PRIVATE LIMITED</v>
      </c>
      <c r="C14" s="734"/>
      <c r="D14" s="734"/>
      <c r="E14" s="734"/>
      <c r="F14" s="734"/>
    </row>
    <row r="15" spans="2:6">
      <c r="B15" s="733"/>
      <c r="C15" s="733"/>
      <c r="D15" s="733"/>
      <c r="E15" s="733"/>
      <c r="F15" s="733"/>
    </row>
    <row r="16" spans="2:6">
      <c r="B16" s="733"/>
      <c r="C16" s="733"/>
      <c r="D16" s="733"/>
      <c r="E16" s="733"/>
      <c r="F16" s="733"/>
    </row>
    <row r="17" spans="2:6">
      <c r="B17" s="733"/>
      <c r="C17" s="733"/>
      <c r="D17" s="733"/>
      <c r="E17" s="733"/>
      <c r="F17" s="733"/>
    </row>
    <row r="18" spans="2:6">
      <c r="B18" s="733"/>
      <c r="C18" s="733"/>
      <c r="D18" s="733"/>
      <c r="E18" s="733"/>
      <c r="F18" s="733"/>
    </row>
    <row r="19" spans="2:6">
      <c r="B19" s="733"/>
      <c r="C19" s="733"/>
      <c r="D19" s="733"/>
      <c r="E19" s="733"/>
      <c r="F19" s="733"/>
    </row>
    <row r="20" spans="2:6" s="732" customFormat="1">
      <c r="B20" s="734" t="str">
        <f>[111]BS!F65</f>
        <v>Director 1</v>
      </c>
      <c r="C20" s="735"/>
      <c r="D20" s="734" t="str">
        <f>[111]BS!H65</f>
        <v>Director 2</v>
      </c>
      <c r="E20" s="734"/>
      <c r="F20" s="734"/>
    </row>
    <row r="21" spans="2:6">
      <c r="B21" s="733" t="str">
        <f>[111]BS!F66</f>
        <v>DIN: 08XXXX41</v>
      </c>
      <c r="D21" s="733" t="str">
        <f>[111]BS!H66</f>
        <v>DIN: 087XXXX2</v>
      </c>
      <c r="E21" s="733"/>
      <c r="F21" s="733"/>
    </row>
    <row r="22" spans="2:6">
      <c r="B22" s="733" t="str">
        <f>[111]BS!F67</f>
        <v>(Director)</v>
      </c>
      <c r="D22" s="733" t="str">
        <f>[111]BS!H67</f>
        <v>(Director)</v>
      </c>
      <c r="E22" s="733"/>
      <c r="F22" s="733"/>
    </row>
    <row r="23" spans="2:6">
      <c r="B23" s="733"/>
      <c r="C23" s="733"/>
      <c r="D23" s="733"/>
      <c r="E23" s="733"/>
      <c r="F23" s="733"/>
    </row>
    <row r="24" spans="2:6">
      <c r="B24" s="733" t="str">
        <f>[111]BS!B68</f>
        <v>Place</v>
      </c>
      <c r="C24" s="733"/>
      <c r="D24" s="733"/>
      <c r="E24" s="733"/>
      <c r="F24" s="733"/>
    </row>
    <row r="25" spans="2:6">
      <c r="B25" s="733" t="str">
        <f>[111]BS!B69</f>
        <v>Date</v>
      </c>
      <c r="C25" s="733"/>
      <c r="D25" s="733"/>
      <c r="E25" s="733"/>
      <c r="F25" s="733"/>
    </row>
    <row r="91" ht="36.75" customHeight="1"/>
  </sheetData>
  <mergeCells count="5">
    <mergeCell ref="B1:F1"/>
    <mergeCell ref="B2:F2"/>
    <mergeCell ref="B3:F3"/>
    <mergeCell ref="B5:F5"/>
    <mergeCell ref="B10:E10"/>
  </mergeCells>
  <pageMargins left="0.70866141732283505" right="0.70866141732283505" top="0.74803149606299202" bottom="0.74803149606299202" header="0.31496062992126" footer="0.31496062992126"/>
  <pageSetup paperSize="9" scale="88"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Y232"/>
  <sheetViews>
    <sheetView showGridLines="0" view="pageBreakPreview" topLeftCell="A223" zoomScaleNormal="85" zoomScaleSheetLayoutView="100" workbookViewId="0">
      <selection activeCell="C9" sqref="B9:M10"/>
    </sheetView>
  </sheetViews>
  <sheetFormatPr defaultColWidth="9.140625" defaultRowHeight="14.25"/>
  <cols>
    <col min="1" max="1" width="9.140625" style="725"/>
    <col min="2" max="2" width="2.28515625" style="725" customWidth="1"/>
    <col min="3" max="3" width="6.85546875" style="727" bestFit="1" customWidth="1"/>
    <col min="4" max="4" width="6.28515625" style="727" customWidth="1"/>
    <col min="5" max="5" width="8.7109375" style="727" customWidth="1"/>
    <col min="6" max="6" width="6.85546875" style="727" customWidth="1"/>
    <col min="7" max="7" width="11.140625" style="727" customWidth="1"/>
    <col min="8" max="8" width="10.7109375" style="727" customWidth="1"/>
    <col min="9" max="9" width="7.140625" style="727" customWidth="1"/>
    <col min="10" max="10" width="11.28515625" style="725" customWidth="1"/>
    <col min="11" max="11" width="10.5703125" style="725" customWidth="1"/>
    <col min="12" max="12" width="11" style="725" customWidth="1"/>
    <col min="13" max="13" width="10.7109375" style="725" customWidth="1"/>
    <col min="14" max="14" width="1.85546875" style="725" customWidth="1"/>
    <col min="15" max="15" width="9.140625" style="725"/>
    <col min="16" max="16" width="12.28515625" style="727" customWidth="1"/>
    <col min="17" max="17" width="14.5703125" style="738" bestFit="1" customWidth="1"/>
    <col min="18" max="18" width="14.140625" style="727" customWidth="1"/>
    <col min="19" max="19" width="12" style="727" customWidth="1"/>
    <col min="20" max="21" width="14" style="725" customWidth="1"/>
    <col min="22" max="16384" width="9.140625" style="725"/>
  </cols>
  <sheetData>
    <row r="1" spans="2:17">
      <c r="B1" s="1183" t="str">
        <f>Master!B10</f>
        <v>ABC PRIVATE LIMITED</v>
      </c>
      <c r="C1" s="1183"/>
      <c r="D1" s="1183"/>
      <c r="E1" s="1183"/>
      <c r="F1" s="1183"/>
      <c r="G1" s="1183"/>
      <c r="H1" s="1183"/>
      <c r="I1" s="1183"/>
      <c r="J1" s="1183"/>
      <c r="K1" s="1183"/>
      <c r="L1" s="1183"/>
      <c r="M1" s="1183"/>
      <c r="N1" s="1183"/>
      <c r="Q1" s="736"/>
    </row>
    <row r="2" spans="2:17" ht="16.5" customHeight="1">
      <c r="B2" s="1184" t="str">
        <f>Master!B11</f>
        <v>B-2, XXXXXXXXXXXX XXXXXXXXXXX0034</v>
      </c>
      <c r="C2" s="1184"/>
      <c r="D2" s="1184"/>
      <c r="E2" s="1184"/>
      <c r="F2" s="1184"/>
      <c r="G2" s="1184"/>
      <c r="H2" s="1184"/>
      <c r="I2" s="1184"/>
      <c r="J2" s="1184"/>
      <c r="K2" s="1184"/>
      <c r="L2" s="1184"/>
      <c r="M2" s="1184"/>
      <c r="N2" s="1184"/>
      <c r="Q2" s="736"/>
    </row>
    <row r="3" spans="2:17" ht="16.5" customHeight="1">
      <c r="B3" s="1184" t="str">
        <f>SH.List!B3</f>
        <v>CIN : U7XXXXXXXXXXXXXXXXX52</v>
      </c>
      <c r="C3" s="1184"/>
      <c r="D3" s="1184"/>
      <c r="E3" s="1184"/>
      <c r="F3" s="1184"/>
      <c r="G3" s="1184"/>
      <c r="H3" s="1184"/>
      <c r="I3" s="1184"/>
      <c r="J3" s="1184"/>
      <c r="K3" s="1184"/>
      <c r="L3" s="1184"/>
      <c r="M3" s="1184"/>
      <c r="N3" s="1184"/>
      <c r="Q3" s="736"/>
    </row>
    <row r="4" spans="2:17" ht="16.5" customHeight="1">
      <c r="B4" s="683"/>
      <c r="C4" s="918"/>
      <c r="D4" s="685"/>
      <c r="E4" s="685"/>
      <c r="F4" s="685"/>
      <c r="G4" s="685"/>
      <c r="H4" s="685"/>
      <c r="I4" s="685"/>
      <c r="J4" s="683"/>
      <c r="K4" s="683"/>
      <c r="L4" s="683"/>
      <c r="M4" s="683"/>
      <c r="N4" s="683"/>
      <c r="Q4" s="736"/>
    </row>
    <row r="5" spans="2:17" ht="16.5" customHeight="1">
      <c r="B5" s="683"/>
      <c r="C5" s="918"/>
      <c r="D5" s="685"/>
      <c r="E5" s="685"/>
      <c r="F5" s="685"/>
      <c r="G5" s="685"/>
      <c r="H5" s="685"/>
      <c r="I5" s="685"/>
      <c r="J5" s="683"/>
      <c r="K5" s="683"/>
      <c r="L5" s="683"/>
      <c r="M5" s="919" t="str">
        <f>"Date: "&amp;TEXT(Master!B61,"mmm dd, yyyy")</f>
        <v>Date: Sep 01, 2023</v>
      </c>
      <c r="N5" s="683"/>
      <c r="Q5" s="736"/>
    </row>
    <row r="6" spans="2:17">
      <c r="B6" s="683"/>
      <c r="C6" s="919" t="s">
        <v>1020</v>
      </c>
      <c r="D6" s="920"/>
      <c r="E6" s="920"/>
      <c r="F6" s="920"/>
      <c r="G6" s="920"/>
      <c r="H6" s="920"/>
      <c r="I6" s="920"/>
      <c r="J6" s="920"/>
      <c r="K6" s="920"/>
      <c r="L6" s="920"/>
      <c r="M6" s="920"/>
      <c r="N6" s="683"/>
    </row>
    <row r="7" spans="2:17">
      <c r="B7" s="683"/>
      <c r="C7" s="685"/>
      <c r="D7" s="1185" t="str">
        <f>Master!B54</f>
        <v>A XXXXXXXXXXXociates</v>
      </c>
      <c r="E7" s="1185"/>
      <c r="F7" s="1185"/>
      <c r="G7" s="1185"/>
      <c r="H7" s="1185"/>
      <c r="I7" s="1185"/>
      <c r="J7" s="683"/>
      <c r="K7" s="683"/>
      <c r="L7" s="683"/>
      <c r="M7" s="683"/>
      <c r="N7" s="683"/>
    </row>
    <row r="8" spans="2:17">
      <c r="B8" s="683"/>
      <c r="C8" s="685"/>
      <c r="D8" s="1186" t="s">
        <v>1021</v>
      </c>
      <c r="E8" s="1186"/>
      <c r="F8" s="1186"/>
      <c r="G8" s="1186"/>
      <c r="H8" s="1186"/>
      <c r="I8" s="1186"/>
      <c r="J8" s="683"/>
      <c r="K8" s="683"/>
      <c r="L8" s="683"/>
      <c r="M8" s="683"/>
      <c r="N8" s="683"/>
    </row>
    <row r="9" spans="2:17" ht="16.5" customHeight="1">
      <c r="B9" s="683"/>
      <c r="C9" s="685"/>
      <c r="D9" s="1187" t="str">
        <f>Master!B55</f>
        <v>UG A-1XXXXXXXXXXXXXXXXXXXXXXXXXXXXXX,Haryana-131023</v>
      </c>
      <c r="E9" s="1187"/>
      <c r="F9" s="1187"/>
      <c r="G9" s="1187"/>
      <c r="H9" s="1187"/>
      <c r="I9" s="1187"/>
      <c r="J9" s="683"/>
      <c r="K9" s="683"/>
      <c r="L9" s="683"/>
      <c r="M9" s="683"/>
      <c r="N9" s="683"/>
    </row>
    <row r="10" spans="2:17">
      <c r="B10" s="683"/>
      <c r="C10" s="685"/>
      <c r="D10" s="1187"/>
      <c r="E10" s="1187"/>
      <c r="F10" s="1187"/>
      <c r="G10" s="1187"/>
      <c r="H10" s="1187"/>
      <c r="I10" s="1187"/>
      <c r="J10" s="683"/>
      <c r="K10" s="683"/>
      <c r="L10" s="683"/>
      <c r="M10" s="683"/>
      <c r="N10" s="683"/>
    </row>
    <row r="11" spans="2:17">
      <c r="B11" s="683"/>
      <c r="C11" s="683"/>
      <c r="D11" s="683"/>
      <c r="E11" s="683"/>
      <c r="F11" s="683"/>
      <c r="G11" s="683"/>
      <c r="H11" s="683"/>
      <c r="I11" s="683"/>
      <c r="J11" s="683"/>
      <c r="K11" s="683"/>
      <c r="L11" s="683"/>
      <c r="M11" s="683"/>
      <c r="N11" s="683"/>
    </row>
    <row r="12" spans="2:17">
      <c r="B12" s="683"/>
      <c r="C12" s="923" t="s">
        <v>1022</v>
      </c>
      <c r="D12" s="1185" t="str">
        <f>"Statutory Audit of "&amp;PROPER(Master!$B$10)&amp;" for the year ended "&amp;TEXT(Master!B5,"mmmm yy"&amp;".")</f>
        <v>Statutory Audit of Abc Private Limited for the year ended March 23.</v>
      </c>
      <c r="E12" s="1185"/>
      <c r="F12" s="1185"/>
      <c r="G12" s="1185"/>
      <c r="H12" s="1185"/>
      <c r="I12" s="1185"/>
      <c r="J12" s="1185"/>
      <c r="K12" s="1185"/>
      <c r="L12" s="1185"/>
      <c r="M12" s="1185"/>
      <c r="N12" s="683"/>
    </row>
    <row r="13" spans="2:17">
      <c r="B13" s="683"/>
      <c r="C13" s="683"/>
      <c r="D13" s="683"/>
      <c r="E13" s="683"/>
      <c r="F13" s="683"/>
      <c r="G13" s="683"/>
      <c r="H13" s="683"/>
      <c r="I13" s="683"/>
      <c r="J13" s="683"/>
      <c r="K13" s="683"/>
      <c r="L13" s="683"/>
      <c r="M13" s="683"/>
      <c r="N13" s="683"/>
    </row>
    <row r="14" spans="2:17">
      <c r="B14" s="683"/>
      <c r="C14" s="923" t="s">
        <v>1023</v>
      </c>
      <c r="D14" s="1185" t="s">
        <v>1024</v>
      </c>
      <c r="E14" s="1185"/>
      <c r="F14" s="1185"/>
      <c r="G14" s="1185"/>
      <c r="H14" s="1185"/>
      <c r="I14" s="1185"/>
      <c r="J14" s="1185"/>
      <c r="K14" s="1185"/>
      <c r="L14" s="1185"/>
      <c r="M14" s="1185"/>
      <c r="N14" s="683"/>
    </row>
    <row r="15" spans="2:17">
      <c r="B15" s="683"/>
      <c r="C15" s="683"/>
      <c r="D15" s="683"/>
      <c r="E15" s="683"/>
      <c r="F15" s="683"/>
      <c r="G15" s="683"/>
      <c r="H15" s="683"/>
      <c r="I15" s="683"/>
      <c r="J15" s="683"/>
      <c r="K15" s="683"/>
      <c r="L15" s="683"/>
      <c r="M15" s="683"/>
      <c r="N15" s="683"/>
    </row>
    <row r="16" spans="2:17">
      <c r="B16" s="683"/>
      <c r="C16" s="939" t="s">
        <v>1025</v>
      </c>
      <c r="D16" s="683"/>
      <c r="E16" s="683"/>
      <c r="F16" s="683"/>
      <c r="G16" s="683"/>
      <c r="H16" s="683"/>
      <c r="I16" s="683"/>
      <c r="J16" s="683"/>
      <c r="K16" s="683"/>
      <c r="L16" s="683"/>
      <c r="M16" s="683"/>
      <c r="N16" s="683"/>
    </row>
    <row r="17" spans="2:14" ht="91.5" customHeight="1">
      <c r="B17" s="683"/>
      <c r="C17" s="1189" t="str">
        <f>CONCATENATE("This representation letter is provided in connection with your audit of the financial Statements for the year ended 31st March, "&amp;Master!F5&amp;" forthe purpose of expressing anopinion as to whether the financial statements"," give a true and fair view of the financial position and of the results of the operations of the Company for the year then ended. We acknowledge our responsibility for preparation"," of the financial statements in accordance with the requirements of the Companies Act, 2013 and recognized accounting policies and practices, including the Accounting Standards notified under section 133 of Companies Act, 2013.")</f>
        <v>This representation letter is provided in connection with your audit of the financial Statements for the year ended 31st March, 2023 forthe purpose of expressing anopinion as to whether the financial statements give a true and fair view of the financial position and of the results of the operations of the Company for the year then ended. We acknowledge our responsibility for preparation of the financial statements in accordance with the requirements of the Companies Act, 2013 and recognized accounting policies and practices, including the Accounting Standards notified under section 133 of Companies Act, 2013.</v>
      </c>
      <c r="D17" s="1189"/>
      <c r="E17" s="1189"/>
      <c r="F17" s="1189"/>
      <c r="G17" s="1189"/>
      <c r="H17" s="1189"/>
      <c r="I17" s="1189"/>
      <c r="J17" s="1189"/>
      <c r="K17" s="1189"/>
      <c r="L17" s="1189"/>
      <c r="M17" s="1189"/>
      <c r="N17" s="683"/>
    </row>
    <row r="18" spans="2:14">
      <c r="B18" s="683"/>
      <c r="C18" s="1189"/>
      <c r="D18" s="1189"/>
      <c r="E18" s="1189"/>
      <c r="F18" s="1189"/>
      <c r="G18" s="1189"/>
      <c r="H18" s="1189"/>
      <c r="I18" s="1189"/>
      <c r="J18" s="1189"/>
      <c r="K18" s="1189"/>
      <c r="L18" s="1189"/>
      <c r="M18" s="1189"/>
      <c r="N18" s="683"/>
    </row>
    <row r="19" spans="2:14" ht="150" customHeight="1">
      <c r="B19" s="683"/>
      <c r="C19" s="1189" t="s">
        <v>1026</v>
      </c>
      <c r="D19" s="1189"/>
      <c r="E19" s="1189"/>
      <c r="F19" s="1189"/>
      <c r="G19" s="1189"/>
      <c r="H19" s="1189"/>
      <c r="I19" s="1189"/>
      <c r="J19" s="1189"/>
      <c r="K19" s="1189"/>
      <c r="L19" s="1189"/>
      <c r="M19" s="1189"/>
      <c r="N19" s="683"/>
    </row>
    <row r="20" spans="2:14">
      <c r="B20" s="683"/>
      <c r="C20" s="1189"/>
      <c r="D20" s="1189"/>
      <c r="E20" s="1189"/>
      <c r="F20" s="1189"/>
      <c r="G20" s="1189"/>
      <c r="H20" s="1189"/>
      <c r="I20" s="1189"/>
      <c r="J20" s="1189"/>
      <c r="K20" s="1189"/>
      <c r="L20" s="1189"/>
      <c r="M20" s="1189"/>
      <c r="N20" s="683"/>
    </row>
    <row r="21" spans="2:14">
      <c r="B21" s="683"/>
      <c r="C21" s="1189" t="s">
        <v>1027</v>
      </c>
      <c r="D21" s="1189"/>
      <c r="E21" s="1189"/>
      <c r="F21" s="1189"/>
      <c r="G21" s="1189"/>
      <c r="H21" s="1189"/>
      <c r="I21" s="1189"/>
      <c r="J21" s="1189"/>
      <c r="K21" s="1189"/>
      <c r="L21" s="1189"/>
      <c r="M21" s="1189"/>
      <c r="N21" s="683"/>
    </row>
    <row r="22" spans="2:14">
      <c r="B22" s="683"/>
      <c r="C22" s="924"/>
      <c r="D22" s="924"/>
      <c r="E22" s="924"/>
      <c r="F22" s="924"/>
      <c r="G22" s="924"/>
      <c r="H22" s="924"/>
      <c r="I22" s="924"/>
      <c r="J22" s="924"/>
      <c r="K22" s="924"/>
      <c r="L22" s="924"/>
      <c r="M22" s="924"/>
      <c r="N22" s="683"/>
    </row>
    <row r="23" spans="2:14">
      <c r="B23" s="683"/>
      <c r="C23" s="1190" t="s">
        <v>1028</v>
      </c>
      <c r="D23" s="1190"/>
      <c r="E23" s="1190"/>
      <c r="F23" s="1190"/>
      <c r="G23" s="1190"/>
      <c r="H23" s="1190"/>
      <c r="I23" s="1190"/>
      <c r="J23" s="1190"/>
      <c r="K23" s="1190"/>
      <c r="L23" s="1190"/>
      <c r="M23" s="1190"/>
      <c r="N23" s="683"/>
    </row>
    <row r="24" spans="2:14" ht="100.5" customHeight="1">
      <c r="B24" s="683"/>
      <c r="C24" s="925" t="s">
        <v>1029</v>
      </c>
      <c r="D24" s="1189" t="s">
        <v>1030</v>
      </c>
      <c r="E24" s="1189"/>
      <c r="F24" s="1189"/>
      <c r="G24" s="1189"/>
      <c r="H24" s="1189"/>
      <c r="I24" s="1189"/>
      <c r="J24" s="1189"/>
      <c r="K24" s="1189"/>
      <c r="L24" s="1189"/>
      <c r="M24" s="1189"/>
      <c r="N24" s="683"/>
    </row>
    <row r="25" spans="2:14" ht="33" customHeight="1">
      <c r="B25" s="683"/>
      <c r="C25" s="925" t="s">
        <v>1031</v>
      </c>
      <c r="D25" s="1189" t="s">
        <v>1032</v>
      </c>
      <c r="E25" s="1189"/>
      <c r="F25" s="1189"/>
      <c r="G25" s="1189"/>
      <c r="H25" s="1189"/>
      <c r="I25" s="1189"/>
      <c r="J25" s="1189"/>
      <c r="K25" s="1189"/>
      <c r="L25" s="1189"/>
      <c r="M25" s="1189"/>
      <c r="N25" s="683"/>
    </row>
    <row r="26" spans="2:14" ht="49.5" customHeight="1">
      <c r="B26" s="683"/>
      <c r="C26" s="925" t="s">
        <v>1033</v>
      </c>
      <c r="D26" s="1189" t="str">
        <f>"We confirm that accounting policies as disclosed in the Note No."&amp;BS!E48&amp;" are true and correct and being consistently followed by the Company. There is no deviation in the accounting policies from the accounting policies disclosed in the financial statements."</f>
        <v>We confirm that accounting policies as disclosed in the Note No.1 are true and correct and being consistently followed by the Company. There is no deviation in the accounting policies from the accounting policies disclosed in the financial statements.</v>
      </c>
      <c r="E26" s="1189"/>
      <c r="F26" s="1189"/>
      <c r="G26" s="1189"/>
      <c r="H26" s="1189"/>
      <c r="I26" s="1189"/>
      <c r="J26" s="1189"/>
      <c r="K26" s="1189"/>
      <c r="L26" s="1189"/>
      <c r="M26" s="1189"/>
      <c r="N26" s="683"/>
    </row>
    <row r="27" spans="2:14">
      <c r="B27" s="683"/>
      <c r="C27" s="925" t="s">
        <v>1034</v>
      </c>
      <c r="D27" s="1189" t="s">
        <v>1035</v>
      </c>
      <c r="E27" s="1189"/>
      <c r="F27" s="1189"/>
      <c r="G27" s="1189"/>
      <c r="H27" s="1189"/>
      <c r="I27" s="1189"/>
      <c r="J27" s="1189"/>
      <c r="K27" s="1189"/>
      <c r="L27" s="1189"/>
      <c r="M27" s="1189"/>
      <c r="N27" s="683"/>
    </row>
    <row r="28" spans="2:14">
      <c r="B28" s="683"/>
      <c r="C28" s="925" t="s">
        <v>1036</v>
      </c>
      <c r="D28" s="1189" t="s">
        <v>1037</v>
      </c>
      <c r="E28" s="1189"/>
      <c r="F28" s="1189"/>
      <c r="G28" s="1189"/>
      <c r="H28" s="1189"/>
      <c r="I28" s="1189"/>
      <c r="J28" s="1189"/>
      <c r="K28" s="1189"/>
      <c r="L28" s="1189"/>
      <c r="M28" s="1189"/>
      <c r="N28" s="683"/>
    </row>
    <row r="29" spans="2:14" ht="33" customHeight="1">
      <c r="B29" s="683"/>
      <c r="C29" s="925"/>
      <c r="D29" s="685" t="s">
        <v>1038</v>
      </c>
      <c r="E29" s="1191" t="s">
        <v>1039</v>
      </c>
      <c r="F29" s="1191"/>
      <c r="G29" s="1191"/>
      <c r="H29" s="1191"/>
      <c r="I29" s="1191"/>
      <c r="J29" s="1191"/>
      <c r="K29" s="1191"/>
      <c r="L29" s="1191"/>
      <c r="M29" s="1191"/>
      <c r="N29" s="683"/>
    </row>
    <row r="30" spans="2:14" ht="17.25" customHeight="1">
      <c r="B30" s="683"/>
      <c r="C30" s="925"/>
      <c r="D30" s="685" t="s">
        <v>1040</v>
      </c>
      <c r="E30" s="1191" t="s">
        <v>1041</v>
      </c>
      <c r="F30" s="1191"/>
      <c r="G30" s="1191"/>
      <c r="H30" s="1191"/>
      <c r="I30" s="1191"/>
      <c r="J30" s="1191"/>
      <c r="K30" s="1191"/>
      <c r="L30" s="1191"/>
      <c r="M30" s="1191"/>
      <c r="N30" s="683"/>
    </row>
    <row r="31" spans="2:14" ht="33" customHeight="1">
      <c r="B31" s="683"/>
      <c r="C31" s="925"/>
      <c r="D31" s="685" t="s">
        <v>1042</v>
      </c>
      <c r="E31" s="1191" t="s">
        <v>1043</v>
      </c>
      <c r="F31" s="1191"/>
      <c r="G31" s="1191"/>
      <c r="H31" s="1191"/>
      <c r="I31" s="1191"/>
      <c r="J31" s="1191"/>
      <c r="K31" s="1191"/>
      <c r="L31" s="1191"/>
      <c r="M31" s="1191"/>
      <c r="N31" s="683"/>
    </row>
    <row r="32" spans="2:14">
      <c r="B32" s="683"/>
      <c r="C32" s="925"/>
      <c r="D32" s="924"/>
      <c r="E32" s="924"/>
      <c r="F32" s="924"/>
      <c r="G32" s="924"/>
      <c r="H32" s="924"/>
      <c r="I32" s="924"/>
      <c r="J32" s="924"/>
      <c r="K32" s="924"/>
      <c r="L32" s="924"/>
      <c r="M32" s="924"/>
      <c r="N32" s="683"/>
    </row>
    <row r="33" spans="2:14">
      <c r="B33" s="683"/>
      <c r="C33" s="927" t="s">
        <v>1044</v>
      </c>
      <c r="D33" s="924"/>
      <c r="E33" s="924"/>
      <c r="F33" s="924"/>
      <c r="G33" s="924"/>
      <c r="H33" s="924"/>
      <c r="I33" s="924"/>
      <c r="J33" s="924"/>
      <c r="K33" s="924"/>
      <c r="L33" s="924"/>
      <c r="M33" s="924"/>
      <c r="N33" s="683"/>
    </row>
    <row r="34" spans="2:14">
      <c r="B34" s="683"/>
      <c r="C34" s="928" t="s">
        <v>1045</v>
      </c>
      <c r="D34" s="924"/>
      <c r="E34" s="924"/>
      <c r="F34" s="924"/>
      <c r="G34" s="924"/>
      <c r="H34" s="924"/>
      <c r="I34" s="924"/>
      <c r="J34" s="924"/>
      <c r="K34" s="924"/>
      <c r="L34" s="924"/>
      <c r="M34" s="924"/>
      <c r="N34" s="683"/>
    </row>
    <row r="35" spans="2:14">
      <c r="B35" s="683"/>
      <c r="C35" s="928" t="s">
        <v>155</v>
      </c>
      <c r="D35" s="924"/>
      <c r="E35" s="924"/>
      <c r="F35" s="924"/>
      <c r="G35" s="924"/>
      <c r="H35" s="924"/>
      <c r="I35" s="924"/>
      <c r="J35" s="924"/>
      <c r="K35" s="924"/>
      <c r="L35" s="924"/>
      <c r="M35" s="924"/>
      <c r="N35" s="683"/>
    </row>
    <row r="36" spans="2:14" ht="33" customHeight="1">
      <c r="B36" s="683"/>
      <c r="C36" s="925" t="s">
        <v>1029</v>
      </c>
      <c r="D36" s="1191" t="str">
        <f>"The Authorized Share Capital of the Company is Rs. "&amp;TEXT('Sch - liab (2)'!C7*Master!$C$17, "##,###")&amp;"/- divided into "&amp;TEXT('Sch - liab (2)'!B7*Master!$C$17,"##,###")&amp;" number of Equity Shares of Rs. "&amp;Master!B30&amp;"/- each."</f>
        <v>The Authorized Share Capital of the Company is Rs. 10,00,000/- divided into 1,00,000 number of Equity Shares of Rs. 10/- each.</v>
      </c>
      <c r="E36" s="1189"/>
      <c r="F36" s="1189"/>
      <c r="G36" s="1189"/>
      <c r="H36" s="1189"/>
      <c r="I36" s="1189"/>
      <c r="J36" s="1189"/>
      <c r="K36" s="1189"/>
      <c r="L36" s="1189"/>
      <c r="M36" s="1189"/>
      <c r="N36" s="683"/>
    </row>
    <row r="37" spans="2:14" ht="33" customHeight="1">
      <c r="B37" s="683"/>
      <c r="C37" s="925" t="s">
        <v>1031</v>
      </c>
      <c r="D37" s="1191" t="str">
        <f>"The Issued, Subscribed &amp; Paid up Share Capital of the Company is Rs. "&amp;TEXT('Sch - liab (2)'!C10*Master!$C$17, "##,###")&amp;"/- divided into "&amp;TEXT('Sch - liab (2)'!B10*Master!$C$17,"##,###")&amp;" number of Equity Shares of Rs. "&amp;Master!B30&amp;"/- each."</f>
        <v>The Issued, Subscribed &amp; Paid up Share Capital of the Company is Rs. 10,00,000/- divided into 1,00,000 number of Equity Shares of Rs. 10/- each.</v>
      </c>
      <c r="E37" s="1189"/>
      <c r="F37" s="1189"/>
      <c r="G37" s="1189"/>
      <c r="H37" s="1189"/>
      <c r="I37" s="1189"/>
      <c r="J37" s="1189"/>
      <c r="K37" s="1189"/>
      <c r="L37" s="1189"/>
      <c r="M37" s="1189"/>
      <c r="N37" s="683"/>
    </row>
    <row r="38" spans="2:14" ht="29.25" customHeight="1">
      <c r="B38" s="683"/>
      <c r="C38" s="925" t="s">
        <v>1033</v>
      </c>
      <c r="D38" s="1191" t="str">
        <f>"Following are the details of Shareholders holding more than 5% shareholding as on 31st March, "&amp;Master!F5&amp;": (Figures in "&amp;RIGHT(Master!$B$17,FIND(".",Master!$B$17,1)+2)&amp;")"</f>
        <v>Following are the details of Shareholders holding more than 5% shareholding as on 31st March, 2023: (Figures in housands)</v>
      </c>
      <c r="E38" s="1189"/>
      <c r="F38" s="1189"/>
      <c r="G38" s="1189"/>
      <c r="H38" s="1189"/>
      <c r="I38" s="1189"/>
      <c r="J38" s="1189"/>
      <c r="K38" s="1189"/>
      <c r="L38" s="1189"/>
      <c r="M38" s="1189"/>
      <c r="N38" s="683"/>
    </row>
    <row r="39" spans="2:14">
      <c r="B39" s="683"/>
      <c r="C39" s="683"/>
      <c r="D39" s="1192" t="s">
        <v>1046</v>
      </c>
      <c r="E39" s="1192"/>
      <c r="F39" s="1192"/>
      <c r="G39" s="1192"/>
      <c r="H39" s="1192"/>
      <c r="I39" s="1192"/>
      <c r="J39" s="1192" t="str">
        <f>"As at "&amp;TEXT(Master!B5,"mmm yy")</f>
        <v>As at Mar 23</v>
      </c>
      <c r="K39" s="1192"/>
      <c r="L39" s="1192" t="str">
        <f>"As at "&amp;TEXT(Master!B6,"mmm yy")</f>
        <v>As at Mar 22</v>
      </c>
      <c r="M39" s="1192"/>
      <c r="N39" s="683"/>
    </row>
    <row r="40" spans="2:14" ht="49.5" customHeight="1">
      <c r="B40" s="683"/>
      <c r="C40" s="683"/>
      <c r="D40" s="1192"/>
      <c r="E40" s="1192"/>
      <c r="F40" s="1192"/>
      <c r="G40" s="1192"/>
      <c r="H40" s="1192"/>
      <c r="I40" s="1192"/>
      <c r="J40" s="930" t="s">
        <v>1047</v>
      </c>
      <c r="K40" s="929" t="s">
        <v>0</v>
      </c>
      <c r="L40" s="930" t="s">
        <v>1047</v>
      </c>
      <c r="M40" s="929" t="s">
        <v>0</v>
      </c>
      <c r="N40" s="683"/>
    </row>
    <row r="41" spans="2:14">
      <c r="B41" s="683"/>
      <c r="C41" s="683"/>
      <c r="D41" s="1188" t="str">
        <f>'Sch - liab (2)'!A16</f>
        <v>ABC</v>
      </c>
      <c r="E41" s="1188"/>
      <c r="F41" s="1188"/>
      <c r="G41" s="1188"/>
      <c r="H41" s="1188"/>
      <c r="I41" s="1188"/>
      <c r="J41" s="931">
        <f>'Sch - liab (2)'!B16</f>
        <v>85.85</v>
      </c>
      <c r="K41" s="932">
        <f>J41/SUM($J$41:$J$42)</f>
        <v>0.93376114857515768</v>
      </c>
      <c r="L41" s="931">
        <f>J41</f>
        <v>85.85</v>
      </c>
      <c r="M41" s="932">
        <f>L41/SUM($L$41:$L$42)</f>
        <v>0.93376114857515768</v>
      </c>
      <c r="N41" s="683"/>
    </row>
    <row r="42" spans="2:14">
      <c r="B42" s="683"/>
      <c r="C42" s="683"/>
      <c r="D42" s="1188" t="str">
        <f>'Sch - liab (2)'!A17</f>
        <v>ABC</v>
      </c>
      <c r="E42" s="1188"/>
      <c r="F42" s="1188"/>
      <c r="G42" s="1188"/>
      <c r="H42" s="1188"/>
      <c r="I42" s="1188"/>
      <c r="J42" s="931">
        <f>'Sch - liab (2)'!B17</f>
        <v>6.09</v>
      </c>
      <c r="K42" s="932">
        <f>J42/SUM($J$41:$J$42)</f>
        <v>6.6238851424842288E-2</v>
      </c>
      <c r="L42" s="931">
        <f>J42</f>
        <v>6.09</v>
      </c>
      <c r="M42" s="932">
        <f>L42/SUM($L$41:$L$42)</f>
        <v>6.6238851424842288E-2</v>
      </c>
      <c r="N42" s="683"/>
    </row>
    <row r="43" spans="2:14">
      <c r="B43" s="683"/>
      <c r="C43" s="925" t="s">
        <v>1034</v>
      </c>
      <c r="D43" s="1191" t="str">
        <f>"Reconciliation of Numbers of Shares:"&amp;" (Figures in "&amp;RIGHT(Master!$B$17,FIND(".",Master!$B$17,1)+2)&amp;")"</f>
        <v>Reconciliation of Numbers of Shares: (Figures in housands)</v>
      </c>
      <c r="E43" s="1189"/>
      <c r="F43" s="1189"/>
      <c r="G43" s="1189"/>
      <c r="H43" s="1189"/>
      <c r="I43" s="1189"/>
      <c r="J43" s="1189"/>
      <c r="K43" s="1189"/>
      <c r="L43" s="1189"/>
      <c r="M43" s="1189"/>
      <c r="N43" s="683"/>
    </row>
    <row r="44" spans="2:14">
      <c r="B44" s="683"/>
      <c r="C44" s="683"/>
      <c r="D44" s="1192" t="s">
        <v>63</v>
      </c>
      <c r="E44" s="1192"/>
      <c r="F44" s="1192"/>
      <c r="G44" s="1192"/>
      <c r="H44" s="1192" t="s">
        <v>1048</v>
      </c>
      <c r="I44" s="1192"/>
      <c r="J44" s="1192"/>
      <c r="K44" s="1192" t="s">
        <v>1049</v>
      </c>
      <c r="L44" s="1192"/>
      <c r="M44" s="1192"/>
      <c r="N44" s="683"/>
    </row>
    <row r="45" spans="2:14">
      <c r="B45" s="683"/>
      <c r="C45" s="683"/>
      <c r="D45" s="1192"/>
      <c r="E45" s="1192"/>
      <c r="F45" s="1192"/>
      <c r="G45" s="1192"/>
      <c r="H45" s="929" t="s">
        <v>1050</v>
      </c>
      <c r="I45" s="1192" t="s">
        <v>107</v>
      </c>
      <c r="J45" s="1192"/>
      <c r="K45" s="929" t="s">
        <v>1050</v>
      </c>
      <c r="L45" s="1192" t="s">
        <v>107</v>
      </c>
      <c r="M45" s="1192"/>
      <c r="N45" s="683"/>
    </row>
    <row r="46" spans="2:14" ht="34.5" customHeight="1">
      <c r="B46" s="683"/>
      <c r="C46" s="683"/>
      <c r="D46" s="1197" t="s">
        <v>1051</v>
      </c>
      <c r="E46" s="1197"/>
      <c r="F46" s="1197"/>
      <c r="G46" s="1197"/>
      <c r="H46" s="933">
        <f>'Sch - liab (2)'!$A$42/Master!B30</f>
        <v>9.7540000000000013</v>
      </c>
      <c r="I46" s="1194">
        <f>H46*Master!$B$30</f>
        <v>97.54000000000002</v>
      </c>
      <c r="J46" s="1194"/>
      <c r="K46" s="933">
        <v>0</v>
      </c>
      <c r="L46" s="1195">
        <v>0</v>
      </c>
      <c r="M46" s="1196"/>
      <c r="N46" s="683"/>
    </row>
    <row r="47" spans="2:14">
      <c r="B47" s="683"/>
      <c r="C47" s="683"/>
      <c r="D47" s="1193" t="s">
        <v>1052</v>
      </c>
      <c r="E47" s="1193"/>
      <c r="F47" s="1193"/>
      <c r="G47" s="1193"/>
      <c r="H47" s="933">
        <f>IF('Sch - liab (2)'!$D$42&gt;0,'Sch - liab (2)'!$D$42,0)/Master!$B$30</f>
        <v>0</v>
      </c>
      <c r="I47" s="1194">
        <f>H47*Master!$B$30</f>
        <v>0</v>
      </c>
      <c r="J47" s="1194"/>
      <c r="K47" s="933">
        <v>0</v>
      </c>
      <c r="L47" s="1195">
        <v>0</v>
      </c>
      <c r="M47" s="1196"/>
      <c r="N47" s="683"/>
    </row>
    <row r="48" spans="2:14">
      <c r="B48" s="683"/>
      <c r="C48" s="683"/>
      <c r="D48" s="1193" t="s">
        <v>1053</v>
      </c>
      <c r="E48" s="1193"/>
      <c r="F48" s="1193"/>
      <c r="G48" s="1193"/>
      <c r="H48" s="933">
        <f>IF('Sch - liab (2)'!$D$42&lt;0,'Sch - liab (2)'!$D$42,0)/Master!$B$30</f>
        <v>0</v>
      </c>
      <c r="I48" s="1194">
        <f>H48*Master!$B$30</f>
        <v>0</v>
      </c>
      <c r="J48" s="1194"/>
      <c r="K48" s="933">
        <v>0</v>
      </c>
      <c r="L48" s="1195">
        <v>0</v>
      </c>
      <c r="M48" s="1196"/>
      <c r="N48" s="683"/>
    </row>
    <row r="49" spans="2:17">
      <c r="B49" s="683"/>
      <c r="C49" s="683"/>
      <c r="D49" s="1197" t="s">
        <v>1054</v>
      </c>
      <c r="E49" s="1197"/>
      <c r="F49" s="1197"/>
      <c r="G49" s="1197"/>
      <c r="H49" s="933">
        <f>SUM($H$46:$H$47)-H48</f>
        <v>9.7540000000000013</v>
      </c>
      <c r="I49" s="1194">
        <f>H49*Master!$B$30</f>
        <v>97.54000000000002</v>
      </c>
      <c r="J49" s="1194"/>
      <c r="K49" s="933">
        <v>0</v>
      </c>
      <c r="L49" s="1195">
        <v>0</v>
      </c>
      <c r="M49" s="1196"/>
      <c r="N49" s="683"/>
    </row>
    <row r="50" spans="2:17">
      <c r="B50" s="683"/>
      <c r="C50" s="683"/>
      <c r="D50" s="683"/>
      <c r="E50" s="683"/>
      <c r="F50" s="683"/>
      <c r="G50" s="683"/>
      <c r="H50" s="683"/>
      <c r="I50" s="683"/>
      <c r="J50" s="683"/>
      <c r="K50" s="683"/>
      <c r="L50" s="683"/>
      <c r="M50" s="683"/>
      <c r="N50" s="683"/>
    </row>
    <row r="51" spans="2:17">
      <c r="B51" s="683"/>
      <c r="C51" s="928" t="s">
        <v>421</v>
      </c>
      <c r="D51" s="683"/>
      <c r="E51" s="683"/>
      <c r="F51" s="683"/>
      <c r="G51" s="683"/>
      <c r="H51" s="683"/>
      <c r="I51" s="683"/>
      <c r="J51" s="683"/>
      <c r="K51" s="683"/>
      <c r="L51" s="683"/>
      <c r="M51" s="683"/>
      <c r="N51" s="683"/>
    </row>
    <row r="52" spans="2:17" ht="40.5" customHeight="1">
      <c r="B52" s="683"/>
      <c r="C52" s="1189" t="s">
        <v>1055</v>
      </c>
      <c r="D52" s="1189"/>
      <c r="E52" s="1189"/>
      <c r="F52" s="1189"/>
      <c r="G52" s="1189"/>
      <c r="H52" s="1189"/>
      <c r="I52" s="1189"/>
      <c r="J52" s="1189"/>
      <c r="K52" s="1189"/>
      <c r="L52" s="1189"/>
      <c r="M52" s="1189"/>
      <c r="N52" s="683"/>
    </row>
    <row r="53" spans="2:17">
      <c r="B53" s="683"/>
      <c r="C53" s="683"/>
      <c r="D53" s="683"/>
      <c r="E53" s="683"/>
      <c r="F53" s="683"/>
      <c r="G53" s="683"/>
      <c r="H53" s="683"/>
      <c r="I53" s="683"/>
      <c r="J53" s="683"/>
      <c r="K53" s="683"/>
      <c r="L53" s="683"/>
      <c r="M53" s="683"/>
      <c r="N53" s="683"/>
    </row>
    <row r="54" spans="2:17">
      <c r="B54" s="683"/>
      <c r="C54" s="928" t="s">
        <v>1056</v>
      </c>
      <c r="D54" s="683"/>
      <c r="E54" s="683"/>
      <c r="F54" s="683"/>
      <c r="G54" s="683"/>
      <c r="H54" s="683"/>
      <c r="I54" s="683"/>
      <c r="J54" s="683"/>
      <c r="K54" s="683"/>
      <c r="L54" s="683"/>
      <c r="M54" s="683"/>
      <c r="N54" s="683"/>
    </row>
    <row r="55" spans="2:17" ht="50.25" customHeight="1">
      <c r="B55" s="683"/>
      <c r="C55" s="1189" t="s">
        <v>1057</v>
      </c>
      <c r="D55" s="1189"/>
      <c r="E55" s="1189"/>
      <c r="F55" s="1189"/>
      <c r="G55" s="1189"/>
      <c r="H55" s="1189"/>
      <c r="I55" s="1189"/>
      <c r="J55" s="1189"/>
      <c r="K55" s="1189"/>
      <c r="L55" s="1189"/>
      <c r="M55" s="1189"/>
      <c r="N55" s="683"/>
    </row>
    <row r="56" spans="2:17">
      <c r="B56" s="683"/>
      <c r="C56" s="683"/>
      <c r="D56" s="683"/>
      <c r="E56" s="683"/>
      <c r="F56" s="683"/>
      <c r="G56" s="683"/>
      <c r="H56" s="683"/>
      <c r="I56" s="683"/>
      <c r="J56" s="683"/>
      <c r="K56" s="683"/>
      <c r="L56" s="683"/>
      <c r="M56" s="683"/>
      <c r="N56" s="683"/>
    </row>
    <row r="57" spans="2:17">
      <c r="B57" s="683"/>
      <c r="C57" s="934" t="s">
        <v>1058</v>
      </c>
      <c r="D57" s="683"/>
      <c r="E57" s="683"/>
      <c r="F57" s="683"/>
      <c r="G57" s="683"/>
      <c r="H57" s="683"/>
      <c r="I57" s="683"/>
      <c r="J57" s="683"/>
      <c r="K57" s="683"/>
      <c r="L57" s="683"/>
      <c r="M57" s="683"/>
      <c r="N57" s="683"/>
    </row>
    <row r="58" spans="2:17" ht="42.75" customHeight="1">
      <c r="B58" s="683"/>
      <c r="C58" s="925" t="s">
        <v>1029</v>
      </c>
      <c r="D58" s="1189" t="str">
        <f>"In our opinion, the provision for all the known liabilities including all losses expected to arise from events which had occurred by 31st March, "&amp;YEAR(Master!B5)&amp;" are adequate and are not in excess of the amount reasonably necessary."</f>
        <v>In our opinion, the provision for all the known liabilities including all losses expected to arise from events which had occurred by 31st March, 2023 are adequate and are not in excess of the amount reasonably necessary.</v>
      </c>
      <c r="E58" s="1189"/>
      <c r="F58" s="1189"/>
      <c r="G58" s="1189"/>
      <c r="H58" s="1189"/>
      <c r="I58" s="1189"/>
      <c r="J58" s="1189"/>
      <c r="K58" s="1189"/>
      <c r="L58" s="1189"/>
      <c r="M58" s="1189"/>
      <c r="N58" s="683"/>
    </row>
    <row r="59" spans="2:17" ht="49.5" customHeight="1">
      <c r="B59" s="683"/>
      <c r="C59" s="925" t="s">
        <v>1031</v>
      </c>
      <c r="D59" s="1189" t="s">
        <v>1059</v>
      </c>
      <c r="E59" s="1189"/>
      <c r="F59" s="1189"/>
      <c r="G59" s="1189"/>
      <c r="H59" s="1189"/>
      <c r="I59" s="1189"/>
      <c r="J59" s="1189"/>
      <c r="K59" s="1189"/>
      <c r="L59" s="1189"/>
      <c r="M59" s="1189"/>
      <c r="N59" s="683"/>
    </row>
    <row r="60" spans="2:17" ht="37.5" customHeight="1">
      <c r="B60" s="683"/>
      <c r="C60" s="925" t="s">
        <v>1033</v>
      </c>
      <c r="D60" s="1189" t="str">
        <f ca="1">"Provision for Current Income Tax computed as per provisions of the Income Tax Act, 1961 amounting to Rs. "&amp;TEXT(PL!$F$37*Master!C17, "##,###")&amp;" has been charged to Statement of  Profit &amp; Loss and considered to be adequate."</f>
        <v>Provision for Current Income Tax computed as per provisions of the Income Tax Act, 1961 amounting to Rs.  has been charged to Statement of  Profit &amp; Loss and considered to be adequate.</v>
      </c>
      <c r="E60" s="1189"/>
      <c r="F60" s="1189"/>
      <c r="G60" s="1189"/>
      <c r="H60" s="1189"/>
      <c r="I60" s="1189"/>
      <c r="J60" s="1189"/>
      <c r="K60" s="1189"/>
      <c r="L60" s="1189"/>
      <c r="M60" s="1189"/>
      <c r="N60" s="683"/>
    </row>
    <row r="61" spans="2:17">
      <c r="B61" s="683"/>
      <c r="C61" s="683"/>
      <c r="D61" s="683"/>
      <c r="E61" s="683"/>
      <c r="F61" s="683"/>
      <c r="G61" s="683"/>
      <c r="H61" s="683"/>
      <c r="I61" s="683"/>
      <c r="J61" s="683"/>
      <c r="K61" s="683"/>
      <c r="L61" s="683"/>
      <c r="M61" s="683"/>
      <c r="N61" s="683"/>
    </row>
    <row r="62" spans="2:17">
      <c r="B62" s="683"/>
      <c r="C62" s="934" t="s">
        <v>1060</v>
      </c>
      <c r="D62" s="683"/>
      <c r="E62" s="683"/>
      <c r="F62" s="683"/>
      <c r="G62" s="683"/>
      <c r="H62" s="683"/>
      <c r="I62" s="683"/>
      <c r="J62" s="683"/>
      <c r="K62" s="683"/>
      <c r="L62" s="683"/>
      <c r="M62" s="683"/>
      <c r="N62" s="683"/>
    </row>
    <row r="63" spans="2:17" ht="34.5" customHeight="1">
      <c r="B63" s="683"/>
      <c r="C63" s="1191" t="str">
        <f>"Deferred Tax  Liabilities/(Assets)  amounting to Rs. "&amp;TEXT(Q63, "##,###")&amp;" has been accounted during the year as per the provisions of AS 22- Accounting for Taxes on Income and considered to be adequate."</f>
        <v>Deferred Tax  Liabilities/(Assets)  amounting to Rs. 37,20,947 has been accounted during the year as per the provisions of AS 22- Accounting for Taxes on Income and considered to be adequate.</v>
      </c>
      <c r="D63" s="1191"/>
      <c r="E63" s="1191"/>
      <c r="F63" s="1191"/>
      <c r="G63" s="1191"/>
      <c r="H63" s="1191"/>
      <c r="I63" s="1191"/>
      <c r="J63" s="1191"/>
      <c r="K63" s="1191"/>
      <c r="L63" s="1191"/>
      <c r="M63" s="1191"/>
      <c r="N63" s="683"/>
      <c r="P63" s="727">
        <f>PL!$F$38*Master!$C$17</f>
        <v>3720947.399999999</v>
      </c>
      <c r="Q63" s="738">
        <f>IF(P63&lt;&gt;0, P63, "NIL")</f>
        <v>3720947.399999999</v>
      </c>
    </row>
    <row r="64" spans="2:17" ht="33" customHeight="1">
      <c r="B64" s="683"/>
      <c r="C64" s="1191" t="s">
        <v>1061</v>
      </c>
      <c r="D64" s="1191"/>
      <c r="E64" s="1191"/>
      <c r="F64" s="1191"/>
      <c r="G64" s="1191"/>
      <c r="H64" s="1191"/>
      <c r="I64" s="1191"/>
      <c r="J64" s="1191"/>
      <c r="K64" s="1191"/>
      <c r="L64" s="1191"/>
      <c r="M64" s="1191"/>
      <c r="N64" s="683"/>
    </row>
    <row r="65" spans="2:25">
      <c r="B65" s="683"/>
      <c r="C65" s="683"/>
      <c r="D65" s="683"/>
      <c r="E65" s="683"/>
      <c r="F65" s="683"/>
      <c r="G65" s="683"/>
      <c r="H65" s="683"/>
      <c r="I65" s="683"/>
      <c r="J65" s="683"/>
      <c r="K65" s="683"/>
      <c r="L65" s="683"/>
      <c r="M65" s="683"/>
      <c r="N65" s="683"/>
    </row>
    <row r="66" spans="2:25">
      <c r="B66" s="683"/>
      <c r="C66" s="920" t="s">
        <v>75</v>
      </c>
      <c r="D66" s="683"/>
      <c r="E66" s="683"/>
      <c r="F66" s="683"/>
      <c r="G66" s="683"/>
      <c r="H66" s="683"/>
      <c r="I66" s="683"/>
      <c r="J66" s="683"/>
      <c r="K66" s="683"/>
      <c r="L66" s="683"/>
      <c r="M66" s="683"/>
      <c r="N66" s="683"/>
    </row>
    <row r="67" spans="2:25" ht="50.25" customHeight="1">
      <c r="B67" s="683"/>
      <c r="C67" s="1191" t="s">
        <v>1062</v>
      </c>
      <c r="D67" s="1191"/>
      <c r="E67" s="1191"/>
      <c r="F67" s="1191"/>
      <c r="G67" s="1191"/>
      <c r="H67" s="1191"/>
      <c r="I67" s="1191"/>
      <c r="J67" s="1191"/>
      <c r="K67" s="1191"/>
      <c r="L67" s="1191"/>
      <c r="M67" s="1191"/>
      <c r="N67" s="683"/>
    </row>
    <row r="68" spans="2:25" ht="39.75" customHeight="1">
      <c r="B68" s="683"/>
      <c r="C68" s="1191" t="s">
        <v>1063</v>
      </c>
      <c r="D68" s="1191"/>
      <c r="E68" s="1191"/>
      <c r="F68" s="1191"/>
      <c r="G68" s="1191"/>
      <c r="H68" s="1191"/>
      <c r="I68" s="1191"/>
      <c r="J68" s="1191"/>
      <c r="K68" s="1191"/>
      <c r="L68" s="1191"/>
      <c r="M68" s="1191"/>
      <c r="N68" s="683"/>
    </row>
    <row r="69" spans="2:25" ht="34.5" customHeight="1">
      <c r="B69" s="683"/>
      <c r="C69" s="1191" t="s">
        <v>1064</v>
      </c>
      <c r="D69" s="1191"/>
      <c r="E69" s="1191"/>
      <c r="F69" s="1191"/>
      <c r="G69" s="1191"/>
      <c r="H69" s="1191"/>
      <c r="I69" s="1191"/>
      <c r="J69" s="1191"/>
      <c r="K69" s="1191"/>
      <c r="L69" s="1191"/>
      <c r="M69" s="1191"/>
      <c r="N69" s="683"/>
    </row>
    <row r="70" spans="2:25">
      <c r="B70" s="683"/>
      <c r="C70" s="683"/>
      <c r="D70" s="683"/>
      <c r="E70" s="683"/>
      <c r="F70" s="683"/>
      <c r="G70" s="683"/>
      <c r="H70" s="683"/>
      <c r="I70" s="683"/>
      <c r="J70" s="683"/>
      <c r="K70" s="683"/>
      <c r="L70" s="683"/>
      <c r="M70" s="683"/>
      <c r="N70" s="683"/>
    </row>
    <row r="71" spans="2:25">
      <c r="B71" s="683"/>
      <c r="C71" s="934" t="s">
        <v>1065</v>
      </c>
      <c r="D71" s="683"/>
      <c r="E71" s="683"/>
      <c r="F71" s="683"/>
      <c r="G71" s="683"/>
      <c r="H71" s="683"/>
      <c r="I71" s="683"/>
      <c r="J71" s="683"/>
      <c r="K71" s="683"/>
      <c r="L71" s="683"/>
      <c r="M71" s="683"/>
      <c r="N71" s="683"/>
    </row>
    <row r="72" spans="2:25">
      <c r="B72" s="683"/>
      <c r="C72" s="925" t="s">
        <v>1029</v>
      </c>
      <c r="D72" s="1198" t="s">
        <v>1066</v>
      </c>
      <c r="E72" s="1198"/>
      <c r="F72" s="1198"/>
      <c r="G72" s="1198"/>
      <c r="H72" s="1198"/>
      <c r="I72" s="1198"/>
      <c r="J72" s="1198"/>
      <c r="K72" s="1198"/>
      <c r="L72" s="1198"/>
      <c r="M72" s="1198"/>
      <c r="N72" s="683"/>
    </row>
    <row r="73" spans="2:25" ht="49.5" customHeight="1">
      <c r="B73" s="683"/>
      <c r="C73" s="925" t="s">
        <v>1031</v>
      </c>
      <c r="D73" s="1198" t="s">
        <v>1067</v>
      </c>
      <c r="E73" s="1198"/>
      <c r="F73" s="1198"/>
      <c r="G73" s="1198"/>
      <c r="H73" s="1198"/>
      <c r="I73" s="1198"/>
      <c r="J73" s="1198"/>
      <c r="K73" s="1198"/>
      <c r="L73" s="1198"/>
      <c r="M73" s="1198"/>
      <c r="N73" s="683"/>
    </row>
    <row r="74" spans="2:25">
      <c r="B74" s="683"/>
      <c r="C74" s="925" t="s">
        <v>1033</v>
      </c>
      <c r="D74" s="1198" t="s">
        <v>1068</v>
      </c>
      <c r="E74" s="1198"/>
      <c r="F74" s="1198"/>
      <c r="G74" s="1198"/>
      <c r="H74" s="1198"/>
      <c r="I74" s="1198"/>
      <c r="J74" s="1198"/>
      <c r="K74" s="1198"/>
      <c r="L74" s="1198"/>
      <c r="M74" s="1198"/>
      <c r="N74" s="683"/>
    </row>
    <row r="75" spans="2:25" ht="33" customHeight="1">
      <c r="B75" s="683"/>
      <c r="C75" s="925"/>
      <c r="D75" s="925" t="s">
        <v>1069</v>
      </c>
      <c r="E75" s="1191" t="s">
        <v>1070</v>
      </c>
      <c r="F75" s="1189"/>
      <c r="G75" s="1189"/>
      <c r="H75" s="1189"/>
      <c r="I75" s="1189"/>
      <c r="J75" s="1189"/>
      <c r="K75" s="1189"/>
      <c r="L75" s="1189"/>
      <c r="M75" s="1189"/>
      <c r="N75" s="683"/>
    </row>
    <row r="76" spans="2:25">
      <c r="B76" s="683"/>
      <c r="C76" s="925"/>
      <c r="D76" s="925" t="s">
        <v>1071</v>
      </c>
      <c r="E76" s="1191" t="s">
        <v>1072</v>
      </c>
      <c r="F76" s="1191"/>
      <c r="G76" s="1191"/>
      <c r="H76" s="1191"/>
      <c r="I76" s="1191"/>
      <c r="J76" s="1191"/>
      <c r="K76" s="1191"/>
      <c r="L76" s="1191"/>
      <c r="M76" s="1191"/>
      <c r="N76" s="683"/>
    </row>
    <row r="77" spans="2:25" ht="33" customHeight="1">
      <c r="B77" s="683"/>
      <c r="C77" s="925"/>
      <c r="D77" s="925" t="s">
        <v>1073</v>
      </c>
      <c r="E77" s="1191" t="s">
        <v>1074</v>
      </c>
      <c r="F77" s="1191"/>
      <c r="G77" s="1191"/>
      <c r="H77" s="1191"/>
      <c r="I77" s="1191"/>
      <c r="J77" s="1191"/>
      <c r="K77" s="1191"/>
      <c r="L77" s="1191"/>
      <c r="M77" s="1191"/>
      <c r="N77" s="683"/>
    </row>
    <row r="78" spans="2:25" ht="30.75" customHeight="1">
      <c r="B78" s="683"/>
      <c r="C78" s="925"/>
      <c r="D78" s="925" t="s">
        <v>1075</v>
      </c>
      <c r="E78" s="1191" t="s">
        <v>1076</v>
      </c>
      <c r="F78" s="1191"/>
      <c r="G78" s="1191"/>
      <c r="H78" s="1191"/>
      <c r="I78" s="1191"/>
      <c r="J78" s="1191"/>
      <c r="K78" s="1191"/>
      <c r="L78" s="1191"/>
      <c r="M78" s="1191"/>
      <c r="N78" s="683"/>
    </row>
    <row r="79" spans="2:25" ht="27.75" customHeight="1">
      <c r="B79" s="683"/>
      <c r="C79" s="925" t="s">
        <v>1034</v>
      </c>
      <c r="D79" s="1198" t="s">
        <v>1077</v>
      </c>
      <c r="E79" s="1198"/>
      <c r="F79" s="1198"/>
      <c r="G79" s="1198"/>
      <c r="H79" s="1198"/>
      <c r="I79" s="1198"/>
      <c r="J79" s="1198"/>
      <c r="K79" s="1198"/>
      <c r="L79" s="1198"/>
      <c r="M79" s="1198"/>
      <c r="N79" s="683"/>
      <c r="P79" s="1199" t="s">
        <v>1078</v>
      </c>
      <c r="Q79" s="1199"/>
      <c r="R79" s="1199"/>
      <c r="S79" s="1199"/>
      <c r="T79" s="1199"/>
      <c r="U79" s="1199"/>
      <c r="V79" s="1199"/>
      <c r="W79" s="1199"/>
      <c r="X79" s="1199"/>
      <c r="Y79" s="1199"/>
    </row>
    <row r="80" spans="2:25" ht="40.5" customHeight="1">
      <c r="B80" s="683"/>
      <c r="C80" s="925" t="s">
        <v>1036</v>
      </c>
      <c r="D80" s="1198" t="s">
        <v>1079</v>
      </c>
      <c r="E80" s="1198"/>
      <c r="F80" s="1198"/>
      <c r="G80" s="1198"/>
      <c r="H80" s="1198"/>
      <c r="I80" s="1198"/>
      <c r="J80" s="1198"/>
      <c r="K80" s="1198"/>
      <c r="L80" s="1198"/>
      <c r="M80" s="1198"/>
      <c r="N80" s="683"/>
    </row>
    <row r="81" spans="2:14">
      <c r="B81" s="683"/>
      <c r="C81" s="683"/>
      <c r="D81" s="683"/>
      <c r="E81" s="683"/>
      <c r="F81" s="683"/>
      <c r="G81" s="683"/>
      <c r="H81" s="683"/>
      <c r="I81" s="683"/>
      <c r="J81" s="683"/>
      <c r="K81" s="683"/>
      <c r="L81" s="683"/>
      <c r="M81" s="683"/>
      <c r="N81" s="683"/>
    </row>
    <row r="82" spans="2:14">
      <c r="B82" s="683"/>
      <c r="C82" s="934" t="s">
        <v>1080</v>
      </c>
      <c r="D82" s="683"/>
      <c r="E82" s="683"/>
      <c r="F82" s="683"/>
      <c r="G82" s="683"/>
      <c r="H82" s="683"/>
      <c r="I82" s="683"/>
      <c r="J82" s="683"/>
      <c r="K82" s="683"/>
      <c r="L82" s="683"/>
      <c r="M82" s="683"/>
      <c r="N82" s="683"/>
    </row>
    <row r="83" spans="2:14" ht="54.75" customHeight="1">
      <c r="B83" s="683"/>
      <c r="C83" s="925" t="s">
        <v>1029</v>
      </c>
      <c r="D83" s="1200" t="s">
        <v>1739</v>
      </c>
      <c r="E83" s="1200"/>
      <c r="F83" s="1200"/>
      <c r="G83" s="1200"/>
      <c r="H83" s="1200"/>
      <c r="I83" s="1200"/>
      <c r="J83" s="1200"/>
      <c r="K83" s="1200"/>
      <c r="L83" s="1200"/>
      <c r="M83" s="1200"/>
      <c r="N83" s="683"/>
    </row>
    <row r="84" spans="2:14" ht="42" customHeight="1">
      <c r="B84" s="683"/>
      <c r="C84" s="925" t="s">
        <v>1031</v>
      </c>
      <c r="D84" s="1198" t="s">
        <v>1740</v>
      </c>
      <c r="E84" s="1198"/>
      <c r="F84" s="1198"/>
      <c r="G84" s="1198"/>
      <c r="H84" s="1198"/>
      <c r="I84" s="1198"/>
      <c r="J84" s="1198"/>
      <c r="K84" s="1198"/>
      <c r="L84" s="1198"/>
      <c r="M84" s="1198"/>
      <c r="N84" s="683"/>
    </row>
    <row r="85" spans="2:14" ht="33" customHeight="1">
      <c r="B85" s="683"/>
      <c r="C85" s="925" t="s">
        <v>1033</v>
      </c>
      <c r="D85" s="1198" t="s">
        <v>1081</v>
      </c>
      <c r="E85" s="1198"/>
      <c r="F85" s="1198"/>
      <c r="G85" s="1198"/>
      <c r="H85" s="1198"/>
      <c r="I85" s="1198"/>
      <c r="J85" s="1198"/>
      <c r="K85" s="1198"/>
      <c r="L85" s="1198"/>
      <c r="M85" s="1198"/>
      <c r="N85" s="683"/>
    </row>
    <row r="86" spans="2:14">
      <c r="B86" s="683"/>
      <c r="C86" s="683"/>
      <c r="D86" s="683"/>
      <c r="E86" s="683"/>
      <c r="F86" s="683"/>
      <c r="G86" s="683"/>
      <c r="H86" s="683"/>
      <c r="I86" s="683"/>
      <c r="J86" s="683"/>
      <c r="K86" s="683"/>
      <c r="L86" s="683"/>
      <c r="M86" s="683"/>
      <c r="N86" s="683"/>
    </row>
    <row r="87" spans="2:14">
      <c r="B87" s="683"/>
      <c r="C87" s="934" t="s">
        <v>1082</v>
      </c>
      <c r="D87" s="683"/>
      <c r="E87" s="683"/>
      <c r="F87" s="683"/>
      <c r="G87" s="683"/>
      <c r="H87" s="683"/>
      <c r="I87" s="683"/>
      <c r="J87" s="683"/>
      <c r="K87" s="683"/>
      <c r="L87" s="683"/>
      <c r="M87" s="683"/>
      <c r="N87" s="683"/>
    </row>
    <row r="88" spans="2:14" ht="41.25" customHeight="1">
      <c r="B88" s="683"/>
      <c r="C88" s="925" t="s">
        <v>1029</v>
      </c>
      <c r="D88" s="1198" t="s">
        <v>1083</v>
      </c>
      <c r="E88" s="1198"/>
      <c r="F88" s="1198"/>
      <c r="G88" s="1198"/>
      <c r="H88" s="1198"/>
      <c r="I88" s="1198"/>
      <c r="J88" s="1198"/>
      <c r="K88" s="1198"/>
      <c r="L88" s="1198"/>
      <c r="M88" s="1198"/>
      <c r="N88" s="683"/>
    </row>
    <row r="89" spans="2:14" ht="33" customHeight="1">
      <c r="B89" s="683"/>
      <c r="C89" s="925" t="s">
        <v>1031</v>
      </c>
      <c r="D89" s="1198" t="s">
        <v>1084</v>
      </c>
      <c r="E89" s="1198"/>
      <c r="F89" s="1198"/>
      <c r="G89" s="1198"/>
      <c r="H89" s="1198"/>
      <c r="I89" s="1198"/>
      <c r="J89" s="1198"/>
      <c r="K89" s="1198"/>
      <c r="L89" s="1198"/>
      <c r="M89" s="1198"/>
      <c r="N89" s="683"/>
    </row>
    <row r="90" spans="2:14">
      <c r="B90" s="683"/>
      <c r="C90" s="925"/>
      <c r="D90" s="925" t="s">
        <v>1069</v>
      </c>
      <c r="E90" s="1191" t="s">
        <v>1085</v>
      </c>
      <c r="F90" s="1189"/>
      <c r="G90" s="1189"/>
      <c r="H90" s="1189"/>
      <c r="I90" s="1189"/>
      <c r="J90" s="1189"/>
      <c r="K90" s="1189"/>
      <c r="L90" s="1189"/>
      <c r="M90" s="1189"/>
      <c r="N90" s="683"/>
    </row>
    <row r="91" spans="2:14" ht="33" customHeight="1">
      <c r="B91" s="683"/>
      <c r="C91" s="925"/>
      <c r="D91" s="925" t="s">
        <v>1071</v>
      </c>
      <c r="E91" s="1191" t="s">
        <v>1086</v>
      </c>
      <c r="F91" s="1189"/>
      <c r="G91" s="1189"/>
      <c r="H91" s="1189"/>
      <c r="I91" s="1189"/>
      <c r="J91" s="1189"/>
      <c r="K91" s="1189"/>
      <c r="L91" s="1189"/>
      <c r="M91" s="1189"/>
      <c r="N91" s="683"/>
    </row>
    <row r="92" spans="2:14">
      <c r="B92" s="683"/>
      <c r="C92" s="925"/>
      <c r="D92" s="925" t="s">
        <v>1073</v>
      </c>
      <c r="E92" s="1191" t="s">
        <v>1087</v>
      </c>
      <c r="F92" s="1189"/>
      <c r="G92" s="1189"/>
      <c r="H92" s="1189"/>
      <c r="I92" s="1189"/>
      <c r="J92" s="1189"/>
      <c r="K92" s="1189"/>
      <c r="L92" s="1189"/>
      <c r="M92" s="1189"/>
      <c r="N92" s="683"/>
    </row>
    <row r="93" spans="2:14" ht="33" customHeight="1">
      <c r="B93" s="683"/>
      <c r="C93" s="925" t="s">
        <v>1033</v>
      </c>
      <c r="D93" s="1198" t="s">
        <v>1088</v>
      </c>
      <c r="E93" s="1198"/>
      <c r="F93" s="1198"/>
      <c r="G93" s="1198"/>
      <c r="H93" s="1198"/>
      <c r="I93" s="1198"/>
      <c r="J93" s="1198"/>
      <c r="K93" s="1198"/>
      <c r="L93" s="1198"/>
      <c r="M93" s="1198"/>
      <c r="N93" s="683"/>
    </row>
    <row r="94" spans="2:14">
      <c r="B94" s="683"/>
      <c r="C94" s="925" t="s">
        <v>1034</v>
      </c>
      <c r="D94" s="1198" t="s">
        <v>1089</v>
      </c>
      <c r="E94" s="1198"/>
      <c r="F94" s="1198"/>
      <c r="G94" s="1198"/>
      <c r="H94" s="1198"/>
      <c r="I94" s="1198"/>
      <c r="J94" s="1198"/>
      <c r="K94" s="1198"/>
      <c r="L94" s="1198"/>
      <c r="M94" s="1198"/>
      <c r="N94" s="683"/>
    </row>
    <row r="95" spans="2:14" ht="39" customHeight="1">
      <c r="B95" s="683"/>
      <c r="C95" s="925" t="s">
        <v>1036</v>
      </c>
      <c r="D95" s="1198" t="s">
        <v>1090</v>
      </c>
      <c r="E95" s="1198"/>
      <c r="F95" s="1198"/>
      <c r="G95" s="1198"/>
      <c r="H95" s="1198"/>
      <c r="I95" s="1198"/>
      <c r="J95" s="1198"/>
      <c r="K95" s="1198"/>
      <c r="L95" s="1198"/>
      <c r="M95" s="1198"/>
      <c r="N95" s="683"/>
    </row>
    <row r="96" spans="2:14" ht="33" customHeight="1">
      <c r="B96" s="683"/>
      <c r="C96" s="925" t="s">
        <v>1091</v>
      </c>
      <c r="D96" s="1198" t="s">
        <v>1741</v>
      </c>
      <c r="E96" s="1198"/>
      <c r="F96" s="1198"/>
      <c r="G96" s="1198"/>
      <c r="H96" s="1198"/>
      <c r="I96" s="1198"/>
      <c r="J96" s="1198"/>
      <c r="K96" s="1198"/>
      <c r="L96" s="1198"/>
      <c r="M96" s="1198"/>
      <c r="N96" s="683"/>
    </row>
    <row r="97" spans="2:19">
      <c r="B97" s="683"/>
      <c r="C97" s="936"/>
      <c r="D97" s="936"/>
      <c r="E97" s="935"/>
      <c r="F97" s="935"/>
      <c r="G97" s="935"/>
      <c r="H97" s="935"/>
      <c r="I97" s="935"/>
      <c r="J97" s="935"/>
      <c r="K97" s="935"/>
      <c r="L97" s="935"/>
      <c r="M97" s="935"/>
      <c r="N97" s="683"/>
    </row>
    <row r="98" spans="2:19">
      <c r="B98" s="683"/>
      <c r="C98" s="928" t="s">
        <v>1092</v>
      </c>
      <c r="D98" s="936"/>
      <c r="E98" s="935"/>
      <c r="F98" s="935"/>
      <c r="G98" s="935"/>
      <c r="H98" s="935"/>
      <c r="I98" s="935"/>
      <c r="J98" s="935"/>
      <c r="K98" s="935"/>
      <c r="L98" s="935"/>
      <c r="M98" s="935"/>
      <c r="N98" s="683"/>
    </row>
    <row r="99" spans="2:19" ht="69" customHeight="1">
      <c r="B99" s="683"/>
      <c r="C99" s="925" t="s">
        <v>1029</v>
      </c>
      <c r="D99" s="1201" t="s">
        <v>1093</v>
      </c>
      <c r="E99" s="1198"/>
      <c r="F99" s="1198"/>
      <c r="G99" s="1198"/>
      <c r="H99" s="1198"/>
      <c r="I99" s="1198"/>
      <c r="J99" s="1198"/>
      <c r="K99" s="1198"/>
      <c r="L99" s="1198"/>
      <c r="M99" s="1198"/>
      <c r="N99" s="683"/>
    </row>
    <row r="100" spans="2:19" ht="34.5" customHeight="1">
      <c r="B100" s="683"/>
      <c r="C100" s="925" t="s">
        <v>1031</v>
      </c>
      <c r="D100" s="1191" t="str">
        <f>"The bifurcation of trade receivables outstanding for more than six months and other debtors (Considered good) as on 31st March, "&amp;Master!F5&amp;" is as under:"</f>
        <v>The bifurcation of trade receivables outstanding for more than six months and other debtors (Considered good) as on 31st March, 2023 is as under:</v>
      </c>
      <c r="E100" s="1189"/>
      <c r="F100" s="1189"/>
      <c r="G100" s="1189"/>
      <c r="H100" s="1189"/>
      <c r="I100" s="1189"/>
      <c r="J100" s="1189"/>
      <c r="K100" s="1189"/>
      <c r="L100" s="1189"/>
      <c r="M100" s="1189"/>
      <c r="N100" s="683"/>
    </row>
    <row r="101" spans="2:19" ht="28.5" customHeight="1">
      <c r="B101" s="683"/>
      <c r="C101" s="936"/>
      <c r="D101" s="1204" t="s">
        <v>63</v>
      </c>
      <c r="E101" s="1204"/>
      <c r="F101" s="1204"/>
      <c r="G101" s="1204"/>
      <c r="H101" s="1204"/>
      <c r="I101" s="1204"/>
      <c r="J101" s="1205" t="str">
        <f>"Amount "&amp;Master!B17</f>
        <v>Amount In Rs. Thousands</v>
      </c>
      <c r="K101" s="1205"/>
      <c r="L101" s="683"/>
      <c r="M101" s="683"/>
      <c r="N101" s="683"/>
    </row>
    <row r="102" spans="2:19">
      <c r="B102" s="683"/>
      <c r="C102" s="936"/>
      <c r="D102" s="1206" t="s">
        <v>1094</v>
      </c>
      <c r="E102" s="1206"/>
      <c r="F102" s="1206"/>
      <c r="G102" s="1206"/>
      <c r="H102" s="1206"/>
      <c r="I102" s="1206"/>
      <c r="J102" s="1194">
        <f>SUM('Sch-Debtor_Creditors'!C34:F34)</f>
        <v>477</v>
      </c>
      <c r="K102" s="1194"/>
      <c r="L102" s="683"/>
      <c r="M102" s="683"/>
      <c r="N102" s="683"/>
    </row>
    <row r="103" spans="2:19">
      <c r="B103" s="683"/>
      <c r="C103" s="936"/>
      <c r="D103" s="1206" t="s">
        <v>1095</v>
      </c>
      <c r="E103" s="1206"/>
      <c r="F103" s="1206"/>
      <c r="G103" s="1206"/>
      <c r="H103" s="1206"/>
      <c r="I103" s="1206"/>
      <c r="J103" s="1194">
        <f>'Sch-Debtor_Creditors'!$G$34-MRL!J102</f>
        <v>234</v>
      </c>
      <c r="K103" s="1194"/>
      <c r="L103" s="683"/>
      <c r="M103" s="683"/>
      <c r="N103" s="683"/>
    </row>
    <row r="104" spans="2:19" s="732" customFormat="1">
      <c r="B104" s="934"/>
      <c r="C104" s="928"/>
      <c r="D104" s="1202" t="s">
        <v>88</v>
      </c>
      <c r="E104" s="1202"/>
      <c r="F104" s="1202"/>
      <c r="G104" s="1202"/>
      <c r="H104" s="1202"/>
      <c r="I104" s="1202"/>
      <c r="J104" s="1203">
        <f>SUM(J102:K103)</f>
        <v>711</v>
      </c>
      <c r="K104" s="1203"/>
      <c r="L104" s="938"/>
      <c r="M104" s="938"/>
      <c r="N104" s="934"/>
      <c r="P104" s="735"/>
      <c r="Q104" s="743"/>
      <c r="R104" s="735"/>
      <c r="S104" s="735"/>
    </row>
    <row r="105" spans="2:19">
      <c r="B105" s="683"/>
      <c r="C105" s="925" t="s">
        <v>1033</v>
      </c>
      <c r="D105" s="1191" t="s">
        <v>1096</v>
      </c>
      <c r="E105" s="1189"/>
      <c r="F105" s="1189"/>
      <c r="G105" s="1189"/>
      <c r="H105" s="1189"/>
      <c r="I105" s="1189"/>
      <c r="J105" s="1189"/>
      <c r="K105" s="1189"/>
      <c r="L105" s="1189"/>
      <c r="M105" s="1189"/>
      <c r="N105" s="683"/>
    </row>
    <row r="106" spans="2:19">
      <c r="B106" s="683"/>
      <c r="C106" s="936"/>
      <c r="D106" s="925" t="s">
        <v>1038</v>
      </c>
      <c r="E106" s="1191" t="s">
        <v>1097</v>
      </c>
      <c r="F106" s="1189"/>
      <c r="G106" s="1189"/>
      <c r="H106" s="1189"/>
      <c r="I106" s="1189"/>
      <c r="J106" s="1189"/>
      <c r="K106" s="1189"/>
      <c r="L106" s="1189"/>
      <c r="M106" s="1189"/>
      <c r="N106" s="683"/>
    </row>
    <row r="107" spans="2:19">
      <c r="B107" s="683"/>
      <c r="C107" s="936"/>
      <c r="D107" s="925" t="s">
        <v>1040</v>
      </c>
      <c r="E107" s="1191" t="s">
        <v>1098</v>
      </c>
      <c r="F107" s="1189"/>
      <c r="G107" s="1189"/>
      <c r="H107" s="1189"/>
      <c r="I107" s="1189"/>
      <c r="J107" s="1189"/>
      <c r="K107" s="1189"/>
      <c r="L107" s="1189"/>
      <c r="M107" s="1189"/>
      <c r="N107" s="683"/>
    </row>
    <row r="108" spans="2:19">
      <c r="B108" s="683"/>
      <c r="C108" s="936"/>
      <c r="D108" s="925" t="s">
        <v>1042</v>
      </c>
      <c r="E108" s="1191" t="s">
        <v>1099</v>
      </c>
      <c r="F108" s="1189"/>
      <c r="G108" s="1189"/>
      <c r="H108" s="1189"/>
      <c r="I108" s="1189"/>
      <c r="J108" s="1189"/>
      <c r="K108" s="1189"/>
      <c r="L108" s="1189"/>
      <c r="M108" s="1189"/>
      <c r="N108" s="683"/>
    </row>
    <row r="109" spans="2:19">
      <c r="B109" s="683"/>
      <c r="C109" s="925" t="s">
        <v>1034</v>
      </c>
      <c r="D109" s="1191" t="s">
        <v>1100</v>
      </c>
      <c r="E109" s="1189"/>
      <c r="F109" s="1189"/>
      <c r="G109" s="1189"/>
      <c r="H109" s="1189"/>
      <c r="I109" s="1189"/>
      <c r="J109" s="1189"/>
      <c r="K109" s="1189"/>
      <c r="L109" s="1189"/>
      <c r="M109" s="1189"/>
      <c r="N109" s="683"/>
    </row>
    <row r="110" spans="2:19">
      <c r="B110" s="683"/>
      <c r="C110" s="936"/>
      <c r="D110" s="925" t="s">
        <v>1038</v>
      </c>
      <c r="E110" s="1191" t="s">
        <v>1101</v>
      </c>
      <c r="F110" s="1189"/>
      <c r="G110" s="1189"/>
      <c r="H110" s="1189"/>
      <c r="I110" s="1189"/>
      <c r="J110" s="1189"/>
      <c r="K110" s="1189"/>
      <c r="L110" s="1189"/>
      <c r="M110" s="1189"/>
      <c r="N110" s="683"/>
    </row>
    <row r="111" spans="2:19">
      <c r="B111" s="683"/>
      <c r="C111" s="936"/>
      <c r="D111" s="925" t="s">
        <v>1040</v>
      </c>
      <c r="E111" s="1191" t="s">
        <v>1102</v>
      </c>
      <c r="F111" s="1189"/>
      <c r="G111" s="1189"/>
      <c r="H111" s="1189"/>
      <c r="I111" s="1189"/>
      <c r="J111" s="1189"/>
      <c r="K111" s="1189"/>
      <c r="L111" s="1189"/>
      <c r="M111" s="1189"/>
      <c r="N111" s="683"/>
    </row>
    <row r="112" spans="2:19">
      <c r="B112" s="683"/>
      <c r="C112" s="936"/>
      <c r="D112" s="925" t="s">
        <v>1042</v>
      </c>
      <c r="E112" s="1191" t="s">
        <v>1103</v>
      </c>
      <c r="F112" s="1189"/>
      <c r="G112" s="1189"/>
      <c r="H112" s="1189"/>
      <c r="I112" s="1189"/>
      <c r="J112" s="1189"/>
      <c r="K112" s="1189"/>
      <c r="L112" s="1189"/>
      <c r="M112" s="1189"/>
      <c r="N112" s="683"/>
    </row>
    <row r="113" spans="2:14" ht="39.75" customHeight="1">
      <c r="B113" s="683"/>
      <c r="C113" s="925" t="s">
        <v>1036</v>
      </c>
      <c r="D113" s="1191" t="s">
        <v>1104</v>
      </c>
      <c r="E113" s="1189"/>
      <c r="F113" s="1189"/>
      <c r="G113" s="1189"/>
      <c r="H113" s="1189"/>
      <c r="I113" s="1189"/>
      <c r="J113" s="1189"/>
      <c r="K113" s="1189"/>
      <c r="L113" s="1189"/>
      <c r="M113" s="1189"/>
      <c r="N113" s="683"/>
    </row>
    <row r="114" spans="2:14" ht="27.75" customHeight="1">
      <c r="B114" s="683"/>
      <c r="C114" s="925" t="s">
        <v>1091</v>
      </c>
      <c r="D114" s="1191" t="s">
        <v>1105</v>
      </c>
      <c r="E114" s="1189"/>
      <c r="F114" s="1189"/>
      <c r="G114" s="1189"/>
      <c r="H114" s="1189"/>
      <c r="I114" s="1189"/>
      <c r="J114" s="1189"/>
      <c r="K114" s="1189"/>
      <c r="L114" s="1189"/>
      <c r="M114" s="1189"/>
      <c r="N114" s="683"/>
    </row>
    <row r="115" spans="2:14">
      <c r="B115" s="683"/>
      <c r="C115" s="936"/>
      <c r="D115" s="936"/>
      <c r="E115" s="935"/>
      <c r="F115" s="935"/>
      <c r="G115" s="935"/>
      <c r="H115" s="935"/>
      <c r="I115" s="935"/>
      <c r="J115" s="935"/>
      <c r="K115" s="935"/>
      <c r="L115" s="935"/>
      <c r="M115" s="935"/>
      <c r="N115" s="683"/>
    </row>
    <row r="116" spans="2:14">
      <c r="B116" s="683"/>
      <c r="C116" s="928" t="s">
        <v>1106</v>
      </c>
      <c r="D116" s="936"/>
      <c r="E116" s="935"/>
      <c r="F116" s="935"/>
      <c r="G116" s="935"/>
      <c r="H116" s="935"/>
      <c r="I116" s="935"/>
      <c r="J116" s="935"/>
      <c r="K116" s="935"/>
      <c r="L116" s="935"/>
      <c r="M116" s="935"/>
      <c r="N116" s="683"/>
    </row>
    <row r="117" spans="2:14" ht="78" customHeight="1">
      <c r="B117" s="683"/>
      <c r="C117" s="925" t="s">
        <v>1029</v>
      </c>
      <c r="D117" s="1207" t="s">
        <v>1107</v>
      </c>
      <c r="E117" s="1207"/>
      <c r="F117" s="1207"/>
      <c r="G117" s="1207"/>
      <c r="H117" s="1207"/>
      <c r="I117" s="1207"/>
      <c r="J117" s="1207"/>
      <c r="K117" s="1207"/>
      <c r="L117" s="1207"/>
      <c r="M117" s="1207"/>
      <c r="N117" s="683"/>
    </row>
    <row r="118" spans="2:14">
      <c r="B118" s="683"/>
      <c r="C118" s="925" t="s">
        <v>1031</v>
      </c>
      <c r="D118" s="1191" t="str">
        <f ca="1">"The total cash balance in hand of the Company as on 31st March, "&amp;YEAR(Master!B5)&amp;" was Rs. "&amp;TEXT('Sch - assets'!$B$54*Master!$C$17,"##,###")</f>
        <v xml:space="preserve">The total cash balance in hand of the Company as on 31st March, 2023 was Rs. </v>
      </c>
      <c r="E118" s="1189"/>
      <c r="F118" s="1189"/>
      <c r="G118" s="1189"/>
      <c r="H118" s="1189"/>
      <c r="I118" s="1189"/>
      <c r="J118" s="1189"/>
      <c r="K118" s="1189"/>
      <c r="L118" s="1189"/>
      <c r="M118" s="1189"/>
      <c r="N118" s="683"/>
    </row>
    <row r="119" spans="2:14" ht="15.75" customHeight="1">
      <c r="B119" s="683"/>
      <c r="C119" s="925" t="s">
        <v>1033</v>
      </c>
      <c r="D119" s="1191" t="s">
        <v>1108</v>
      </c>
      <c r="E119" s="1189"/>
      <c r="F119" s="1189"/>
      <c r="G119" s="1189"/>
      <c r="H119" s="1189"/>
      <c r="I119" s="1189"/>
      <c r="J119" s="1189"/>
      <c r="K119" s="1189"/>
      <c r="L119" s="1189"/>
      <c r="M119" s="1189"/>
      <c r="N119" s="683"/>
    </row>
    <row r="120" spans="2:14" ht="49.5" customHeight="1">
      <c r="B120" s="683"/>
      <c r="C120" s="925" t="s">
        <v>1034</v>
      </c>
      <c r="D120" s="1191" t="s">
        <v>1109</v>
      </c>
      <c r="E120" s="1189"/>
      <c r="F120" s="1189"/>
      <c r="G120" s="1189"/>
      <c r="H120" s="1189"/>
      <c r="I120" s="1189"/>
      <c r="J120" s="1189"/>
      <c r="K120" s="1189"/>
      <c r="L120" s="1189"/>
      <c r="M120" s="1189"/>
      <c r="N120" s="683"/>
    </row>
    <row r="121" spans="2:14" ht="40.5" customHeight="1">
      <c r="B121" s="683"/>
      <c r="C121" s="925" t="s">
        <v>1036</v>
      </c>
      <c r="D121" s="1191" t="s">
        <v>1110</v>
      </c>
      <c r="E121" s="1189"/>
      <c r="F121" s="1189"/>
      <c r="G121" s="1189"/>
      <c r="H121" s="1189"/>
      <c r="I121" s="1189"/>
      <c r="J121" s="1189"/>
      <c r="K121" s="1189"/>
      <c r="L121" s="1189"/>
      <c r="M121" s="1189"/>
      <c r="N121" s="683"/>
    </row>
    <row r="122" spans="2:14">
      <c r="B122" s="683"/>
      <c r="C122" s="925" t="s">
        <v>1091</v>
      </c>
      <c r="D122" s="1191" t="s">
        <v>1111</v>
      </c>
      <c r="E122" s="1189"/>
      <c r="F122" s="1189"/>
      <c r="G122" s="1189"/>
      <c r="H122" s="1189"/>
      <c r="I122" s="1189"/>
      <c r="J122" s="1189"/>
      <c r="K122" s="1189"/>
      <c r="L122" s="1189"/>
      <c r="M122" s="1189"/>
      <c r="N122" s="683"/>
    </row>
    <row r="123" spans="2:14" ht="39.75" customHeight="1">
      <c r="B123" s="683"/>
      <c r="C123" s="936"/>
      <c r="D123" s="925" t="s">
        <v>1038</v>
      </c>
      <c r="E123" s="1191" t="s">
        <v>1112</v>
      </c>
      <c r="F123" s="1189"/>
      <c r="G123" s="1189"/>
      <c r="H123" s="1189"/>
      <c r="I123" s="1189"/>
      <c r="J123" s="1189"/>
      <c r="K123" s="1189"/>
      <c r="L123" s="1189"/>
      <c r="M123" s="1189"/>
      <c r="N123" s="683"/>
    </row>
    <row r="124" spans="2:14" ht="26.25" customHeight="1">
      <c r="B124" s="683"/>
      <c r="C124" s="936"/>
      <c r="D124" s="925" t="s">
        <v>1040</v>
      </c>
      <c r="E124" s="1191" t="s">
        <v>1113</v>
      </c>
      <c r="F124" s="1189"/>
      <c r="G124" s="1189"/>
      <c r="H124" s="1189"/>
      <c r="I124" s="1189"/>
      <c r="J124" s="1189"/>
      <c r="K124" s="1189"/>
      <c r="L124" s="1189"/>
      <c r="M124" s="1189"/>
      <c r="N124" s="683"/>
    </row>
    <row r="125" spans="2:14">
      <c r="B125" s="683"/>
      <c r="C125" s="936"/>
      <c r="D125" s="925" t="s">
        <v>1042</v>
      </c>
      <c r="E125" s="1191" t="s">
        <v>1114</v>
      </c>
      <c r="F125" s="1189"/>
      <c r="G125" s="1189"/>
      <c r="H125" s="1189"/>
      <c r="I125" s="1189"/>
      <c r="J125" s="1189"/>
      <c r="K125" s="1189"/>
      <c r="L125" s="1189"/>
      <c r="M125" s="1189"/>
      <c r="N125" s="683"/>
    </row>
    <row r="126" spans="2:14">
      <c r="B126" s="683"/>
      <c r="C126" s="936"/>
      <c r="D126" s="936"/>
      <c r="E126" s="935"/>
      <c r="F126" s="935"/>
      <c r="G126" s="935"/>
      <c r="H126" s="935"/>
      <c r="I126" s="935"/>
      <c r="J126" s="935"/>
      <c r="K126" s="935"/>
      <c r="L126" s="935"/>
      <c r="M126" s="935"/>
      <c r="N126" s="683"/>
    </row>
    <row r="127" spans="2:14">
      <c r="B127" s="683"/>
      <c r="C127" s="928" t="s">
        <v>1115</v>
      </c>
      <c r="D127" s="936"/>
      <c r="E127" s="935"/>
      <c r="F127" s="935"/>
      <c r="G127" s="935"/>
      <c r="H127" s="935"/>
      <c r="I127" s="935"/>
      <c r="J127" s="935"/>
      <c r="K127" s="935"/>
      <c r="L127" s="935"/>
      <c r="M127" s="935"/>
      <c r="N127" s="683"/>
    </row>
    <row r="128" spans="2:14" ht="52.5" customHeight="1">
      <c r="B128" s="683"/>
      <c r="C128" s="925" t="s">
        <v>1029</v>
      </c>
      <c r="D128" s="1191" t="s">
        <v>1116</v>
      </c>
      <c r="E128" s="1189"/>
      <c r="F128" s="1189"/>
      <c r="G128" s="1189"/>
      <c r="H128" s="1189"/>
      <c r="I128" s="1189"/>
      <c r="J128" s="1189"/>
      <c r="K128" s="1189"/>
      <c r="L128" s="1189"/>
      <c r="M128" s="1189"/>
      <c r="N128" s="683"/>
    </row>
    <row r="129" spans="2:14" ht="27.75" customHeight="1">
      <c r="B129" s="683"/>
      <c r="C129" s="925" t="s">
        <v>1031</v>
      </c>
      <c r="D129" s="1191" t="s">
        <v>1117</v>
      </c>
      <c r="E129" s="1189"/>
      <c r="F129" s="1189"/>
      <c r="G129" s="1189"/>
      <c r="H129" s="1189"/>
      <c r="I129" s="1189"/>
      <c r="J129" s="1189"/>
      <c r="K129" s="1189"/>
      <c r="L129" s="1189"/>
      <c r="M129" s="1189"/>
      <c r="N129" s="683"/>
    </row>
    <row r="130" spans="2:14">
      <c r="B130" s="683"/>
      <c r="C130" s="925"/>
      <c r="D130" s="925" t="s">
        <v>1038</v>
      </c>
      <c r="E130" s="1191" t="s">
        <v>1118</v>
      </c>
      <c r="F130" s="1189"/>
      <c r="G130" s="1189"/>
      <c r="H130" s="1189"/>
      <c r="I130" s="1189"/>
      <c r="J130" s="1189"/>
      <c r="K130" s="1189"/>
      <c r="L130" s="1189"/>
      <c r="M130" s="1189"/>
      <c r="N130" s="683"/>
    </row>
    <row r="131" spans="2:14">
      <c r="B131" s="683"/>
      <c r="C131" s="925"/>
      <c r="D131" s="925" t="s">
        <v>1040</v>
      </c>
      <c r="E131" s="1191" t="s">
        <v>1119</v>
      </c>
      <c r="F131" s="1189"/>
      <c r="G131" s="1189"/>
      <c r="H131" s="1189"/>
      <c r="I131" s="1189"/>
      <c r="J131" s="1189"/>
      <c r="K131" s="1189"/>
      <c r="L131" s="1189"/>
      <c r="M131" s="1189"/>
      <c r="N131" s="683"/>
    </row>
    <row r="132" spans="2:14">
      <c r="B132" s="683"/>
      <c r="C132" s="925"/>
      <c r="D132" s="925" t="s">
        <v>1042</v>
      </c>
      <c r="E132" s="1191" t="s">
        <v>1120</v>
      </c>
      <c r="F132" s="1189"/>
      <c r="G132" s="1189"/>
      <c r="H132" s="1189"/>
      <c r="I132" s="1189"/>
      <c r="J132" s="1189"/>
      <c r="K132" s="1189"/>
      <c r="L132" s="1189"/>
      <c r="M132" s="1189"/>
      <c r="N132" s="683"/>
    </row>
    <row r="133" spans="2:14">
      <c r="B133" s="683"/>
      <c r="C133" s="925"/>
      <c r="D133" s="925" t="s">
        <v>1121</v>
      </c>
      <c r="E133" s="1191" t="s">
        <v>1122</v>
      </c>
      <c r="F133" s="1189"/>
      <c r="G133" s="1189"/>
      <c r="H133" s="1189"/>
      <c r="I133" s="1189"/>
      <c r="J133" s="1189"/>
      <c r="K133" s="1189"/>
      <c r="L133" s="1189"/>
      <c r="M133" s="1189"/>
      <c r="N133" s="683"/>
    </row>
    <row r="134" spans="2:14" ht="26.25" customHeight="1">
      <c r="B134" s="683"/>
      <c r="C134" s="925" t="s">
        <v>1033</v>
      </c>
      <c r="D134" s="1191" t="s">
        <v>1123</v>
      </c>
      <c r="E134" s="1189"/>
      <c r="F134" s="1189"/>
      <c r="G134" s="1189"/>
      <c r="H134" s="1189"/>
      <c r="I134" s="1189"/>
      <c r="J134" s="1189"/>
      <c r="K134" s="1189"/>
      <c r="L134" s="1189"/>
      <c r="M134" s="1189"/>
      <c r="N134" s="683"/>
    </row>
    <row r="135" spans="2:14" ht="27.75" customHeight="1">
      <c r="B135" s="683"/>
      <c r="C135" s="925" t="s">
        <v>1034</v>
      </c>
      <c r="D135" s="1191" t="s">
        <v>1124</v>
      </c>
      <c r="E135" s="1189"/>
      <c r="F135" s="1189"/>
      <c r="G135" s="1189"/>
      <c r="H135" s="1189"/>
      <c r="I135" s="1189"/>
      <c r="J135" s="1189"/>
      <c r="K135" s="1189"/>
      <c r="L135" s="1189"/>
      <c r="M135" s="1189"/>
      <c r="N135" s="683"/>
    </row>
    <row r="136" spans="2:14" ht="27.75" customHeight="1">
      <c r="B136" s="683"/>
      <c r="C136" s="925" t="s">
        <v>1036</v>
      </c>
      <c r="D136" s="1191" t="s">
        <v>1125</v>
      </c>
      <c r="E136" s="1189"/>
      <c r="F136" s="1189"/>
      <c r="G136" s="1189"/>
      <c r="H136" s="1189"/>
      <c r="I136" s="1189"/>
      <c r="J136" s="1189"/>
      <c r="K136" s="1189"/>
      <c r="L136" s="1189"/>
      <c r="M136" s="1189"/>
      <c r="N136" s="683"/>
    </row>
    <row r="137" spans="2:14">
      <c r="B137" s="683"/>
      <c r="C137" s="936"/>
      <c r="D137" s="936"/>
      <c r="E137" s="935"/>
      <c r="F137" s="935"/>
      <c r="G137" s="935"/>
      <c r="H137" s="935"/>
      <c r="I137" s="935"/>
      <c r="J137" s="935"/>
      <c r="K137" s="935"/>
      <c r="L137" s="935"/>
      <c r="M137" s="935"/>
      <c r="N137" s="683"/>
    </row>
    <row r="138" spans="2:14">
      <c r="B138" s="683"/>
      <c r="C138" s="927" t="s">
        <v>1126</v>
      </c>
      <c r="D138" s="936"/>
      <c r="E138" s="935"/>
      <c r="F138" s="935"/>
      <c r="G138" s="935"/>
      <c r="H138" s="935"/>
      <c r="I138" s="935"/>
      <c r="J138" s="935"/>
      <c r="K138" s="935"/>
      <c r="L138" s="935"/>
      <c r="M138" s="935"/>
      <c r="N138" s="683"/>
    </row>
    <row r="139" spans="2:14" ht="33" customHeight="1">
      <c r="B139" s="683"/>
      <c r="C139" s="925" t="s">
        <v>1029</v>
      </c>
      <c r="D139" s="1191" t="s">
        <v>1127</v>
      </c>
      <c r="E139" s="1189"/>
      <c r="F139" s="1189"/>
      <c r="G139" s="1189"/>
      <c r="H139" s="1189"/>
      <c r="I139" s="1189"/>
      <c r="J139" s="1189"/>
      <c r="K139" s="1189"/>
      <c r="L139" s="1189"/>
      <c r="M139" s="1189"/>
      <c r="N139" s="683"/>
    </row>
    <row r="140" spans="2:14" ht="51" customHeight="1">
      <c r="B140" s="683"/>
      <c r="C140" s="925" t="s">
        <v>1031</v>
      </c>
      <c r="D140" s="1191" t="s">
        <v>1128</v>
      </c>
      <c r="E140" s="1189"/>
      <c r="F140" s="1189"/>
      <c r="G140" s="1189"/>
      <c r="H140" s="1189"/>
      <c r="I140" s="1189"/>
      <c r="J140" s="1189"/>
      <c r="K140" s="1189"/>
      <c r="L140" s="1189"/>
      <c r="M140" s="1189"/>
      <c r="N140" s="683"/>
    </row>
    <row r="141" spans="2:14" ht="33" customHeight="1">
      <c r="B141" s="683"/>
      <c r="C141" s="925" t="s">
        <v>1033</v>
      </c>
      <c r="D141" s="1191" t="s">
        <v>1129</v>
      </c>
      <c r="E141" s="1189"/>
      <c r="F141" s="1189"/>
      <c r="G141" s="1189"/>
      <c r="H141" s="1189"/>
      <c r="I141" s="1189"/>
      <c r="J141" s="1189"/>
      <c r="K141" s="1189"/>
      <c r="L141" s="1189"/>
      <c r="M141" s="1189"/>
      <c r="N141" s="683"/>
    </row>
    <row r="142" spans="2:14" ht="33" customHeight="1">
      <c r="B142" s="683"/>
      <c r="C142" s="925" t="s">
        <v>1034</v>
      </c>
      <c r="D142" s="1191" t="s">
        <v>1130</v>
      </c>
      <c r="E142" s="1189"/>
      <c r="F142" s="1189"/>
      <c r="G142" s="1189"/>
      <c r="H142" s="1189"/>
      <c r="I142" s="1189"/>
      <c r="J142" s="1189"/>
      <c r="K142" s="1189"/>
      <c r="L142" s="1189"/>
      <c r="M142" s="1189"/>
      <c r="N142" s="683"/>
    </row>
    <row r="143" spans="2:14">
      <c r="B143" s="683"/>
      <c r="C143" s="925" t="s">
        <v>1036</v>
      </c>
      <c r="D143" s="1191" t="s">
        <v>1131</v>
      </c>
      <c r="E143" s="1189"/>
      <c r="F143" s="1189"/>
      <c r="G143" s="1189"/>
      <c r="H143" s="1189"/>
      <c r="I143" s="1189"/>
      <c r="J143" s="1189"/>
      <c r="K143" s="1189"/>
      <c r="L143" s="1189"/>
      <c r="M143" s="1189"/>
      <c r="N143" s="683"/>
    </row>
    <row r="144" spans="2:14" ht="53.25" customHeight="1">
      <c r="B144" s="683"/>
      <c r="C144" s="925" t="s">
        <v>1091</v>
      </c>
      <c r="D144" s="1191" t="s">
        <v>1132</v>
      </c>
      <c r="E144" s="1189"/>
      <c r="F144" s="1189"/>
      <c r="G144" s="1189"/>
      <c r="H144" s="1189"/>
      <c r="I144" s="1189"/>
      <c r="J144" s="1189"/>
      <c r="K144" s="1189"/>
      <c r="L144" s="1189"/>
      <c r="M144" s="1189"/>
      <c r="N144" s="683"/>
    </row>
    <row r="145" spans="2:14" ht="27" customHeight="1">
      <c r="B145" s="683"/>
      <c r="C145" s="925" t="s">
        <v>1133</v>
      </c>
      <c r="D145" s="1191" t="s">
        <v>1134</v>
      </c>
      <c r="E145" s="1189"/>
      <c r="F145" s="1189"/>
      <c r="G145" s="1189"/>
      <c r="H145" s="1189"/>
      <c r="I145" s="1189"/>
      <c r="J145" s="1189"/>
      <c r="K145" s="1189"/>
      <c r="L145" s="1189"/>
      <c r="M145" s="1189"/>
      <c r="N145" s="683"/>
    </row>
    <row r="146" spans="2:14" ht="78" customHeight="1">
      <c r="B146" s="683"/>
      <c r="C146" s="925" t="s">
        <v>1135</v>
      </c>
      <c r="D146" s="1191" t="s">
        <v>1136</v>
      </c>
      <c r="E146" s="1189"/>
      <c r="F146" s="1189"/>
      <c r="G146" s="1189"/>
      <c r="H146" s="1189"/>
      <c r="I146" s="1189"/>
      <c r="J146" s="1189"/>
      <c r="K146" s="1189"/>
      <c r="L146" s="1189"/>
      <c r="M146" s="1189"/>
      <c r="N146" s="683"/>
    </row>
    <row r="147" spans="2:14" ht="41.25" customHeight="1">
      <c r="B147" s="683"/>
      <c r="C147" s="925" t="s">
        <v>1137</v>
      </c>
      <c r="D147" s="1191" t="s">
        <v>1138</v>
      </c>
      <c r="E147" s="1189"/>
      <c r="F147" s="1189"/>
      <c r="G147" s="1189"/>
      <c r="H147" s="1189"/>
      <c r="I147" s="1189"/>
      <c r="J147" s="1189"/>
      <c r="K147" s="1189"/>
      <c r="L147" s="1189"/>
      <c r="M147" s="1189"/>
      <c r="N147" s="683"/>
    </row>
    <row r="148" spans="2:14" ht="33" customHeight="1">
      <c r="B148" s="683"/>
      <c r="C148" s="925" t="s">
        <v>1139</v>
      </c>
      <c r="D148" s="1191" t="s">
        <v>1140</v>
      </c>
      <c r="E148" s="1189"/>
      <c r="F148" s="1189"/>
      <c r="G148" s="1189"/>
      <c r="H148" s="1189"/>
      <c r="I148" s="1189"/>
      <c r="J148" s="1189"/>
      <c r="K148" s="1189"/>
      <c r="L148" s="1189"/>
      <c r="M148" s="1189"/>
      <c r="N148" s="683"/>
    </row>
    <row r="149" spans="2:14">
      <c r="B149" s="683"/>
      <c r="C149" s="936"/>
      <c r="D149" s="936"/>
      <c r="E149" s="935"/>
      <c r="F149" s="935"/>
      <c r="G149" s="935"/>
      <c r="H149" s="935"/>
      <c r="I149" s="935"/>
      <c r="J149" s="935"/>
      <c r="K149" s="935"/>
      <c r="L149" s="935"/>
      <c r="M149" s="935"/>
      <c r="N149" s="683"/>
    </row>
    <row r="150" spans="2:14">
      <c r="B150" s="683"/>
      <c r="C150" s="928" t="s">
        <v>1141</v>
      </c>
      <c r="D150" s="936"/>
      <c r="E150" s="935"/>
      <c r="F150" s="935"/>
      <c r="G150" s="935"/>
      <c r="H150" s="935"/>
      <c r="I150" s="935"/>
      <c r="J150" s="935"/>
      <c r="K150" s="935"/>
      <c r="L150" s="935"/>
      <c r="M150" s="935"/>
      <c r="N150" s="683"/>
    </row>
    <row r="151" spans="2:14" ht="33" customHeight="1">
      <c r="B151" s="683"/>
      <c r="C151" s="925" t="s">
        <v>1029</v>
      </c>
      <c r="D151" s="1191" t="str">
        <f>"We have disclosed in notes to the accounts all the contingent liabilities as at 31st March,"&amp;Master!F5&amp;" . The details thereof are given here under:"</f>
        <v>We have disclosed in notes to the accounts all the contingent liabilities as at 31st March,2023 . The details thereof are given here under:</v>
      </c>
      <c r="E151" s="1189"/>
      <c r="F151" s="1189"/>
      <c r="G151" s="1189"/>
      <c r="H151" s="1189"/>
      <c r="I151" s="1189"/>
      <c r="J151" s="1189"/>
      <c r="K151" s="1189"/>
      <c r="L151" s="1189"/>
      <c r="M151" s="1189"/>
      <c r="N151" s="683"/>
    </row>
    <row r="152" spans="2:14">
      <c r="B152" s="683"/>
      <c r="C152" s="925"/>
      <c r="D152" s="925" t="s">
        <v>1038</v>
      </c>
      <c r="E152" s="1191" t="s">
        <v>1142</v>
      </c>
      <c r="F152" s="1189"/>
      <c r="G152" s="1189"/>
      <c r="H152" s="1189"/>
      <c r="I152" s="1189"/>
      <c r="J152" s="1189"/>
      <c r="K152" s="1189"/>
      <c r="L152" s="1189"/>
      <c r="M152" s="1189"/>
      <c r="N152" s="683"/>
    </row>
    <row r="153" spans="2:14">
      <c r="B153" s="683"/>
      <c r="C153" s="925"/>
      <c r="D153" s="925" t="s">
        <v>1040</v>
      </c>
      <c r="E153" s="1191" t="s">
        <v>1143</v>
      </c>
      <c r="F153" s="1189"/>
      <c r="G153" s="1189"/>
      <c r="H153" s="1189"/>
      <c r="I153" s="1189"/>
      <c r="J153" s="1189"/>
      <c r="K153" s="1189"/>
      <c r="L153" s="1189"/>
      <c r="M153" s="1189"/>
      <c r="N153" s="683"/>
    </row>
    <row r="154" spans="2:14">
      <c r="B154" s="683"/>
      <c r="C154" s="925"/>
      <c r="D154" s="925" t="s">
        <v>1042</v>
      </c>
      <c r="E154" s="1208" t="s">
        <v>1144</v>
      </c>
      <c r="F154" s="1209"/>
      <c r="G154" s="1209"/>
      <c r="H154" s="1209"/>
      <c r="I154" s="1209"/>
      <c r="J154" s="1209"/>
      <c r="K154" s="1209"/>
      <c r="L154" s="1209"/>
      <c r="M154" s="1209"/>
      <c r="N154" s="683"/>
    </row>
    <row r="155" spans="2:14" ht="26.25" customHeight="1">
      <c r="B155" s="683"/>
      <c r="C155" s="925"/>
      <c r="D155" s="925" t="s">
        <v>1121</v>
      </c>
      <c r="E155" s="1191" t="s">
        <v>1145</v>
      </c>
      <c r="F155" s="1189"/>
      <c r="G155" s="1189"/>
      <c r="H155" s="1189"/>
      <c r="I155" s="1189"/>
      <c r="J155" s="1189"/>
      <c r="K155" s="1189"/>
      <c r="L155" s="1189"/>
      <c r="M155" s="1189"/>
      <c r="N155" s="683"/>
    </row>
    <row r="156" spans="2:14">
      <c r="B156" s="683"/>
      <c r="C156" s="925"/>
      <c r="D156" s="925" t="s">
        <v>1146</v>
      </c>
      <c r="E156" s="1191" t="s">
        <v>1147</v>
      </c>
      <c r="F156" s="1191"/>
      <c r="G156" s="1191"/>
      <c r="H156" s="1191"/>
      <c r="I156" s="1191"/>
      <c r="J156" s="1191"/>
      <c r="K156" s="1191"/>
      <c r="L156" s="1191"/>
      <c r="M156" s="1191"/>
      <c r="N156" s="683"/>
    </row>
    <row r="157" spans="2:14" ht="27.75" customHeight="1">
      <c r="B157" s="683"/>
      <c r="C157" s="925" t="s">
        <v>1031</v>
      </c>
      <c r="D157" s="1191" t="s">
        <v>1148</v>
      </c>
      <c r="E157" s="1189"/>
      <c r="F157" s="1189"/>
      <c r="G157" s="1189"/>
      <c r="H157" s="1189"/>
      <c r="I157" s="1189"/>
      <c r="J157" s="1189"/>
      <c r="K157" s="1189"/>
      <c r="L157" s="1189"/>
      <c r="M157" s="1189"/>
      <c r="N157" s="683"/>
    </row>
    <row r="158" spans="2:14" ht="27" customHeight="1">
      <c r="B158" s="683"/>
      <c r="C158" s="925" t="s">
        <v>1033</v>
      </c>
      <c r="D158" s="1191" t="s">
        <v>1149</v>
      </c>
      <c r="E158" s="1189"/>
      <c r="F158" s="1189"/>
      <c r="G158" s="1189"/>
      <c r="H158" s="1189"/>
      <c r="I158" s="1189"/>
      <c r="J158" s="1189"/>
      <c r="K158" s="1189"/>
      <c r="L158" s="1189"/>
      <c r="M158" s="1189"/>
      <c r="N158" s="683"/>
    </row>
    <row r="159" spans="2:14" ht="27.75" customHeight="1">
      <c r="B159" s="683"/>
      <c r="C159" s="925" t="s">
        <v>1034</v>
      </c>
      <c r="D159" s="1191" t="s">
        <v>1150</v>
      </c>
      <c r="E159" s="1189"/>
      <c r="F159" s="1189"/>
      <c r="G159" s="1189"/>
      <c r="H159" s="1189"/>
      <c r="I159" s="1189"/>
      <c r="J159" s="1189"/>
      <c r="K159" s="1189"/>
      <c r="L159" s="1189"/>
      <c r="M159" s="1189"/>
      <c r="N159" s="683"/>
    </row>
    <row r="160" spans="2:14">
      <c r="B160" s="683"/>
      <c r="C160" s="936"/>
      <c r="D160" s="936"/>
      <c r="E160" s="935"/>
      <c r="F160" s="935"/>
      <c r="G160" s="935"/>
      <c r="H160" s="935"/>
      <c r="I160" s="935"/>
      <c r="J160" s="935"/>
      <c r="K160" s="935"/>
      <c r="L160" s="935"/>
      <c r="M160" s="935"/>
      <c r="N160" s="683"/>
    </row>
    <row r="161" spans="2:14">
      <c r="B161" s="683"/>
      <c r="C161" s="928" t="s">
        <v>1151</v>
      </c>
      <c r="D161" s="936"/>
      <c r="E161" s="935"/>
      <c r="F161" s="935"/>
      <c r="G161" s="935"/>
      <c r="H161" s="935"/>
      <c r="I161" s="935"/>
      <c r="J161" s="935"/>
      <c r="K161" s="935"/>
      <c r="L161" s="935"/>
      <c r="M161" s="935"/>
      <c r="N161" s="683"/>
    </row>
    <row r="162" spans="2:14" ht="39.75" customHeight="1">
      <c r="B162" s="683"/>
      <c r="C162" s="1191" t="s">
        <v>1152</v>
      </c>
      <c r="D162" s="1191"/>
      <c r="E162" s="1191"/>
      <c r="F162" s="1191"/>
      <c r="G162" s="1191"/>
      <c r="H162" s="1191"/>
      <c r="I162" s="1191"/>
      <c r="J162" s="1191"/>
      <c r="K162" s="1191"/>
      <c r="L162" s="1191"/>
      <c r="M162" s="1191"/>
      <c r="N162" s="683"/>
    </row>
    <row r="163" spans="2:14">
      <c r="B163" s="683"/>
      <c r="C163" s="936"/>
      <c r="D163" s="936"/>
      <c r="E163" s="935"/>
      <c r="F163" s="935"/>
      <c r="G163" s="935"/>
      <c r="H163" s="935"/>
      <c r="I163" s="935"/>
      <c r="J163" s="935"/>
      <c r="K163" s="935"/>
      <c r="L163" s="935"/>
      <c r="M163" s="935"/>
      <c r="N163" s="683"/>
    </row>
    <row r="164" spans="2:14">
      <c r="B164" s="683"/>
      <c r="C164" s="928" t="s">
        <v>1153</v>
      </c>
      <c r="D164" s="936"/>
      <c r="E164" s="935"/>
      <c r="F164" s="935"/>
      <c r="G164" s="935"/>
      <c r="H164" s="935"/>
      <c r="I164" s="935"/>
      <c r="J164" s="935"/>
      <c r="K164" s="935"/>
      <c r="L164" s="935"/>
      <c r="M164" s="935"/>
      <c r="N164" s="683"/>
    </row>
    <row r="165" spans="2:14" ht="39.75" customHeight="1">
      <c r="B165" s="683"/>
      <c r="C165" s="1191" t="s">
        <v>1154</v>
      </c>
      <c r="D165" s="1191"/>
      <c r="E165" s="1191"/>
      <c r="F165" s="1191"/>
      <c r="G165" s="1191"/>
      <c r="H165" s="1191"/>
      <c r="I165" s="1191"/>
      <c r="J165" s="1191"/>
      <c r="K165" s="1191"/>
      <c r="L165" s="1191"/>
      <c r="M165" s="1191"/>
      <c r="N165" s="683"/>
    </row>
    <row r="166" spans="2:14">
      <c r="B166" s="683"/>
      <c r="C166" s="936"/>
      <c r="D166" s="936"/>
      <c r="E166" s="935"/>
      <c r="F166" s="935"/>
      <c r="G166" s="935"/>
      <c r="H166" s="935"/>
      <c r="I166" s="935"/>
      <c r="J166" s="935"/>
      <c r="K166" s="935"/>
      <c r="L166" s="935"/>
      <c r="M166" s="935"/>
      <c r="N166" s="683"/>
    </row>
    <row r="167" spans="2:14">
      <c r="B167" s="683"/>
      <c r="C167" s="928" t="s">
        <v>1155</v>
      </c>
      <c r="D167" s="936"/>
      <c r="E167" s="935"/>
      <c r="F167" s="935"/>
      <c r="G167" s="935"/>
      <c r="H167" s="935"/>
      <c r="I167" s="935"/>
      <c r="J167" s="935"/>
      <c r="K167" s="935"/>
      <c r="L167" s="935"/>
      <c r="M167" s="935"/>
      <c r="N167" s="683"/>
    </row>
    <row r="168" spans="2:14" ht="27.75" customHeight="1">
      <c r="B168" s="683"/>
      <c r="C168" s="1191" t="s">
        <v>1156</v>
      </c>
      <c r="D168" s="1191"/>
      <c r="E168" s="1191"/>
      <c r="F168" s="1191"/>
      <c r="G168" s="1191"/>
      <c r="H168" s="1191"/>
      <c r="I168" s="1191"/>
      <c r="J168" s="1191"/>
      <c r="K168" s="1191"/>
      <c r="L168" s="1191"/>
      <c r="M168" s="1191"/>
      <c r="N168" s="683"/>
    </row>
    <row r="169" spans="2:14">
      <c r="B169" s="683"/>
      <c r="C169" s="936"/>
      <c r="D169" s="936"/>
      <c r="E169" s="935"/>
      <c r="F169" s="935"/>
      <c r="G169" s="935"/>
      <c r="H169" s="935"/>
      <c r="I169" s="935"/>
      <c r="J169" s="935"/>
      <c r="K169" s="935"/>
      <c r="L169" s="935"/>
      <c r="M169" s="935"/>
      <c r="N169" s="683"/>
    </row>
    <row r="170" spans="2:14">
      <c r="B170" s="683"/>
      <c r="C170" s="928" t="s">
        <v>1157</v>
      </c>
      <c r="D170" s="936"/>
      <c r="E170" s="935"/>
      <c r="F170" s="935"/>
      <c r="G170" s="935"/>
      <c r="H170" s="935"/>
      <c r="I170" s="935"/>
      <c r="J170" s="935"/>
      <c r="K170" s="935"/>
      <c r="L170" s="935"/>
      <c r="M170" s="935"/>
      <c r="N170" s="683"/>
    </row>
    <row r="171" spans="2:14" ht="33" customHeight="1">
      <c r="B171" s="683"/>
      <c r="C171" s="925" t="s">
        <v>1029</v>
      </c>
      <c r="D171" s="1191" t="s">
        <v>1158</v>
      </c>
      <c r="E171" s="1191"/>
      <c r="F171" s="1191"/>
      <c r="G171" s="1191"/>
      <c r="H171" s="1191"/>
      <c r="I171" s="1191"/>
      <c r="J171" s="1191"/>
      <c r="K171" s="1191"/>
      <c r="L171" s="1191"/>
      <c r="M171" s="1191"/>
      <c r="N171" s="683"/>
    </row>
    <row r="172" spans="2:14">
      <c r="B172" s="683"/>
      <c r="C172" s="925" t="s">
        <v>1031</v>
      </c>
      <c r="D172" s="1191" t="s">
        <v>1159</v>
      </c>
      <c r="E172" s="1191"/>
      <c r="F172" s="1191"/>
      <c r="G172" s="1191"/>
      <c r="H172" s="1191"/>
      <c r="I172" s="1191"/>
      <c r="J172" s="1191"/>
      <c r="K172" s="1191"/>
      <c r="L172" s="1191"/>
      <c r="M172" s="1191"/>
      <c r="N172" s="683"/>
    </row>
    <row r="173" spans="2:14">
      <c r="B173" s="683"/>
      <c r="C173" s="936"/>
      <c r="D173" s="937" t="s">
        <v>441</v>
      </c>
      <c r="E173" s="1204" t="s">
        <v>1160</v>
      </c>
      <c r="F173" s="1204"/>
      <c r="G173" s="1204"/>
      <c r="H173" s="1204"/>
      <c r="I173" s="1204"/>
      <c r="J173" s="1204" t="s">
        <v>1161</v>
      </c>
      <c r="K173" s="1204"/>
      <c r="L173" s="935"/>
      <c r="M173" s="935"/>
      <c r="N173" s="683"/>
    </row>
    <row r="174" spans="2:14">
      <c r="B174" s="683"/>
      <c r="C174" s="936"/>
      <c r="D174" s="943" t="s">
        <v>1162</v>
      </c>
      <c r="E174" s="1210" t="str">
        <f>Notes!D105</f>
        <v>Director 1</v>
      </c>
      <c r="F174" s="1210"/>
      <c r="G174" s="1210"/>
      <c r="H174" s="1210"/>
      <c r="I174" s="1210"/>
      <c r="J174" s="1212" t="s">
        <v>1163</v>
      </c>
      <c r="K174" s="1212"/>
      <c r="L174" s="935"/>
      <c r="M174" s="935"/>
      <c r="N174" s="683"/>
    </row>
    <row r="175" spans="2:14">
      <c r="B175" s="683"/>
      <c r="C175" s="936"/>
      <c r="D175" s="943" t="s">
        <v>1164</v>
      </c>
      <c r="E175" s="1210" t="str">
        <f>Notes!D106</f>
        <v>Director 2</v>
      </c>
      <c r="F175" s="1210"/>
      <c r="G175" s="1210"/>
      <c r="H175" s="1210"/>
      <c r="I175" s="1210"/>
      <c r="J175" s="1212" t="s">
        <v>1163</v>
      </c>
      <c r="K175" s="1212"/>
      <c r="L175" s="935"/>
      <c r="M175" s="935"/>
      <c r="N175" s="683"/>
    </row>
    <row r="176" spans="2:14" ht="40.5" customHeight="1">
      <c r="B176" s="683"/>
      <c r="C176" s="925" t="s">
        <v>1033</v>
      </c>
      <c r="D176" s="1191" t="s">
        <v>1165</v>
      </c>
      <c r="E176" s="1191"/>
      <c r="F176" s="1191"/>
      <c r="G176" s="1191"/>
      <c r="H176" s="1191"/>
      <c r="I176" s="1191"/>
      <c r="J176" s="1191"/>
      <c r="K176" s="1191"/>
      <c r="L176" s="1191"/>
      <c r="M176" s="1191"/>
      <c r="N176" s="683"/>
    </row>
    <row r="177" spans="2:14">
      <c r="B177" s="683"/>
      <c r="C177" s="936"/>
      <c r="D177" s="937" t="s">
        <v>441</v>
      </c>
      <c r="E177" s="1204" t="s">
        <v>1166</v>
      </c>
      <c r="F177" s="1204"/>
      <c r="G177" s="1204"/>
      <c r="H177" s="1204"/>
      <c r="I177" s="1204"/>
      <c r="J177" s="1204" t="s">
        <v>1167</v>
      </c>
      <c r="K177" s="1204"/>
      <c r="L177" s="935"/>
      <c r="M177" s="935"/>
      <c r="N177" s="683"/>
    </row>
    <row r="178" spans="2:14">
      <c r="B178" s="683"/>
      <c r="C178" s="936"/>
      <c r="D178" s="943"/>
      <c r="E178" s="1210" t="s">
        <v>1168</v>
      </c>
      <c r="F178" s="1210"/>
      <c r="G178" s="1210"/>
      <c r="H178" s="1210"/>
      <c r="I178" s="1210"/>
      <c r="J178" s="1211"/>
      <c r="K178" s="1211"/>
      <c r="L178" s="935"/>
      <c r="M178" s="935"/>
      <c r="N178" s="683"/>
    </row>
    <row r="179" spans="2:14">
      <c r="B179" s="683"/>
      <c r="C179" s="925" t="s">
        <v>1034</v>
      </c>
      <c r="D179" s="1191" t="s">
        <v>1169</v>
      </c>
      <c r="E179" s="1191"/>
      <c r="F179" s="1191"/>
      <c r="G179" s="1191"/>
      <c r="H179" s="1191"/>
      <c r="I179" s="1191"/>
      <c r="J179" s="1191"/>
      <c r="K179" s="1191"/>
      <c r="L179" s="1191"/>
      <c r="M179" s="1191"/>
      <c r="N179" s="683"/>
    </row>
    <row r="180" spans="2:14">
      <c r="B180" s="683"/>
      <c r="C180" s="936"/>
      <c r="D180" s="937" t="s">
        <v>441</v>
      </c>
      <c r="E180" s="1204" t="s">
        <v>1170</v>
      </c>
      <c r="F180" s="1204"/>
      <c r="G180" s="1204"/>
      <c r="H180" s="1204"/>
      <c r="I180" s="1204"/>
      <c r="J180" s="1204" t="s">
        <v>1167</v>
      </c>
      <c r="K180" s="1204"/>
      <c r="L180" s="935"/>
      <c r="M180" s="935"/>
      <c r="N180" s="683"/>
    </row>
    <row r="181" spans="2:14">
      <c r="B181" s="683"/>
      <c r="C181" s="936"/>
      <c r="D181" s="943" t="s">
        <v>1162</v>
      </c>
      <c r="E181" s="1212" t="s">
        <v>1168</v>
      </c>
      <c r="F181" s="1212"/>
      <c r="G181" s="1212"/>
      <c r="H181" s="1212"/>
      <c r="I181" s="1212"/>
      <c r="J181" s="1212"/>
      <c r="K181" s="1212"/>
      <c r="L181" s="935"/>
      <c r="M181" s="935"/>
      <c r="N181" s="683"/>
    </row>
    <row r="182" spans="2:14">
      <c r="B182" s="683"/>
      <c r="C182" s="936"/>
      <c r="D182" s="936"/>
      <c r="E182" s="935"/>
      <c r="F182" s="935"/>
      <c r="G182" s="935"/>
      <c r="H182" s="935"/>
      <c r="I182" s="935"/>
      <c r="J182" s="935"/>
      <c r="K182" s="935"/>
      <c r="L182" s="935"/>
      <c r="M182" s="935"/>
      <c r="N182" s="683"/>
    </row>
    <row r="183" spans="2:14">
      <c r="B183" s="683"/>
      <c r="C183" s="928" t="s">
        <v>1171</v>
      </c>
      <c r="D183" s="936"/>
      <c r="E183" s="935"/>
      <c r="F183" s="935"/>
      <c r="G183" s="935"/>
      <c r="H183" s="935"/>
      <c r="I183" s="935"/>
      <c r="J183" s="935"/>
      <c r="K183" s="935"/>
      <c r="L183" s="935"/>
      <c r="M183" s="935"/>
      <c r="N183" s="683"/>
    </row>
    <row r="184" spans="2:14" ht="39.75" customHeight="1">
      <c r="B184" s="683"/>
      <c r="C184" s="925" t="s">
        <v>1162</v>
      </c>
      <c r="D184" s="1191" t="s">
        <v>1172</v>
      </c>
      <c r="E184" s="1191"/>
      <c r="F184" s="1191"/>
      <c r="G184" s="1191"/>
      <c r="H184" s="1191"/>
      <c r="I184" s="1191"/>
      <c r="J184" s="1191"/>
      <c r="K184" s="1191"/>
      <c r="L184" s="1191"/>
      <c r="M184" s="1191"/>
      <c r="N184" s="683"/>
    </row>
    <row r="185" spans="2:14" ht="39.75" customHeight="1">
      <c r="B185" s="683"/>
      <c r="C185" s="925" t="s">
        <v>1164</v>
      </c>
      <c r="D185" s="1191" t="s">
        <v>1173</v>
      </c>
      <c r="E185" s="1191"/>
      <c r="F185" s="1191"/>
      <c r="G185" s="1191"/>
      <c r="H185" s="1191"/>
      <c r="I185" s="1191"/>
      <c r="J185" s="1191"/>
      <c r="K185" s="1191"/>
      <c r="L185" s="1191"/>
      <c r="M185" s="1191"/>
      <c r="N185" s="683"/>
    </row>
    <row r="186" spans="2:14" ht="27.75" customHeight="1">
      <c r="B186" s="683"/>
      <c r="C186" s="925" t="s">
        <v>1174</v>
      </c>
      <c r="D186" s="1191" t="s">
        <v>1175</v>
      </c>
      <c r="E186" s="1191"/>
      <c r="F186" s="1191"/>
      <c r="G186" s="1191"/>
      <c r="H186" s="1191"/>
      <c r="I186" s="1191"/>
      <c r="J186" s="1191"/>
      <c r="K186" s="1191"/>
      <c r="L186" s="1191"/>
      <c r="M186" s="1191"/>
      <c r="N186" s="683"/>
    </row>
    <row r="187" spans="2:14" ht="27" customHeight="1">
      <c r="B187" s="683"/>
      <c r="C187" s="925" t="s">
        <v>1176</v>
      </c>
      <c r="D187" s="1191" t="s">
        <v>1177</v>
      </c>
      <c r="E187" s="1191"/>
      <c r="F187" s="1191"/>
      <c r="G187" s="1191"/>
      <c r="H187" s="1191"/>
      <c r="I187" s="1191"/>
      <c r="J187" s="1191"/>
      <c r="K187" s="1191"/>
      <c r="L187" s="1191"/>
      <c r="M187" s="1191"/>
      <c r="N187" s="683"/>
    </row>
    <row r="188" spans="2:14" ht="27.75" customHeight="1">
      <c r="B188" s="683"/>
      <c r="C188" s="925" t="s">
        <v>1178</v>
      </c>
      <c r="D188" s="1191" t="s">
        <v>1179</v>
      </c>
      <c r="E188" s="1191"/>
      <c r="F188" s="1191"/>
      <c r="G188" s="1191"/>
      <c r="H188" s="1191"/>
      <c r="I188" s="1191"/>
      <c r="J188" s="1191"/>
      <c r="K188" s="1191"/>
      <c r="L188" s="1191"/>
      <c r="M188" s="1191"/>
      <c r="N188" s="683"/>
    </row>
    <row r="189" spans="2:14" ht="27" customHeight="1">
      <c r="B189" s="683"/>
      <c r="C189" s="925" t="s">
        <v>1180</v>
      </c>
      <c r="D189" s="1191" t="s">
        <v>1181</v>
      </c>
      <c r="E189" s="1191"/>
      <c r="F189" s="1191"/>
      <c r="G189" s="1191"/>
      <c r="H189" s="1191"/>
      <c r="I189" s="1191"/>
      <c r="J189" s="1191"/>
      <c r="K189" s="1191"/>
      <c r="L189" s="1191"/>
      <c r="M189" s="1191"/>
      <c r="N189" s="683"/>
    </row>
    <row r="190" spans="2:14">
      <c r="B190" s="683"/>
      <c r="C190" s="925" t="s">
        <v>1182</v>
      </c>
      <c r="D190" s="1191" t="s">
        <v>1183</v>
      </c>
      <c r="E190" s="1191"/>
      <c r="F190" s="1191"/>
      <c r="G190" s="1191"/>
      <c r="H190" s="1191"/>
      <c r="I190" s="1191"/>
      <c r="J190" s="1191"/>
      <c r="K190" s="1191"/>
      <c r="L190" s="1191"/>
      <c r="M190" s="1191"/>
      <c r="N190" s="683"/>
    </row>
    <row r="191" spans="2:14" ht="51" customHeight="1">
      <c r="B191" s="683"/>
      <c r="C191" s="925" t="s">
        <v>1184</v>
      </c>
      <c r="D191" s="1191" t="s">
        <v>1185</v>
      </c>
      <c r="E191" s="1191"/>
      <c r="F191" s="1191"/>
      <c r="G191" s="1191"/>
      <c r="H191" s="1191"/>
      <c r="I191" s="1191"/>
      <c r="J191" s="1191"/>
      <c r="K191" s="1191"/>
      <c r="L191" s="1191"/>
      <c r="M191" s="1191"/>
      <c r="N191" s="683"/>
    </row>
    <row r="192" spans="2:14" ht="34.5" customHeight="1">
      <c r="B192" s="683"/>
      <c r="C192" s="925" t="s">
        <v>1186</v>
      </c>
      <c r="D192" s="1191" t="str">
        <f>"The company has no statutory dues which are outstanding as on 31st March, "&amp;YEAR(Master!B5)&amp;" for a period more than six months from the date they became payable."</f>
        <v>The company has no statutory dues which are outstanding as on 31st March, 2023 for a period more than six months from the date they became payable.</v>
      </c>
      <c r="E192" s="1191"/>
      <c r="F192" s="1191"/>
      <c r="G192" s="1191"/>
      <c r="H192" s="1191"/>
      <c r="I192" s="1191"/>
      <c r="J192" s="1191"/>
      <c r="K192" s="1191"/>
      <c r="L192" s="1191"/>
      <c r="M192" s="1191"/>
      <c r="N192" s="683"/>
    </row>
    <row r="193" spans="2:14" ht="32.25" customHeight="1">
      <c r="B193" s="683"/>
      <c r="C193" s="925" t="s">
        <v>1187</v>
      </c>
      <c r="D193" s="1191" t="s">
        <v>1188</v>
      </c>
      <c r="E193" s="1191"/>
      <c r="F193" s="1191"/>
      <c r="G193" s="1191"/>
      <c r="H193" s="1191"/>
      <c r="I193" s="1191"/>
      <c r="J193" s="1191"/>
      <c r="K193" s="1191"/>
      <c r="L193" s="1191"/>
      <c r="M193" s="1191"/>
      <c r="N193" s="683"/>
    </row>
    <row r="194" spans="2:14" ht="33" customHeight="1">
      <c r="B194" s="683"/>
      <c r="C194" s="925"/>
      <c r="D194" s="1205" t="s">
        <v>1189</v>
      </c>
      <c r="E194" s="1205"/>
      <c r="F194" s="1205"/>
      <c r="G194" s="1205"/>
      <c r="H194" s="930" t="s">
        <v>1190</v>
      </c>
      <c r="I194" s="1205" t="s">
        <v>1191</v>
      </c>
      <c r="J194" s="1205"/>
      <c r="K194" s="1205" t="s">
        <v>1192</v>
      </c>
      <c r="L194" s="1205"/>
      <c r="M194" s="1205"/>
      <c r="N194" s="683"/>
    </row>
    <row r="195" spans="2:14">
      <c r="B195" s="683"/>
      <c r="C195" s="925"/>
      <c r="D195" s="1213" t="s">
        <v>1168</v>
      </c>
      <c r="E195" s="1213"/>
      <c r="F195" s="1213"/>
      <c r="G195" s="1213"/>
      <c r="H195" s="945"/>
      <c r="I195" s="1213"/>
      <c r="J195" s="1213"/>
      <c r="K195" s="1213"/>
      <c r="L195" s="1213"/>
      <c r="M195" s="1213"/>
      <c r="N195" s="683"/>
    </row>
    <row r="196" spans="2:14" ht="39" customHeight="1">
      <c r="B196" s="683"/>
      <c r="C196" s="925" t="s">
        <v>1193</v>
      </c>
      <c r="D196" s="1191" t="s">
        <v>1194</v>
      </c>
      <c r="E196" s="1191"/>
      <c r="F196" s="1191"/>
      <c r="G196" s="1191"/>
      <c r="H196" s="1191"/>
      <c r="I196" s="1191"/>
      <c r="J196" s="1191"/>
      <c r="K196" s="1191"/>
      <c r="L196" s="1191"/>
      <c r="M196" s="1191"/>
      <c r="N196" s="683"/>
    </row>
    <row r="197" spans="2:14" ht="40.5" customHeight="1">
      <c r="B197" s="683"/>
      <c r="C197" s="925" t="s">
        <v>1195</v>
      </c>
      <c r="D197" s="1191" t="s">
        <v>1196</v>
      </c>
      <c r="E197" s="1191"/>
      <c r="F197" s="1191"/>
      <c r="G197" s="1191"/>
      <c r="H197" s="1191"/>
      <c r="I197" s="1191"/>
      <c r="J197" s="1191"/>
      <c r="K197" s="1191"/>
      <c r="L197" s="1191"/>
      <c r="M197" s="1191"/>
      <c r="N197" s="683"/>
    </row>
    <row r="198" spans="2:14" ht="27.75" customHeight="1">
      <c r="B198" s="683"/>
      <c r="C198" s="925" t="s">
        <v>1197</v>
      </c>
      <c r="D198" s="1191" t="s">
        <v>1198</v>
      </c>
      <c r="E198" s="1191"/>
      <c r="F198" s="1191"/>
      <c r="G198" s="1191"/>
      <c r="H198" s="1191"/>
      <c r="I198" s="1191"/>
      <c r="J198" s="1191"/>
      <c r="K198" s="1191"/>
      <c r="L198" s="1191"/>
      <c r="M198" s="1191"/>
      <c r="N198" s="683"/>
    </row>
    <row r="199" spans="2:14">
      <c r="B199" s="683"/>
      <c r="C199" s="925" t="s">
        <v>1199</v>
      </c>
      <c r="D199" s="1191" t="s">
        <v>1200</v>
      </c>
      <c r="E199" s="1191"/>
      <c r="F199" s="1191"/>
      <c r="G199" s="1191"/>
      <c r="H199" s="1191"/>
      <c r="I199" s="1191"/>
      <c r="J199" s="1191"/>
      <c r="K199" s="1191"/>
      <c r="L199" s="1191"/>
      <c r="M199" s="1191"/>
      <c r="N199" s="683"/>
    </row>
    <row r="200" spans="2:14">
      <c r="B200" s="683"/>
      <c r="C200" s="925" t="s">
        <v>1201</v>
      </c>
      <c r="D200" s="1191" t="s">
        <v>1202</v>
      </c>
      <c r="E200" s="1191"/>
      <c r="F200" s="1191"/>
      <c r="G200" s="1191"/>
      <c r="H200" s="1191"/>
      <c r="I200" s="1191"/>
      <c r="J200" s="1191"/>
      <c r="K200" s="1191"/>
      <c r="L200" s="1191"/>
      <c r="M200" s="1191"/>
      <c r="N200" s="683"/>
    </row>
    <row r="201" spans="2:14">
      <c r="B201" s="683"/>
      <c r="C201" s="925" t="s">
        <v>1203</v>
      </c>
      <c r="D201" s="1191" t="s">
        <v>1204</v>
      </c>
      <c r="E201" s="1191"/>
      <c r="F201" s="1191"/>
      <c r="G201" s="1191"/>
      <c r="H201" s="1191"/>
      <c r="I201" s="1191"/>
      <c r="J201" s="1191"/>
      <c r="K201" s="1191"/>
      <c r="L201" s="1191"/>
      <c r="M201" s="1191"/>
      <c r="N201" s="683"/>
    </row>
    <row r="202" spans="2:14" ht="33" customHeight="1">
      <c r="B202" s="683"/>
      <c r="C202" s="925" t="s">
        <v>1205</v>
      </c>
      <c r="D202" s="1191" t="s">
        <v>1206</v>
      </c>
      <c r="E202" s="1191"/>
      <c r="F202" s="1191"/>
      <c r="G202" s="1191"/>
      <c r="H202" s="1191"/>
      <c r="I202" s="1191"/>
      <c r="J202" s="1191"/>
      <c r="K202" s="1191"/>
      <c r="L202" s="1191"/>
      <c r="M202" s="1191"/>
      <c r="N202" s="683"/>
    </row>
    <row r="203" spans="2:14">
      <c r="B203" s="683"/>
      <c r="C203" s="936"/>
      <c r="D203" s="936"/>
      <c r="E203" s="935"/>
      <c r="F203" s="935"/>
      <c r="G203" s="935"/>
      <c r="H203" s="935"/>
      <c r="I203" s="935"/>
      <c r="J203" s="935"/>
      <c r="K203" s="935"/>
      <c r="L203" s="935"/>
      <c r="M203" s="935"/>
      <c r="N203" s="683"/>
    </row>
    <row r="204" spans="2:14">
      <c r="B204" s="683"/>
      <c r="C204" s="928" t="s">
        <v>1207</v>
      </c>
      <c r="D204" s="936"/>
      <c r="E204" s="935"/>
      <c r="F204" s="935"/>
      <c r="G204" s="935"/>
      <c r="H204" s="935"/>
      <c r="I204" s="935"/>
      <c r="J204" s="935"/>
      <c r="K204" s="935"/>
      <c r="L204" s="935"/>
      <c r="M204" s="935"/>
      <c r="N204" s="683"/>
    </row>
    <row r="205" spans="2:14">
      <c r="B205" s="683"/>
      <c r="C205" s="925" t="s">
        <v>1029</v>
      </c>
      <c r="D205" s="1191" t="s">
        <v>1208</v>
      </c>
      <c r="E205" s="1191"/>
      <c r="F205" s="1191"/>
      <c r="G205" s="1191"/>
      <c r="H205" s="1191"/>
      <c r="I205" s="1191"/>
      <c r="J205" s="1191"/>
      <c r="K205" s="1191"/>
      <c r="L205" s="1191"/>
      <c r="M205" s="1191"/>
      <c r="N205" s="683"/>
    </row>
    <row r="206" spans="2:14">
      <c r="B206" s="683"/>
      <c r="C206" s="925" t="s">
        <v>1031</v>
      </c>
      <c r="D206" s="1191" t="s">
        <v>1209</v>
      </c>
      <c r="E206" s="1191"/>
      <c r="F206" s="1191"/>
      <c r="G206" s="1191"/>
      <c r="H206" s="1191"/>
      <c r="I206" s="1191"/>
      <c r="J206" s="1191"/>
      <c r="K206" s="1191"/>
      <c r="L206" s="1191"/>
      <c r="M206" s="1191"/>
      <c r="N206" s="683"/>
    </row>
    <row r="207" spans="2:14">
      <c r="B207" s="683"/>
      <c r="C207" s="925" t="s">
        <v>1033</v>
      </c>
      <c r="D207" s="1191" t="s">
        <v>1210</v>
      </c>
      <c r="E207" s="1191"/>
      <c r="F207" s="1191"/>
      <c r="G207" s="1191"/>
      <c r="H207" s="1191"/>
      <c r="I207" s="1191"/>
      <c r="J207" s="1191"/>
      <c r="K207" s="1191"/>
      <c r="L207" s="1191"/>
      <c r="M207" s="1191"/>
      <c r="N207" s="683"/>
    </row>
    <row r="208" spans="2:14" ht="33" customHeight="1">
      <c r="B208" s="683"/>
      <c r="C208" s="925" t="s">
        <v>1034</v>
      </c>
      <c r="D208" s="1191" t="s">
        <v>1211</v>
      </c>
      <c r="E208" s="1191"/>
      <c r="F208" s="1191"/>
      <c r="G208" s="1191"/>
      <c r="H208" s="1191"/>
      <c r="I208" s="1191"/>
      <c r="J208" s="1191"/>
      <c r="K208" s="1191"/>
      <c r="L208" s="1191"/>
      <c r="M208" s="1191"/>
      <c r="N208" s="683"/>
    </row>
    <row r="209" spans="2:19">
      <c r="B209" s="683"/>
      <c r="C209" s="925" t="s">
        <v>1036</v>
      </c>
      <c r="D209" s="1191" t="s">
        <v>1212</v>
      </c>
      <c r="E209" s="1191"/>
      <c r="F209" s="1191"/>
      <c r="G209" s="1191"/>
      <c r="H209" s="1191"/>
      <c r="I209" s="1191"/>
      <c r="J209" s="1191"/>
      <c r="K209" s="1191"/>
      <c r="L209" s="1191"/>
      <c r="M209" s="1191"/>
      <c r="N209" s="683"/>
    </row>
    <row r="210" spans="2:19" ht="49.5" customHeight="1">
      <c r="B210" s="683"/>
      <c r="C210" s="925" t="s">
        <v>1091</v>
      </c>
      <c r="D210" s="1191" t="s">
        <v>1213</v>
      </c>
      <c r="E210" s="1191"/>
      <c r="F210" s="1191"/>
      <c r="G210" s="1191"/>
      <c r="H210" s="1191"/>
      <c r="I210" s="1191"/>
      <c r="J210" s="1191"/>
      <c r="K210" s="1191"/>
      <c r="L210" s="1191"/>
      <c r="M210" s="1191"/>
      <c r="N210" s="683"/>
    </row>
    <row r="211" spans="2:19" ht="33" customHeight="1">
      <c r="B211" s="683"/>
      <c r="C211" s="925" t="s">
        <v>1133</v>
      </c>
      <c r="D211" s="1191" t="s">
        <v>1214</v>
      </c>
      <c r="E211" s="1191"/>
      <c r="F211" s="1191"/>
      <c r="G211" s="1191"/>
      <c r="H211" s="1191"/>
      <c r="I211" s="1191"/>
      <c r="J211" s="1191"/>
      <c r="K211" s="1191"/>
      <c r="L211" s="1191"/>
      <c r="M211" s="1191"/>
      <c r="N211" s="683"/>
    </row>
    <row r="212" spans="2:19">
      <c r="B212" s="683"/>
      <c r="C212" s="936"/>
      <c r="D212" s="936"/>
      <c r="E212" s="935"/>
      <c r="F212" s="935"/>
      <c r="G212" s="935"/>
      <c r="H212" s="935"/>
      <c r="I212" s="935"/>
      <c r="J212" s="935"/>
      <c r="K212" s="935"/>
      <c r="L212" s="935"/>
      <c r="M212" s="935"/>
      <c r="N212" s="683"/>
    </row>
    <row r="213" spans="2:19">
      <c r="B213" s="683"/>
      <c r="C213" s="928" t="s">
        <v>1215</v>
      </c>
      <c r="D213" s="936"/>
      <c r="E213" s="935"/>
      <c r="F213" s="935"/>
      <c r="G213" s="935"/>
      <c r="H213" s="935"/>
      <c r="I213" s="935"/>
      <c r="J213" s="935"/>
      <c r="K213" s="935"/>
      <c r="L213" s="935"/>
      <c r="M213" s="935"/>
      <c r="N213" s="683"/>
    </row>
    <row r="214" spans="2:19" ht="42" customHeight="1">
      <c r="B214" s="683"/>
      <c r="C214" s="1191" t="s">
        <v>1216</v>
      </c>
      <c r="D214" s="1191"/>
      <c r="E214" s="1191"/>
      <c r="F214" s="1191"/>
      <c r="G214" s="1191"/>
      <c r="H214" s="1191"/>
      <c r="I214" s="1191"/>
      <c r="J214" s="1191"/>
      <c r="K214" s="1191"/>
      <c r="L214" s="1191"/>
      <c r="M214" s="1191"/>
      <c r="N214" s="683"/>
    </row>
    <row r="215" spans="2:19">
      <c r="B215" s="683"/>
      <c r="C215" s="936"/>
      <c r="D215" s="936"/>
      <c r="E215" s="935"/>
      <c r="F215" s="935"/>
      <c r="G215" s="935"/>
      <c r="H215" s="935"/>
      <c r="I215" s="935"/>
      <c r="J215" s="935"/>
      <c r="K215" s="935"/>
      <c r="L215" s="935"/>
      <c r="M215" s="935"/>
      <c r="N215" s="683"/>
    </row>
    <row r="216" spans="2:19">
      <c r="B216" s="683"/>
      <c r="C216" s="928" t="s">
        <v>1217</v>
      </c>
      <c r="D216" s="936"/>
      <c r="E216" s="935"/>
      <c r="F216" s="935"/>
      <c r="G216" s="935"/>
      <c r="H216" s="935"/>
      <c r="I216" s="935"/>
      <c r="J216" s="935"/>
      <c r="K216" s="935"/>
      <c r="L216" s="935"/>
      <c r="M216" s="935"/>
      <c r="N216" s="683"/>
    </row>
    <row r="217" spans="2:19">
      <c r="B217" s="683"/>
      <c r="C217" s="925" t="s">
        <v>1029</v>
      </c>
      <c r="D217" s="1191" t="s">
        <v>1218</v>
      </c>
      <c r="E217" s="1191"/>
      <c r="F217" s="1191"/>
      <c r="G217" s="1191"/>
      <c r="H217" s="1191"/>
      <c r="I217" s="1191"/>
      <c r="J217" s="1191"/>
      <c r="K217" s="1191"/>
      <c r="L217" s="1191"/>
      <c r="M217" s="1191"/>
      <c r="N217" s="683"/>
    </row>
    <row r="218" spans="2:19" ht="28.5" customHeight="1">
      <c r="B218" s="683"/>
      <c r="C218" s="925" t="s">
        <v>1031</v>
      </c>
      <c r="D218" s="1191" t="s">
        <v>1219</v>
      </c>
      <c r="E218" s="1191"/>
      <c r="F218" s="1191"/>
      <c r="G218" s="1191"/>
      <c r="H218" s="1191"/>
      <c r="I218" s="1191"/>
      <c r="J218" s="1191"/>
      <c r="K218" s="1191"/>
      <c r="L218" s="1191"/>
      <c r="M218" s="1191"/>
      <c r="N218" s="683"/>
    </row>
    <row r="219" spans="2:19" ht="26.25" customHeight="1">
      <c r="B219" s="683"/>
      <c r="C219" s="925" t="s">
        <v>1033</v>
      </c>
      <c r="D219" s="1191" t="s">
        <v>1220</v>
      </c>
      <c r="E219" s="1191"/>
      <c r="F219" s="1191"/>
      <c r="G219" s="1191"/>
      <c r="H219" s="1191"/>
      <c r="I219" s="1191"/>
      <c r="J219" s="1191"/>
      <c r="K219" s="1191"/>
      <c r="L219" s="1191"/>
      <c r="M219" s="1191"/>
      <c r="N219" s="683"/>
    </row>
    <row r="220" spans="2:19" ht="16.5" customHeight="1">
      <c r="B220" s="683"/>
      <c r="C220" s="939"/>
      <c r="D220" s="939"/>
      <c r="E220" s="939"/>
      <c r="F220" s="939"/>
      <c r="G220" s="939"/>
      <c r="H220" s="939"/>
      <c r="I220" s="939"/>
      <c r="J220" s="939"/>
      <c r="K220" s="939"/>
      <c r="L220" s="939"/>
      <c r="M220" s="939"/>
      <c r="N220" s="683"/>
    </row>
    <row r="221" spans="2:19" ht="16.5" customHeight="1">
      <c r="B221" s="683"/>
      <c r="C221" s="940" t="str">
        <f>[111]BS!F58</f>
        <v xml:space="preserve">For and on behalf of the Board          </v>
      </c>
      <c r="D221" s="939"/>
      <c r="E221" s="939"/>
      <c r="F221" s="939"/>
      <c r="G221" s="939"/>
      <c r="H221" s="939"/>
      <c r="I221" s="939"/>
      <c r="J221" s="939"/>
      <c r="K221" s="939"/>
      <c r="L221" s="939"/>
      <c r="M221" s="939"/>
      <c r="N221" s="683"/>
    </row>
    <row r="222" spans="2:19" s="732" customFormat="1">
      <c r="B222" s="934"/>
      <c r="C222" s="941" t="str">
        <f>B1</f>
        <v>ABC PRIVATE LIMITED</v>
      </c>
      <c r="D222" s="921"/>
      <c r="E222" s="921"/>
      <c r="F222" s="921"/>
      <c r="G222" s="921"/>
      <c r="H222" s="921"/>
      <c r="I222" s="921"/>
      <c r="J222" s="921"/>
      <c r="K222" s="921"/>
      <c r="L222" s="921"/>
      <c r="M222" s="921"/>
      <c r="N222" s="934"/>
      <c r="P222" s="735"/>
      <c r="Q222" s="743"/>
      <c r="R222" s="735"/>
      <c r="S222" s="735"/>
    </row>
    <row r="223" spans="2:19">
      <c r="B223" s="683"/>
      <c r="C223" s="939"/>
      <c r="D223" s="939"/>
      <c r="E223" s="939"/>
      <c r="F223" s="939"/>
      <c r="G223" s="939"/>
      <c r="H223" s="939"/>
      <c r="I223" s="939"/>
      <c r="J223" s="939"/>
      <c r="K223" s="939"/>
      <c r="L223" s="939"/>
      <c r="M223" s="939"/>
      <c r="N223" s="683"/>
    </row>
    <row r="224" spans="2:19">
      <c r="B224" s="683"/>
      <c r="C224" s="939"/>
      <c r="D224" s="939"/>
      <c r="E224" s="939"/>
      <c r="F224" s="939"/>
      <c r="G224" s="939"/>
      <c r="H224" s="939"/>
      <c r="I224" s="939"/>
      <c r="J224" s="939"/>
      <c r="K224" s="939"/>
      <c r="L224" s="939"/>
      <c r="M224" s="939"/>
      <c r="N224" s="683"/>
    </row>
    <row r="225" spans="2:19">
      <c r="B225" s="683"/>
      <c r="C225" s="939"/>
      <c r="D225" s="939"/>
      <c r="E225" s="939"/>
      <c r="F225" s="939"/>
      <c r="G225" s="939"/>
      <c r="H225" s="939"/>
      <c r="I225" s="939"/>
      <c r="J225" s="939"/>
      <c r="K225" s="939"/>
      <c r="L225" s="939"/>
      <c r="M225" s="939"/>
      <c r="N225" s="683"/>
    </row>
    <row r="226" spans="2:19">
      <c r="B226" s="683"/>
      <c r="C226" s="939"/>
      <c r="D226" s="939"/>
      <c r="E226" s="939"/>
      <c r="F226" s="939"/>
      <c r="G226" s="939"/>
      <c r="H226" s="939"/>
      <c r="I226" s="939"/>
      <c r="J226" s="939"/>
      <c r="K226" s="939"/>
      <c r="L226" s="939"/>
      <c r="M226" s="939"/>
      <c r="N226" s="683"/>
    </row>
    <row r="227" spans="2:19" s="732" customFormat="1">
      <c r="B227" s="934"/>
      <c r="C227" s="921" t="str">
        <f>BS!F56</f>
        <v>Director 1</v>
      </c>
      <c r="D227" s="942"/>
      <c r="E227" s="934"/>
      <c r="F227" s="921" t="str">
        <f>BS!G56</f>
        <v>Director 2</v>
      </c>
      <c r="G227" s="921"/>
      <c r="H227" s="942"/>
      <c r="I227" s="942"/>
      <c r="J227" s="934"/>
      <c r="K227" s="921"/>
      <c r="L227" s="921"/>
      <c r="M227" s="921"/>
      <c r="N227" s="934"/>
      <c r="P227" s="735"/>
      <c r="Q227" s="743"/>
      <c r="R227" s="735"/>
      <c r="S227" s="735"/>
    </row>
    <row r="228" spans="2:19">
      <c r="B228" s="683"/>
      <c r="C228" s="939" t="str">
        <f>BS!F58</f>
        <v>DIN - 00XXXX70</v>
      </c>
      <c r="D228" s="685"/>
      <c r="E228" s="685"/>
      <c r="F228" s="939" t="str">
        <f>BS!G58</f>
        <v>DIN - 00XXXX70</v>
      </c>
      <c r="G228" s="939"/>
      <c r="H228" s="685"/>
      <c r="I228" s="685"/>
      <c r="J228" s="683"/>
      <c r="K228" s="939"/>
      <c r="L228" s="939"/>
      <c r="M228" s="939"/>
      <c r="N228" s="683"/>
    </row>
    <row r="229" spans="2:19">
      <c r="B229" s="683"/>
      <c r="C229" s="939" t="str">
        <f>BS!F57</f>
        <v>(DIRECTOR)</v>
      </c>
      <c r="D229" s="685"/>
      <c r="E229" s="685"/>
      <c r="F229" s="939" t="str">
        <f>C229</f>
        <v>(DIRECTOR)</v>
      </c>
      <c r="G229" s="939"/>
      <c r="H229" s="685"/>
      <c r="I229" s="685"/>
      <c r="J229" s="683"/>
      <c r="K229" s="939"/>
      <c r="L229" s="939"/>
      <c r="M229" s="939"/>
      <c r="N229" s="683"/>
    </row>
    <row r="230" spans="2:19">
      <c r="B230" s="683"/>
      <c r="C230" s="939"/>
      <c r="D230" s="939"/>
      <c r="E230" s="939"/>
      <c r="F230" s="939"/>
      <c r="G230" s="939"/>
      <c r="H230" s="939"/>
      <c r="I230" s="939"/>
      <c r="J230" s="939"/>
      <c r="K230" s="939"/>
      <c r="L230" s="939"/>
      <c r="M230" s="939"/>
      <c r="N230" s="683"/>
    </row>
    <row r="231" spans="2:19">
      <c r="B231" s="683"/>
      <c r="C231" s="921" t="str">
        <f>PL!A61</f>
        <v>Date</v>
      </c>
      <c r="D231" s="939" t="str">
        <f>BS!C59</f>
        <v>: September 01, 2023</v>
      </c>
      <c r="E231" s="939"/>
      <c r="F231" s="939"/>
      <c r="G231" s="939"/>
      <c r="H231" s="939"/>
      <c r="I231" s="939"/>
      <c r="J231" s="939"/>
      <c r="K231" s="939"/>
      <c r="L231" s="939"/>
      <c r="M231" s="939"/>
      <c r="N231" s="683"/>
    </row>
    <row r="232" spans="2:19">
      <c r="B232" s="683"/>
      <c r="C232" s="921" t="str">
        <f>PL!A62</f>
        <v>Place</v>
      </c>
      <c r="D232" s="939" t="str">
        <f>BS!C60</f>
        <v>: Delhi</v>
      </c>
      <c r="E232" s="939"/>
      <c r="F232" s="939"/>
      <c r="G232" s="939"/>
      <c r="H232" s="939"/>
      <c r="I232" s="939"/>
      <c r="J232" s="939"/>
      <c r="K232" s="939"/>
      <c r="L232" s="939"/>
      <c r="M232" s="939"/>
      <c r="N232" s="683"/>
    </row>
  </sheetData>
  <mergeCells count="192">
    <mergeCell ref="D210:M210"/>
    <mergeCell ref="D211:M211"/>
    <mergeCell ref="C214:M214"/>
    <mergeCell ref="D217:M217"/>
    <mergeCell ref="D218:M218"/>
    <mergeCell ref="D219:M219"/>
    <mergeCell ref="D202:M202"/>
    <mergeCell ref="D205:M205"/>
    <mergeCell ref="D206:M206"/>
    <mergeCell ref="D207:M207"/>
    <mergeCell ref="D208:M208"/>
    <mergeCell ref="D209:M209"/>
    <mergeCell ref="D196:M196"/>
    <mergeCell ref="D197:M197"/>
    <mergeCell ref="D198:M198"/>
    <mergeCell ref="D199:M199"/>
    <mergeCell ref="D200:M200"/>
    <mergeCell ref="D201:M201"/>
    <mergeCell ref="D192:M192"/>
    <mergeCell ref="D193:M193"/>
    <mergeCell ref="D194:G194"/>
    <mergeCell ref="I194:J194"/>
    <mergeCell ref="K194:M194"/>
    <mergeCell ref="D195:G195"/>
    <mergeCell ref="I195:J195"/>
    <mergeCell ref="K195:M195"/>
    <mergeCell ref="D186:M186"/>
    <mergeCell ref="D187:M187"/>
    <mergeCell ref="D188:M188"/>
    <mergeCell ref="D189:M189"/>
    <mergeCell ref="D190:M190"/>
    <mergeCell ref="D191:M191"/>
    <mergeCell ref="E180:I180"/>
    <mergeCell ref="J180:K180"/>
    <mergeCell ref="E181:I181"/>
    <mergeCell ref="J181:K181"/>
    <mergeCell ref="D184:M184"/>
    <mergeCell ref="D185:M185"/>
    <mergeCell ref="D176:M176"/>
    <mergeCell ref="E177:I177"/>
    <mergeCell ref="J177:K177"/>
    <mergeCell ref="E178:I178"/>
    <mergeCell ref="J178:K178"/>
    <mergeCell ref="D179:M179"/>
    <mergeCell ref="E173:I173"/>
    <mergeCell ref="J173:K173"/>
    <mergeCell ref="E174:I174"/>
    <mergeCell ref="J174:K174"/>
    <mergeCell ref="E175:I175"/>
    <mergeCell ref="J175:K175"/>
    <mergeCell ref="D159:M159"/>
    <mergeCell ref="C162:M162"/>
    <mergeCell ref="C165:M165"/>
    <mergeCell ref="C168:M168"/>
    <mergeCell ref="D171:M171"/>
    <mergeCell ref="D172:M172"/>
    <mergeCell ref="E153:M153"/>
    <mergeCell ref="E154:M154"/>
    <mergeCell ref="E155:M155"/>
    <mergeCell ref="E156:M156"/>
    <mergeCell ref="D157:M157"/>
    <mergeCell ref="D158:M158"/>
    <mergeCell ref="D145:M145"/>
    <mergeCell ref="D146:M146"/>
    <mergeCell ref="D147:M147"/>
    <mergeCell ref="D148:M148"/>
    <mergeCell ref="D151:M151"/>
    <mergeCell ref="E152:M152"/>
    <mergeCell ref="D139:M139"/>
    <mergeCell ref="D140:M140"/>
    <mergeCell ref="D141:M141"/>
    <mergeCell ref="D142:M142"/>
    <mergeCell ref="D143:M143"/>
    <mergeCell ref="D144:M144"/>
    <mergeCell ref="E131:M131"/>
    <mergeCell ref="E132:M132"/>
    <mergeCell ref="E133:M133"/>
    <mergeCell ref="D134:M134"/>
    <mergeCell ref="D135:M135"/>
    <mergeCell ref="D136:M136"/>
    <mergeCell ref="E123:M123"/>
    <mergeCell ref="E124:M124"/>
    <mergeCell ref="E125:M125"/>
    <mergeCell ref="D128:M128"/>
    <mergeCell ref="D129:M129"/>
    <mergeCell ref="E130:M130"/>
    <mergeCell ref="D117:M117"/>
    <mergeCell ref="D118:M118"/>
    <mergeCell ref="D119:M119"/>
    <mergeCell ref="D120:M120"/>
    <mergeCell ref="D121:M121"/>
    <mergeCell ref="D122:M122"/>
    <mergeCell ref="D109:M109"/>
    <mergeCell ref="E110:M110"/>
    <mergeCell ref="E111:M111"/>
    <mergeCell ref="E112:M112"/>
    <mergeCell ref="D113:M113"/>
    <mergeCell ref="D114:M114"/>
    <mergeCell ref="D104:I104"/>
    <mergeCell ref="J104:K104"/>
    <mergeCell ref="D105:M105"/>
    <mergeCell ref="E106:M106"/>
    <mergeCell ref="E107:M107"/>
    <mergeCell ref="E108:M108"/>
    <mergeCell ref="D100:M100"/>
    <mergeCell ref="D101:I101"/>
    <mergeCell ref="J101:K101"/>
    <mergeCell ref="D102:I102"/>
    <mergeCell ref="J102:K102"/>
    <mergeCell ref="D103:I103"/>
    <mergeCell ref="J103:K103"/>
    <mergeCell ref="E92:M92"/>
    <mergeCell ref="D93:M93"/>
    <mergeCell ref="D94:M94"/>
    <mergeCell ref="D95:M95"/>
    <mergeCell ref="D96:M96"/>
    <mergeCell ref="D99:M99"/>
    <mergeCell ref="D84:M84"/>
    <mergeCell ref="D85:M85"/>
    <mergeCell ref="D88:M88"/>
    <mergeCell ref="D89:M89"/>
    <mergeCell ref="E90:M90"/>
    <mergeCell ref="E91:M91"/>
    <mergeCell ref="E77:M77"/>
    <mergeCell ref="E78:M78"/>
    <mergeCell ref="D79:M79"/>
    <mergeCell ref="P79:Y79"/>
    <mergeCell ref="D80:M80"/>
    <mergeCell ref="D83:M83"/>
    <mergeCell ref="C69:M69"/>
    <mergeCell ref="D72:M72"/>
    <mergeCell ref="D73:M73"/>
    <mergeCell ref="D74:M74"/>
    <mergeCell ref="E75:M75"/>
    <mergeCell ref="E76:M76"/>
    <mergeCell ref="D59:M59"/>
    <mergeCell ref="D60:M60"/>
    <mergeCell ref="C63:M63"/>
    <mergeCell ref="C64:M64"/>
    <mergeCell ref="C67:M67"/>
    <mergeCell ref="C68:M68"/>
    <mergeCell ref="D49:G49"/>
    <mergeCell ref="I49:J49"/>
    <mergeCell ref="L49:M49"/>
    <mergeCell ref="C52:M52"/>
    <mergeCell ref="C55:M55"/>
    <mergeCell ref="D58:M58"/>
    <mergeCell ref="D48:G48"/>
    <mergeCell ref="I48:J48"/>
    <mergeCell ref="L48:M48"/>
    <mergeCell ref="D44:G45"/>
    <mergeCell ref="H44:J44"/>
    <mergeCell ref="K44:M44"/>
    <mergeCell ref="I45:J45"/>
    <mergeCell ref="L45:M45"/>
    <mergeCell ref="D46:G46"/>
    <mergeCell ref="I46:J46"/>
    <mergeCell ref="L46:M46"/>
    <mergeCell ref="D42:I42"/>
    <mergeCell ref="D43:M43"/>
    <mergeCell ref="D28:M28"/>
    <mergeCell ref="E29:M29"/>
    <mergeCell ref="E30:M30"/>
    <mergeCell ref="E31:M31"/>
    <mergeCell ref="D36:M36"/>
    <mergeCell ref="D37:M37"/>
    <mergeCell ref="D47:G47"/>
    <mergeCell ref="I47:J47"/>
    <mergeCell ref="L47:M47"/>
    <mergeCell ref="B1:N1"/>
    <mergeCell ref="B2:N2"/>
    <mergeCell ref="B3:N3"/>
    <mergeCell ref="D7:I7"/>
    <mergeCell ref="D8:I8"/>
    <mergeCell ref="D9:I10"/>
    <mergeCell ref="D41:I41"/>
    <mergeCell ref="C21:M21"/>
    <mergeCell ref="C23:M23"/>
    <mergeCell ref="D24:M24"/>
    <mergeCell ref="D25:M25"/>
    <mergeCell ref="D26:M26"/>
    <mergeCell ref="D27:M27"/>
    <mergeCell ref="D12:M12"/>
    <mergeCell ref="D14:M14"/>
    <mergeCell ref="C17:M17"/>
    <mergeCell ref="C18:M18"/>
    <mergeCell ref="C19:M19"/>
    <mergeCell ref="C20:M20"/>
    <mergeCell ref="D38:M38"/>
    <mergeCell ref="D39:I40"/>
    <mergeCell ref="J39:K39"/>
    <mergeCell ref="L39:M39"/>
  </mergeCells>
  <pageMargins left="0.62992125984251968" right="0.47244094488188981" top="0.47244094488188981" bottom="0.74803149606299213" header="0.23622047244094491" footer="0.31496062992125984"/>
  <pageSetup paperSize="9" scale="86" fitToHeight="7" orientation="portrait" blackAndWhite="1" r:id="rId1"/>
  <rowBreaks count="1" manualBreakCount="1">
    <brk id="126" min="1"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74"/>
  <sheetViews>
    <sheetView showGridLines="0" view="pageBreakPreview" topLeftCell="A37" zoomScaleSheetLayoutView="100" workbookViewId="0">
      <selection activeCell="B55" sqref="B55"/>
    </sheetView>
  </sheetViews>
  <sheetFormatPr defaultColWidth="0" defaultRowHeight="12.75" zeroHeight="1"/>
  <cols>
    <col min="1" max="1" width="27.7109375" style="681" bestFit="1" customWidth="1"/>
    <col min="2" max="2" width="59.5703125" style="681" bestFit="1" customWidth="1"/>
    <col min="3" max="3" width="40.28515625" style="681" customWidth="1"/>
    <col min="4" max="4" width="13.42578125" style="681" customWidth="1"/>
    <col min="5" max="5" width="14.140625" style="681" customWidth="1"/>
    <col min="6" max="6" width="49.28515625" style="681" hidden="1" customWidth="1"/>
    <col min="7" max="7" width="23.28515625" style="681" hidden="1" customWidth="1"/>
    <col min="8" max="8" width="13.42578125" style="681" hidden="1" customWidth="1"/>
    <col min="9" max="9" width="9.140625" style="681" hidden="1" customWidth="1"/>
    <col min="10" max="10" width="13.42578125" style="681" hidden="1" customWidth="1"/>
    <col min="11" max="11" width="14.85546875" style="681" hidden="1" customWidth="1"/>
    <col min="12" max="25" width="9.140625" style="681" hidden="1" customWidth="1"/>
    <col min="26" max="26" width="3.28515625" style="681" hidden="1" customWidth="1"/>
    <col min="27" max="16384" width="9.140625" style="681" hidden="1"/>
  </cols>
  <sheetData>
    <row r="1" spans="1:26">
      <c r="A1" s="681" t="s">
        <v>952</v>
      </c>
      <c r="B1" s="682" t="s">
        <v>953</v>
      </c>
      <c r="Z1" s="681">
        <v>1</v>
      </c>
    </row>
    <row r="2" spans="1:26">
      <c r="Z2" s="681">
        <f>1+Z1</f>
        <v>2</v>
      </c>
    </row>
    <row r="3" spans="1:26">
      <c r="A3" s="1024" t="s">
        <v>954</v>
      </c>
      <c r="B3" s="1024"/>
      <c r="Z3" s="681">
        <f t="shared" ref="Z3:Z38" si="0">1+Z2</f>
        <v>3</v>
      </c>
    </row>
    <row r="4" spans="1:26">
      <c r="A4" s="683" t="s">
        <v>955</v>
      </c>
      <c r="B4" s="684">
        <v>44652</v>
      </c>
      <c r="C4" s="685" t="str">
        <f>""&amp;YEAR(B4)-1&amp;"-"&amp;RIGHT(YEAR(B5)-1, 2)&amp;""</f>
        <v>2021-22</v>
      </c>
      <c r="D4" s="685" t="str">
        <f>TEXT(B4, "DD-MMM-YY")</f>
        <v>01-Apr-22</v>
      </c>
      <c r="E4" s="685" t="str">
        <f>TEXT(DATE(YEAR(B5)-2, MONTH(B5), DAY(B5)), "DD-MMM-YY")</f>
        <v>31-Mar-21</v>
      </c>
      <c r="F4" s="686">
        <f>YEAR(B4)</f>
        <v>2022</v>
      </c>
      <c r="G4" s="685" t="str">
        <f>TEXT(E5, "DD-MMMM-YYYY")</f>
        <v>31-March-2022</v>
      </c>
      <c r="Z4" s="681">
        <f t="shared" si="0"/>
        <v>4</v>
      </c>
    </row>
    <row r="5" spans="1:26">
      <c r="A5" s="683" t="s">
        <v>956</v>
      </c>
      <c r="B5" s="684">
        <v>45016</v>
      </c>
      <c r="C5" s="685" t="str">
        <f>""&amp;YEAR(B4)&amp;"-"&amp;RIGHT(YEAR(B5), 2)&amp;""</f>
        <v>2022-23</v>
      </c>
      <c r="D5" s="685" t="str">
        <f>TEXT(B5,"DD-MMM-YY")</f>
        <v>31-Mar-23</v>
      </c>
      <c r="E5" s="687" t="str">
        <f>TEXT(DATE(YEAR(B5)-1, MONTH(B5), DAY(B5)), "DD-MMM-YY")</f>
        <v>31-Mar-22</v>
      </c>
      <c r="F5" s="686">
        <f>YEAR(B5)</f>
        <v>2023</v>
      </c>
      <c r="G5" s="685" t="str">
        <f>TEXT(B5, "DD-MMMM-YYYY")</f>
        <v>31-March-2023</v>
      </c>
      <c r="Z5" s="681">
        <f t="shared" si="0"/>
        <v>5</v>
      </c>
    </row>
    <row r="6" spans="1:26">
      <c r="A6" s="683" t="s">
        <v>957</v>
      </c>
      <c r="B6" s="684">
        <f>DATE(YEAR(B5)-1,MONTH(B5),DAY(B5))</f>
        <v>44651</v>
      </c>
      <c r="C6" s="685"/>
      <c r="D6" s="685"/>
      <c r="E6" s="687"/>
      <c r="F6" s="686"/>
      <c r="G6" s="685"/>
    </row>
    <row r="7" spans="1:26">
      <c r="A7" s="683" t="s">
        <v>1752</v>
      </c>
      <c r="B7" s="684" t="s">
        <v>975</v>
      </c>
      <c r="C7" s="685"/>
      <c r="D7" s="685"/>
      <c r="E7" s="687"/>
      <c r="F7" s="686"/>
      <c r="G7" s="685"/>
    </row>
    <row r="8" spans="1:26">
      <c r="A8" s="683"/>
      <c r="C8" s="685" t="str">
        <f>""&amp;YEAR(B5)&amp;"-"&amp;RIGHT(YEAR(B5)+1, 2)&amp;""</f>
        <v>2023-24</v>
      </c>
      <c r="E8" s="688" t="str">
        <f>TEXT(B5, "DD.MM.YYYY")</f>
        <v>31.03.2023</v>
      </c>
      <c r="F8" s="686">
        <f>+F5+1</f>
        <v>2024</v>
      </c>
      <c r="G8" s="689">
        <f>DATE(YEAR(G5)+1, MONTH(G5), DAY(G5))</f>
        <v>45382</v>
      </c>
      <c r="Z8" s="681">
        <f>1+Z5</f>
        <v>6</v>
      </c>
    </row>
    <row r="9" spans="1:26">
      <c r="A9" s="1024" t="s">
        <v>958</v>
      </c>
      <c r="B9" s="1024"/>
      <c r="Z9" s="681">
        <f t="shared" si="0"/>
        <v>7</v>
      </c>
    </row>
    <row r="10" spans="1:26">
      <c r="A10" s="683" t="s">
        <v>959</v>
      </c>
      <c r="B10" s="682" t="s">
        <v>1892</v>
      </c>
      <c r="Z10" s="681">
        <f t="shared" si="0"/>
        <v>8</v>
      </c>
    </row>
    <row r="11" spans="1:26">
      <c r="A11" s="683" t="s">
        <v>960</v>
      </c>
      <c r="B11" s="682" t="s">
        <v>1893</v>
      </c>
      <c r="Z11" s="681">
        <f t="shared" si="0"/>
        <v>9</v>
      </c>
    </row>
    <row r="12" spans="1:26">
      <c r="A12" s="683" t="s">
        <v>961</v>
      </c>
      <c r="B12" s="682" t="s">
        <v>1894</v>
      </c>
      <c r="Z12" s="681">
        <f t="shared" si="0"/>
        <v>10</v>
      </c>
    </row>
    <row r="13" spans="1:26">
      <c r="A13" s="683" t="s">
        <v>962</v>
      </c>
      <c r="B13" s="684">
        <v>36892</v>
      </c>
      <c r="E13" s="683" t="str">
        <f>TEXT(B13, "DD-MMMM-YYYY")</f>
        <v>01-January-2001</v>
      </c>
      <c r="Z13" s="681">
        <f t="shared" si="0"/>
        <v>11</v>
      </c>
    </row>
    <row r="14" spans="1:26">
      <c r="A14" s="683" t="s">
        <v>963</v>
      </c>
      <c r="B14" s="975" t="s">
        <v>1895</v>
      </c>
      <c r="Z14" s="681">
        <f t="shared" si="0"/>
        <v>12</v>
      </c>
    </row>
    <row r="15" spans="1:26">
      <c r="A15" s="683" t="s">
        <v>964</v>
      </c>
      <c r="B15" s="690"/>
      <c r="Z15" s="681">
        <f t="shared" si="0"/>
        <v>13</v>
      </c>
    </row>
    <row r="16" spans="1:26">
      <c r="A16" s="683" t="s">
        <v>1582</v>
      </c>
      <c r="B16" s="690" t="s">
        <v>1772</v>
      </c>
    </row>
    <row r="17" spans="1:26">
      <c r="A17" s="683" t="s">
        <v>1586</v>
      </c>
      <c r="B17" s="690" t="s">
        <v>1742</v>
      </c>
      <c r="C17" s="681">
        <f>VLOOKUP(B17,$D$17:$E$19,2,FALSE)</f>
        <v>1000</v>
      </c>
      <c r="D17" s="690" t="s">
        <v>1587</v>
      </c>
      <c r="E17" s="681">
        <f>10^2</f>
        <v>100</v>
      </c>
    </row>
    <row r="18" spans="1:26">
      <c r="A18" s="683" t="s">
        <v>1639</v>
      </c>
      <c r="B18" s="885">
        <v>3</v>
      </c>
      <c r="D18" s="690" t="s">
        <v>1742</v>
      </c>
      <c r="E18" s="681">
        <f>10^3</f>
        <v>1000</v>
      </c>
    </row>
    <row r="19" spans="1:26">
      <c r="A19" s="683"/>
      <c r="B19" s="690" t="s">
        <v>1896</v>
      </c>
      <c r="D19" s="690" t="s">
        <v>1743</v>
      </c>
      <c r="E19" s="681">
        <f>10^5</f>
        <v>100000</v>
      </c>
    </row>
    <row r="20" spans="1:26">
      <c r="A20" s="683"/>
      <c r="B20" s="690" t="s">
        <v>1897</v>
      </c>
    </row>
    <row r="21" spans="1:26">
      <c r="A21" s="683"/>
      <c r="B21" s="690" t="s">
        <v>1898</v>
      </c>
    </row>
    <row r="22" spans="1:26">
      <c r="A22" s="683" t="s">
        <v>1731</v>
      </c>
      <c r="B22" s="690" t="s">
        <v>1164</v>
      </c>
    </row>
    <row r="23" spans="1:26">
      <c r="A23" s="683" t="s">
        <v>1733</v>
      </c>
      <c r="B23" s="690" t="s">
        <v>1732</v>
      </c>
    </row>
    <row r="24" spans="1:26">
      <c r="A24" s="683" t="s">
        <v>1734</v>
      </c>
      <c r="B24" s="690" t="s">
        <v>1737</v>
      </c>
    </row>
    <row r="25" spans="1:26">
      <c r="A25" s="683" t="s">
        <v>1735</v>
      </c>
      <c r="B25" s="690" t="s">
        <v>1738</v>
      </c>
    </row>
    <row r="26" spans="1:26">
      <c r="A26" s="683" t="s">
        <v>1736</v>
      </c>
      <c r="B26" s="690" t="s">
        <v>1737</v>
      </c>
    </row>
    <row r="27" spans="1:26">
      <c r="A27" s="683"/>
      <c r="B27" s="690"/>
    </row>
    <row r="28" spans="1:26">
      <c r="A28" s="683"/>
      <c r="B28" s="690"/>
    </row>
    <row r="29" spans="1:26">
      <c r="A29" s="683"/>
      <c r="Z29" s="681">
        <f>1+Z15</f>
        <v>14</v>
      </c>
    </row>
    <row r="30" spans="1:26">
      <c r="A30" s="681" t="s">
        <v>965</v>
      </c>
      <c r="B30" s="691">
        <v>10</v>
      </c>
      <c r="Z30" s="681">
        <f t="shared" si="0"/>
        <v>15</v>
      </c>
    </row>
    <row r="31" spans="1:26">
      <c r="A31" s="683"/>
      <c r="Z31" s="681">
        <f t="shared" si="0"/>
        <v>16</v>
      </c>
    </row>
    <row r="32" spans="1:26">
      <c r="A32" s="1024" t="s">
        <v>966</v>
      </c>
      <c r="B32" s="1024"/>
      <c r="Z32" s="681">
        <f t="shared" si="0"/>
        <v>17</v>
      </c>
    </row>
    <row r="33" spans="1:26">
      <c r="A33" s="683"/>
      <c r="C33" s="693" t="s">
        <v>969</v>
      </c>
      <c r="E33" s="694" t="s">
        <v>970</v>
      </c>
      <c r="G33" s="694" t="s">
        <v>971</v>
      </c>
      <c r="Z33" s="681" t="e">
        <f>1+#REF!</f>
        <v>#REF!</v>
      </c>
    </row>
    <row r="34" spans="1:26">
      <c r="A34" s="683" t="s">
        <v>972</v>
      </c>
      <c r="B34" s="974" t="str">
        <f>B19</f>
        <v>Director 1</v>
      </c>
      <c r="C34" s="695" t="s">
        <v>953</v>
      </c>
      <c r="E34" s="696"/>
      <c r="G34" s="695"/>
      <c r="Z34" s="681" t="e">
        <f t="shared" si="0"/>
        <v>#REF!</v>
      </c>
    </row>
    <row r="35" spans="1:26">
      <c r="A35" s="683" t="s">
        <v>973</v>
      </c>
      <c r="B35" s="697" t="s">
        <v>1899</v>
      </c>
      <c r="C35" s="698"/>
      <c r="Z35" s="681" t="e">
        <f t="shared" si="0"/>
        <v>#REF!</v>
      </c>
    </row>
    <row r="36" spans="1:26">
      <c r="A36" s="683" t="s">
        <v>974</v>
      </c>
      <c r="B36" s="974" t="str">
        <f>B20</f>
        <v>Director 2</v>
      </c>
      <c r="C36" s="695" t="s">
        <v>975</v>
      </c>
      <c r="E36" s="696">
        <v>43549</v>
      </c>
      <c r="G36" s="695" t="s">
        <v>976</v>
      </c>
      <c r="Z36" s="681" t="e">
        <f t="shared" si="0"/>
        <v>#REF!</v>
      </c>
    </row>
    <row r="37" spans="1:26">
      <c r="A37" s="683" t="s">
        <v>977</v>
      </c>
      <c r="B37" s="697" t="s">
        <v>1899</v>
      </c>
      <c r="C37" s="698"/>
      <c r="Z37" s="681" t="e">
        <f t="shared" si="0"/>
        <v>#REF!</v>
      </c>
    </row>
    <row r="38" spans="1:26">
      <c r="Z38" s="681" t="e">
        <f t="shared" si="0"/>
        <v>#REF!</v>
      </c>
    </row>
    <row r="39" spans="1:26">
      <c r="A39" s="1024" t="s">
        <v>978</v>
      </c>
      <c r="B39" s="1024"/>
      <c r="Z39" s="681" t="e">
        <f>Z38+1</f>
        <v>#REF!</v>
      </c>
    </row>
    <row r="40" spans="1:26">
      <c r="A40" s="681" t="s">
        <v>979</v>
      </c>
      <c r="B40" s="691">
        <v>18</v>
      </c>
      <c r="Z40" s="681" t="e">
        <f>Z39+1</f>
        <v>#REF!</v>
      </c>
    </row>
    <row r="41" spans="1:26">
      <c r="A41" s="681" t="s">
        <v>980</v>
      </c>
      <c r="B41" s="692">
        <v>45199</v>
      </c>
      <c r="C41" s="683" t="str">
        <f>TEXT(B41, "DD-MMM-YYYY")</f>
        <v>30-Sep-2023</v>
      </c>
      <c r="D41" s="695" t="str">
        <f>TEXT(C41, "dddd")</f>
        <v>Saturday</v>
      </c>
      <c r="F41" s="699">
        <f>+B41+5</f>
        <v>45204</v>
      </c>
      <c r="G41" s="700">
        <f>DATE(YEAR(B5),12,31)</f>
        <v>45291</v>
      </c>
      <c r="Z41" s="681" t="e">
        <f t="shared" ref="Z41:Z72" si="1">Z40+1</f>
        <v>#REF!</v>
      </c>
    </row>
    <row r="42" spans="1:26">
      <c r="A42" s="681" t="s">
        <v>981</v>
      </c>
      <c r="B42" s="701">
        <v>0.64583333333333337</v>
      </c>
      <c r="C42" s="681" t="str">
        <f>TEXT(B42, "hh:mm AM/PM")</f>
        <v>03:30 PM</v>
      </c>
      <c r="Z42" s="681" t="e">
        <f t="shared" si="1"/>
        <v>#REF!</v>
      </c>
    </row>
    <row r="43" spans="1:26">
      <c r="Z43" s="681" t="e">
        <f t="shared" si="1"/>
        <v>#REF!</v>
      </c>
    </row>
    <row r="44" spans="1:26">
      <c r="A44" s="1024" t="s">
        <v>982</v>
      </c>
      <c r="B44" s="1024"/>
      <c r="Z44" s="681" t="e">
        <f t="shared" si="1"/>
        <v>#REF!</v>
      </c>
    </row>
    <row r="45" spans="1:26">
      <c r="A45" s="681" t="s">
        <v>983</v>
      </c>
      <c r="B45" s="682" t="s">
        <v>984</v>
      </c>
      <c r="Z45" s="681" t="e">
        <f t="shared" si="1"/>
        <v>#REF!</v>
      </c>
    </row>
    <row r="46" spans="1:26">
      <c r="A46" s="681" t="s">
        <v>985</v>
      </c>
      <c r="B46" s="691">
        <v>5</v>
      </c>
      <c r="C46" s="681" t="str">
        <f>TEXT(B5+1, "dd-mmm-yyyy")</f>
        <v>01-Apr-2023</v>
      </c>
      <c r="D46" s="681" t="str">
        <f>TEXT(DATE(YEAR(C46)+B46, 3, 31), "dd-mmm-yyyy")</f>
        <v>31-Mar-2028</v>
      </c>
      <c r="Z46" s="681" t="e">
        <f t="shared" si="1"/>
        <v>#REF!</v>
      </c>
    </row>
    <row r="47" spans="1:26">
      <c r="A47" s="683"/>
      <c r="Z47" s="681" t="e">
        <f t="shared" si="1"/>
        <v>#REF!</v>
      </c>
    </row>
    <row r="48" spans="1:26">
      <c r="A48" s="702" t="s">
        <v>986</v>
      </c>
      <c r="C48" s="681" t="s">
        <v>987</v>
      </c>
      <c r="Z48" s="681" t="e">
        <f t="shared" si="1"/>
        <v>#REF!</v>
      </c>
    </row>
    <row r="49" spans="1:26">
      <c r="A49" s="683" t="s">
        <v>988</v>
      </c>
      <c r="B49" s="692"/>
      <c r="C49" s="683" t="str">
        <f>TEXT(B49, "DD-MMM-YY")</f>
        <v>00-Jan-00</v>
      </c>
      <c r="Z49" s="681" t="e">
        <f t="shared" si="1"/>
        <v>#REF!</v>
      </c>
    </row>
    <row r="50" spans="1:26">
      <c r="A50" s="683" t="s">
        <v>989</v>
      </c>
      <c r="B50" s="682"/>
      <c r="Z50" s="681" t="e">
        <f t="shared" si="1"/>
        <v>#REF!</v>
      </c>
    </row>
    <row r="51" spans="1:26">
      <c r="A51" s="683" t="s">
        <v>990</v>
      </c>
      <c r="B51" s="682"/>
      <c r="Z51" s="681" t="e">
        <f t="shared" si="1"/>
        <v>#REF!</v>
      </c>
    </row>
    <row r="52" spans="1:26">
      <c r="A52" s="683"/>
      <c r="Z52" s="681" t="e">
        <f t="shared" si="1"/>
        <v>#REF!</v>
      </c>
    </row>
    <row r="53" spans="1:26">
      <c r="A53" s="702" t="s">
        <v>991</v>
      </c>
      <c r="Z53" s="681" t="e">
        <f t="shared" si="1"/>
        <v>#REF!</v>
      </c>
    </row>
    <row r="54" spans="1:26">
      <c r="A54" s="683" t="s">
        <v>992</v>
      </c>
      <c r="B54" s="682" t="s">
        <v>1904</v>
      </c>
      <c r="E54" s="703"/>
      <c r="F54" s="703" t="s">
        <v>993</v>
      </c>
      <c r="G54" s="703"/>
      <c r="Z54" s="681" t="e">
        <f t="shared" si="1"/>
        <v>#REF!</v>
      </c>
    </row>
    <row r="55" spans="1:26" ht="25.5">
      <c r="A55" s="683" t="s">
        <v>994</v>
      </c>
      <c r="B55" s="704" t="s">
        <v>1903</v>
      </c>
      <c r="C55" s="681" t="s">
        <v>995</v>
      </c>
      <c r="E55" s="705"/>
      <c r="F55" s="705" t="s">
        <v>996</v>
      </c>
      <c r="G55" s="705"/>
      <c r="Z55" s="681" t="e">
        <f t="shared" si="1"/>
        <v>#REF!</v>
      </c>
    </row>
    <row r="56" spans="1:26">
      <c r="A56" s="683" t="s">
        <v>997</v>
      </c>
      <c r="B56" s="706" t="s">
        <v>1754</v>
      </c>
      <c r="C56" s="681" t="s">
        <v>998</v>
      </c>
      <c r="E56" s="705"/>
      <c r="F56" s="705" t="s">
        <v>999</v>
      </c>
      <c r="G56" s="705"/>
      <c r="Z56" s="681" t="e">
        <f t="shared" si="1"/>
        <v>#REF!</v>
      </c>
    </row>
    <row r="57" spans="1:26">
      <c r="A57" s="683" t="s">
        <v>1000</v>
      </c>
      <c r="B57" s="976" t="s">
        <v>1755</v>
      </c>
      <c r="C57" s="681" t="s">
        <v>998</v>
      </c>
      <c r="E57" s="705"/>
      <c r="F57" s="705" t="s">
        <v>1001</v>
      </c>
      <c r="G57" s="705"/>
      <c r="Z57" s="681" t="e">
        <f t="shared" si="1"/>
        <v>#REF!</v>
      </c>
    </row>
    <row r="58" spans="1:26">
      <c r="A58" s="683" t="s">
        <v>1002</v>
      </c>
      <c r="B58" s="707" t="s">
        <v>1901</v>
      </c>
      <c r="C58" s="698"/>
      <c r="E58" s="705"/>
      <c r="F58" s="705" t="s">
        <v>1003</v>
      </c>
      <c r="G58" s="705"/>
      <c r="Z58" s="681" t="e">
        <f t="shared" si="1"/>
        <v>#REF!</v>
      </c>
    </row>
    <row r="59" spans="1:26">
      <c r="A59" s="683" t="s">
        <v>1004</v>
      </c>
      <c r="B59" s="682" t="s">
        <v>1756</v>
      </c>
      <c r="E59" s="705"/>
      <c r="F59" s="705" t="s">
        <v>1005</v>
      </c>
      <c r="G59" s="705"/>
      <c r="Z59" s="681" t="e">
        <f t="shared" si="1"/>
        <v>#REF!</v>
      </c>
    </row>
    <row r="60" spans="1:26">
      <c r="A60" s="683" t="s">
        <v>1161</v>
      </c>
      <c r="B60" s="682" t="s">
        <v>1725</v>
      </c>
      <c r="E60" s="705"/>
      <c r="F60" s="705"/>
      <c r="G60" s="705"/>
    </row>
    <row r="61" spans="1:26">
      <c r="A61" s="683" t="s">
        <v>968</v>
      </c>
      <c r="B61" s="910">
        <v>45170</v>
      </c>
      <c r="E61" s="909"/>
      <c r="F61" s="909"/>
      <c r="G61" s="909"/>
    </row>
    <row r="62" spans="1:26">
      <c r="A62" s="683" t="s">
        <v>967</v>
      </c>
      <c r="B62" s="682" t="s">
        <v>1774</v>
      </c>
      <c r="E62" s="909"/>
      <c r="F62" s="909"/>
      <c r="G62" s="909"/>
    </row>
    <row r="63" spans="1:26">
      <c r="A63" s="683" t="s">
        <v>1006</v>
      </c>
      <c r="B63" s="691" t="s">
        <v>1902</v>
      </c>
      <c r="C63" s="909"/>
      <c r="E63" s="909"/>
      <c r="F63" s="909">
        <v>548520</v>
      </c>
      <c r="G63" s="909"/>
      <c r="Z63" s="681" t="e">
        <f>Z59+1</f>
        <v>#REF!</v>
      </c>
    </row>
    <row r="64" spans="1:26">
      <c r="A64" s="681" t="s">
        <v>1729</v>
      </c>
      <c r="B64" s="691"/>
      <c r="Z64" s="681" t="e">
        <f t="shared" si="1"/>
        <v>#REF!</v>
      </c>
    </row>
    <row r="65" spans="26:26" hidden="1">
      <c r="Z65" s="681" t="e">
        <f t="shared" si="1"/>
        <v>#REF!</v>
      </c>
    </row>
    <row r="66" spans="26:26" hidden="1">
      <c r="Z66" s="681" t="e">
        <f t="shared" si="1"/>
        <v>#REF!</v>
      </c>
    </row>
    <row r="67" spans="26:26" hidden="1">
      <c r="Z67" s="681" t="e">
        <f t="shared" si="1"/>
        <v>#REF!</v>
      </c>
    </row>
    <row r="68" spans="26:26" hidden="1">
      <c r="Z68" s="681" t="e">
        <f t="shared" si="1"/>
        <v>#REF!</v>
      </c>
    </row>
    <row r="69" spans="26:26" hidden="1">
      <c r="Z69" s="681" t="e">
        <f t="shared" si="1"/>
        <v>#REF!</v>
      </c>
    </row>
    <row r="70" spans="26:26" hidden="1">
      <c r="Z70" s="681" t="e">
        <f t="shared" si="1"/>
        <v>#REF!</v>
      </c>
    </row>
    <row r="71" spans="26:26" hidden="1">
      <c r="Z71" s="681" t="e">
        <f t="shared" si="1"/>
        <v>#REF!</v>
      </c>
    </row>
    <row r="72" spans="26:26" hidden="1">
      <c r="Z72" s="681" t="e">
        <f t="shared" si="1"/>
        <v>#REF!</v>
      </c>
    </row>
    <row r="73" spans="26:26"/>
    <row r="74" spans="26:26"/>
  </sheetData>
  <dataConsolidate/>
  <mergeCells count="5">
    <mergeCell ref="A3:B3"/>
    <mergeCell ref="A9:B9"/>
    <mergeCell ref="A32:B32"/>
    <mergeCell ref="A39:B39"/>
    <mergeCell ref="A44:B44"/>
  </mergeCells>
  <dataValidations count="10">
    <dataValidation type="custom" allowBlank="1" showInputMessage="1" showErrorMessage="1" sqref="B6" xr:uid="{00000000-0002-0000-0100-000000000000}">
      <formula1>DATE(YEAR(B5)-1,MONTH(B5),DAY(B5))</formula1>
    </dataValidation>
    <dataValidation type="list" allowBlank="1" showInputMessage="1" showErrorMessage="1" sqref="B40" xr:uid="{00000000-0002-0000-0100-000001000000}">
      <formula1>$Z$1:$Z$71</formula1>
    </dataValidation>
    <dataValidation type="date" operator="greaterThan" allowBlank="1" showInputMessage="1" showErrorMessage="1" sqref="E34" xr:uid="{00000000-0002-0000-0100-000002000000}">
      <formula1>#REF!</formula1>
    </dataValidation>
    <dataValidation type="list" allowBlank="1" showInputMessage="1" showErrorMessage="1" sqref="B45" xr:uid="{00000000-0002-0000-0100-000003000000}">
      <formula1>"appointed, re-appointed"</formula1>
    </dataValidation>
    <dataValidation type="list" allowBlank="1" showInputMessage="1" showErrorMessage="1" sqref="B1" xr:uid="{00000000-0002-0000-0100-000004000000}">
      <formula1>"Yes, No"</formula1>
    </dataValidation>
    <dataValidation type="list" allowBlank="1" showInputMessage="1" showErrorMessage="1" sqref="G34 G36" xr:uid="{00000000-0002-0000-0100-000005000000}">
      <formula1>"Executive Director, Non-Executive Director"</formula1>
    </dataValidation>
    <dataValidation type="time" allowBlank="1" showInputMessage="1" showErrorMessage="1" sqref="B42" xr:uid="{00000000-0002-0000-0100-000006000000}">
      <formula1>0.458333333333333</formula1>
      <formula2>0.666666666666667</formula2>
    </dataValidation>
    <dataValidation type="list" allowBlank="1" showInputMessage="1" showErrorMessage="1" sqref="B17 D17:D19" xr:uid="{00000000-0002-0000-0100-000007000000}">
      <formula1>"In Rs. Hundreds,In Rs. Thousands, In Rs. Lakhs"</formula1>
    </dataValidation>
    <dataValidation type="date" allowBlank="1" showInputMessage="1" showErrorMessage="1" sqref="B41" xr:uid="{00000000-0002-0000-0100-000008000000}">
      <formula1>B5</formula1>
      <formula2>G41</formula2>
    </dataValidation>
    <dataValidation type="list" allowBlank="1" showInputMessage="1" showErrorMessage="1" sqref="B7" xr:uid="{00000000-0002-0000-0100-000009000000}">
      <formula1>"Yes,No"</formula1>
    </dataValidation>
  </dataValidations>
  <hyperlinks>
    <hyperlink ref="B14" r:id="rId1" xr:uid="{00000000-0004-0000-0100-000000000000}"/>
    <hyperlink ref="B57" r:id="rId2" xr:uid="{00000000-0004-0000-0100-000001000000}"/>
  </hyperlinks>
  <pageMargins left="0.70866141732283472" right="0.70866141732283472" top="0.74803149606299213" bottom="0.74803149606299213" header="0.31496062992125984" footer="0.31496062992125984"/>
  <pageSetup paperSize="9" scale="88"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V165"/>
  <sheetViews>
    <sheetView showGridLines="0" view="pageBreakPreview" topLeftCell="B148" zoomScale="90" zoomScaleNormal="85" zoomScaleSheetLayoutView="90" workbookViewId="0">
      <selection activeCell="C9" sqref="B9:M10"/>
    </sheetView>
  </sheetViews>
  <sheetFormatPr defaultColWidth="9.140625" defaultRowHeight="14.25"/>
  <cols>
    <col min="1" max="1" width="9.140625" style="725"/>
    <col min="2" max="2" width="2.28515625" style="725" customWidth="1"/>
    <col min="3" max="3" width="6.85546875" style="727" customWidth="1"/>
    <col min="4" max="4" width="21.28515625" style="727" customWidth="1"/>
    <col min="5" max="5" width="12.140625" style="727" customWidth="1"/>
    <col min="6" max="7" width="9.42578125" style="727" customWidth="1"/>
    <col min="8" max="8" width="11.28515625" style="725" customWidth="1"/>
    <col min="9" max="10" width="9.42578125" style="725" customWidth="1"/>
    <col min="11" max="11" width="10.5703125" style="725" customWidth="1"/>
    <col min="12" max="12" width="1.85546875" style="725" customWidth="1"/>
    <col min="13" max="13" width="9.28515625" style="725" bestFit="1" customWidth="1"/>
    <col min="14" max="14" width="12.28515625" style="727" customWidth="1"/>
    <col min="15" max="15" width="17" style="738" bestFit="1" customWidth="1"/>
    <col min="16" max="16" width="14.140625" style="727" customWidth="1"/>
    <col min="17" max="17" width="12" style="727" customWidth="1"/>
    <col min="18" max="19" width="14" style="725" customWidth="1"/>
    <col min="20" max="21" width="9.140625" style="725"/>
    <col min="22" max="22" width="10.7109375" style="725" bestFit="1" customWidth="1"/>
    <col min="23" max="16384" width="9.140625" style="725"/>
  </cols>
  <sheetData>
    <row r="1" spans="2:15">
      <c r="B1" s="1183" t="str">
        <f>MRL!B1</f>
        <v>ABC PRIVATE LIMITED</v>
      </c>
      <c r="C1" s="1183"/>
      <c r="D1" s="1183"/>
      <c r="E1" s="1183"/>
      <c r="F1" s="1183"/>
      <c r="G1" s="1183"/>
      <c r="H1" s="1183"/>
      <c r="I1" s="1183"/>
      <c r="J1" s="1183"/>
      <c r="K1" s="1183"/>
      <c r="L1" s="1183"/>
      <c r="O1" s="736"/>
    </row>
    <row r="2" spans="2:15" ht="16.5" customHeight="1">
      <c r="B2" s="1184" t="str">
        <f>MRL!B2</f>
        <v>B-2, XXXXXXXXXXXX XXXXXXXXXXX0034</v>
      </c>
      <c r="C2" s="1184"/>
      <c r="D2" s="1184"/>
      <c r="E2" s="1184"/>
      <c r="F2" s="1184"/>
      <c r="G2" s="1184"/>
      <c r="H2" s="1184"/>
      <c r="I2" s="1184"/>
      <c r="J2" s="1184"/>
      <c r="K2" s="1184"/>
      <c r="L2" s="1184"/>
      <c r="O2" s="736"/>
    </row>
    <row r="3" spans="2:15" ht="16.5" customHeight="1">
      <c r="B3" s="1184" t="str">
        <f>MRL!B3</f>
        <v>CIN : U7XXXXXXXXXXXXXXXXX52</v>
      </c>
      <c r="C3" s="1184"/>
      <c r="D3" s="1184"/>
      <c r="E3" s="1184"/>
      <c r="F3" s="1184"/>
      <c r="G3" s="1184"/>
      <c r="H3" s="1184"/>
      <c r="I3" s="1184"/>
      <c r="J3" s="1184"/>
      <c r="K3" s="1184"/>
      <c r="L3" s="1184"/>
      <c r="O3" s="736"/>
    </row>
    <row r="4" spans="2:15" ht="16.5" customHeight="1">
      <c r="B4" s="683"/>
      <c r="C4" s="918"/>
      <c r="D4" s="685"/>
      <c r="E4" s="685"/>
      <c r="F4" s="685"/>
      <c r="G4" s="685"/>
      <c r="H4" s="683"/>
      <c r="I4" s="683"/>
      <c r="J4" s="683"/>
      <c r="K4" s="683"/>
      <c r="L4" s="683"/>
      <c r="O4" s="736"/>
    </row>
    <row r="5" spans="2:15" ht="16.5" customHeight="1">
      <c r="B5" s="683"/>
      <c r="C5" s="1222" t="s">
        <v>1221</v>
      </c>
      <c r="D5" s="1222"/>
      <c r="E5" s="1222"/>
      <c r="F5" s="1222"/>
      <c r="G5" s="1222"/>
      <c r="H5" s="1222"/>
      <c r="I5" s="1222"/>
      <c r="J5" s="1222"/>
      <c r="K5" s="1222"/>
      <c r="L5" s="683"/>
      <c r="O5" s="736"/>
    </row>
    <row r="6" spans="2:15">
      <c r="B6" s="683"/>
      <c r="C6" s="683" t="s">
        <v>1020</v>
      </c>
      <c r="D6" s="920"/>
      <c r="E6" s="920"/>
      <c r="F6" s="920"/>
      <c r="G6" s="920"/>
      <c r="H6" s="920"/>
      <c r="I6" s="920"/>
      <c r="J6" s="920"/>
      <c r="K6" s="920"/>
      <c r="L6" s="683"/>
    </row>
    <row r="7" spans="2:15">
      <c r="B7" s="683"/>
      <c r="C7" s="683" t="s">
        <v>1222</v>
      </c>
      <c r="D7" s="683"/>
      <c r="E7" s="683"/>
      <c r="F7" s="683"/>
      <c r="G7" s="683"/>
      <c r="H7" s="683"/>
      <c r="I7" s="683"/>
      <c r="J7" s="683"/>
      <c r="K7" s="683"/>
      <c r="L7" s="683"/>
    </row>
    <row r="8" spans="2:15">
      <c r="B8" s="683"/>
      <c r="C8" s="934" t="str">
        <f>Master!B10</f>
        <v>ABC PRIVATE LIMITED</v>
      </c>
      <c r="D8" s="683"/>
      <c r="E8" s="683"/>
      <c r="F8" s="683"/>
      <c r="G8" s="683"/>
      <c r="H8" s="683"/>
      <c r="I8" s="683"/>
      <c r="J8" s="683"/>
      <c r="K8" s="683"/>
      <c r="L8" s="683"/>
    </row>
    <row r="9" spans="2:15">
      <c r="B9" s="683"/>
      <c r="C9" s="683"/>
      <c r="D9" s="683"/>
      <c r="E9" s="683"/>
      <c r="F9" s="683"/>
      <c r="G9" s="683"/>
      <c r="H9" s="683"/>
      <c r="I9" s="683"/>
      <c r="J9" s="683"/>
      <c r="K9" s="683"/>
      <c r="L9" s="683"/>
    </row>
    <row r="10" spans="2:15" ht="43.5" customHeight="1">
      <c r="B10" s="683"/>
      <c r="C10" s="1191" t="str">
        <f>"Your Directors have pleasure in presenting the "&amp;Master!B40&amp;" Director’s Report of your Company together with the Audited Statement of Accounts and the Auditors’ Report of your company for the financial year ended "&amp;Master!G5&amp;"."</f>
        <v>Your Directors have pleasure in presenting the 18 Director’s Report of your Company together with the Audited Statement of Accounts and the Auditors’ Report of your company for the financial year ended 31-March-2023.</v>
      </c>
      <c r="D10" s="1191"/>
      <c r="E10" s="1191"/>
      <c r="F10" s="1191"/>
      <c r="G10" s="1191"/>
      <c r="H10" s="1191"/>
      <c r="I10" s="1191"/>
      <c r="J10" s="1191"/>
      <c r="K10" s="1191"/>
      <c r="L10" s="683"/>
    </row>
    <row r="11" spans="2:15">
      <c r="B11" s="683"/>
      <c r="C11" s="920" t="s">
        <v>1223</v>
      </c>
      <c r="D11" s="683"/>
      <c r="E11" s="683"/>
      <c r="F11" s="683"/>
      <c r="G11" s="683"/>
      <c r="H11" s="683"/>
      <c r="I11" s="683"/>
      <c r="J11" s="683"/>
      <c r="K11" s="919" t="str">
        <f>"("&amp;Master!$B$17&amp;")"</f>
        <v>(In Rs. Thousands)</v>
      </c>
      <c r="L11" s="683"/>
    </row>
    <row r="12" spans="2:15">
      <c r="B12" s="683"/>
      <c r="C12" s="1223" t="s">
        <v>63</v>
      </c>
      <c r="D12" s="1224"/>
      <c r="E12" s="1225"/>
      <c r="F12" s="1226" t="s">
        <v>1224</v>
      </c>
      <c r="G12" s="1227"/>
      <c r="H12" s="1228"/>
      <c r="I12" s="1226" t="s">
        <v>1225</v>
      </c>
      <c r="J12" s="1227"/>
      <c r="K12" s="1228"/>
      <c r="L12" s="683"/>
    </row>
    <row r="13" spans="2:15">
      <c r="B13" s="683"/>
      <c r="C13" s="1217" t="s">
        <v>630</v>
      </c>
      <c r="D13" s="1218"/>
      <c r="E13" s="1219"/>
      <c r="F13" s="1214">
        <f ca="1">PL!F8</f>
        <v>0</v>
      </c>
      <c r="G13" s="1215"/>
      <c r="H13" s="1216"/>
      <c r="I13" s="1214">
        <f>PL!G8</f>
        <v>1231110.3899999999</v>
      </c>
      <c r="J13" s="1215"/>
      <c r="K13" s="1216"/>
      <c r="L13" s="683"/>
    </row>
    <row r="14" spans="2:15">
      <c r="B14" s="683"/>
      <c r="C14" s="1217" t="s">
        <v>120</v>
      </c>
      <c r="D14" s="1218"/>
      <c r="E14" s="1219"/>
      <c r="F14" s="1214">
        <f ca="1">PL!F10</f>
        <v>0</v>
      </c>
      <c r="G14" s="1215"/>
      <c r="H14" s="1216"/>
      <c r="I14" s="1214">
        <f>PL!G10</f>
        <v>53.980000000000004</v>
      </c>
      <c r="J14" s="1215"/>
      <c r="K14" s="1216"/>
      <c r="L14" s="683"/>
    </row>
    <row r="15" spans="2:15">
      <c r="B15" s="683"/>
      <c r="C15" s="1229" t="s">
        <v>1226</v>
      </c>
      <c r="D15" s="1185"/>
      <c r="E15" s="1230"/>
      <c r="F15" s="1231">
        <f ca="1">SUM(F13:H14)</f>
        <v>0</v>
      </c>
      <c r="G15" s="1232"/>
      <c r="H15" s="1233"/>
      <c r="I15" s="1231">
        <f>SUM(I13:K14)</f>
        <v>1231164.3699999999</v>
      </c>
      <c r="J15" s="1232"/>
      <c r="K15" s="1233"/>
      <c r="L15" s="683"/>
    </row>
    <row r="16" spans="2:15">
      <c r="B16" s="683"/>
      <c r="C16" s="1217"/>
      <c r="D16" s="1218"/>
      <c r="E16" s="1219"/>
      <c r="F16" s="1214"/>
      <c r="G16" s="1215"/>
      <c r="H16" s="1216"/>
      <c r="I16" s="1214"/>
      <c r="J16" s="1215"/>
      <c r="K16" s="1216"/>
      <c r="L16" s="683"/>
    </row>
    <row r="17" spans="2:12">
      <c r="B17" s="683"/>
      <c r="C17" s="1217" t="s">
        <v>1744</v>
      </c>
      <c r="D17" s="1218"/>
      <c r="E17" s="1219"/>
      <c r="F17" s="1214">
        <f ca="1">PL!F15</f>
        <v>0</v>
      </c>
      <c r="G17" s="1215"/>
      <c r="H17" s="1216"/>
      <c r="I17" s="1214">
        <f>PL!G15</f>
        <v>0</v>
      </c>
      <c r="J17" s="1215"/>
      <c r="K17" s="1216"/>
      <c r="L17" s="683"/>
    </row>
    <row r="18" spans="2:12">
      <c r="B18" s="683"/>
      <c r="C18" s="1217" t="s">
        <v>1745</v>
      </c>
      <c r="D18" s="1218"/>
      <c r="E18" s="1219"/>
      <c r="F18" s="1214">
        <f ca="1">PL!F16</f>
        <v>0</v>
      </c>
      <c r="G18" s="1215"/>
      <c r="H18" s="1216"/>
      <c r="I18" s="1214">
        <f>PL!G16</f>
        <v>7384.8799999999992</v>
      </c>
      <c r="J18" s="1215"/>
      <c r="K18" s="1216"/>
      <c r="L18" s="683"/>
    </row>
    <row r="19" spans="2:12" ht="45.75" customHeight="1">
      <c r="B19" s="683"/>
      <c r="C19" s="1220" t="s">
        <v>1746</v>
      </c>
      <c r="D19" s="1187"/>
      <c r="E19" s="1221"/>
      <c r="F19" s="1214">
        <f ca="1">PL!F17</f>
        <v>6952.6900000000005</v>
      </c>
      <c r="G19" s="1215"/>
      <c r="H19" s="1216"/>
      <c r="I19" s="1214">
        <f>PL!G17</f>
        <v>-3782.2800000000007</v>
      </c>
      <c r="J19" s="1215"/>
      <c r="K19" s="1216"/>
      <c r="L19" s="683"/>
    </row>
    <row r="20" spans="2:12">
      <c r="B20" s="683"/>
      <c r="C20" s="1217" t="s">
        <v>1747</v>
      </c>
      <c r="D20" s="1218"/>
      <c r="E20" s="1219"/>
      <c r="F20" s="1214">
        <f ca="1">PL!F18</f>
        <v>0</v>
      </c>
      <c r="G20" s="1215"/>
      <c r="H20" s="1216"/>
      <c r="I20" s="1214">
        <f>PL!G18</f>
        <v>9215.9</v>
      </c>
      <c r="J20" s="1215"/>
      <c r="K20" s="1216"/>
      <c r="L20" s="683"/>
    </row>
    <row r="21" spans="2:12">
      <c r="B21" s="683"/>
      <c r="C21" s="1217" t="s">
        <v>535</v>
      </c>
      <c r="D21" s="1218"/>
      <c r="E21" s="1219"/>
      <c r="F21" s="1214">
        <f ca="1">PL!F19</f>
        <v>0</v>
      </c>
      <c r="G21" s="1215"/>
      <c r="H21" s="1216"/>
      <c r="I21" s="1214">
        <f>PL!G19</f>
        <v>0</v>
      </c>
      <c r="J21" s="1215"/>
      <c r="K21" s="1216"/>
      <c r="L21" s="683"/>
    </row>
    <row r="22" spans="2:12">
      <c r="B22" s="683"/>
      <c r="C22" s="1220" t="s">
        <v>1749</v>
      </c>
      <c r="D22" s="1187"/>
      <c r="E22" s="1221"/>
      <c r="F22" s="1214">
        <f>PL!F20</f>
        <v>0</v>
      </c>
      <c r="G22" s="1215"/>
      <c r="H22" s="1216"/>
      <c r="I22" s="1214">
        <f>PL!G20</f>
        <v>5469.87</v>
      </c>
      <c r="J22" s="1215"/>
      <c r="K22" s="1216"/>
      <c r="L22" s="683"/>
    </row>
    <row r="23" spans="2:12">
      <c r="B23" s="683"/>
      <c r="C23" s="1217" t="s">
        <v>1748</v>
      </c>
      <c r="D23" s="1218"/>
      <c r="E23" s="1219"/>
      <c r="F23" s="1214">
        <f ca="1">PL!F21</f>
        <v>0</v>
      </c>
      <c r="G23" s="1215"/>
      <c r="H23" s="1216"/>
      <c r="I23" s="1214">
        <f>PL!G21</f>
        <v>0</v>
      </c>
      <c r="J23" s="1215"/>
      <c r="K23" s="1216"/>
      <c r="L23" s="683"/>
    </row>
    <row r="24" spans="2:12">
      <c r="B24" s="683"/>
      <c r="C24" s="1229" t="s">
        <v>1750</v>
      </c>
      <c r="D24" s="1185"/>
      <c r="E24" s="1230"/>
      <c r="F24" s="1231">
        <f ca="1">SUM(F17:H23)</f>
        <v>6952.6900000000005</v>
      </c>
      <c r="G24" s="1232"/>
      <c r="H24" s="1233"/>
      <c r="I24" s="1231">
        <f>SUM(I17:K23)</f>
        <v>18288.37</v>
      </c>
      <c r="J24" s="1232"/>
      <c r="K24" s="1233"/>
      <c r="L24" s="683"/>
    </row>
    <row r="25" spans="2:12">
      <c r="B25" s="683"/>
      <c r="C25" s="946"/>
      <c r="D25" s="939"/>
      <c r="E25" s="947"/>
      <c r="F25" s="948"/>
      <c r="G25" s="949"/>
      <c r="H25" s="950"/>
      <c r="I25" s="948"/>
      <c r="J25" s="949"/>
      <c r="K25" s="950"/>
      <c r="L25" s="683"/>
    </row>
    <row r="26" spans="2:12">
      <c r="B26" s="683"/>
      <c r="C26" s="946" t="s">
        <v>1751</v>
      </c>
      <c r="D26" s="939"/>
      <c r="E26" s="947"/>
      <c r="F26" s="1214">
        <f ca="1">F15-F24</f>
        <v>-6952.6900000000005</v>
      </c>
      <c r="G26" s="1215"/>
      <c r="H26" s="1216"/>
      <c r="I26" s="1214">
        <f>I15-I24</f>
        <v>1212875.9999999998</v>
      </c>
      <c r="J26" s="1215"/>
      <c r="K26" s="1216"/>
      <c r="L26" s="683"/>
    </row>
    <row r="27" spans="2:12">
      <c r="B27" s="683"/>
      <c r="C27" s="946"/>
      <c r="D27" s="939"/>
      <c r="E27" s="947"/>
      <c r="F27" s="948"/>
      <c r="G27" s="949"/>
      <c r="H27" s="950"/>
      <c r="I27" s="948"/>
      <c r="J27" s="949"/>
      <c r="K27" s="950"/>
      <c r="L27" s="683"/>
    </row>
    <row r="28" spans="2:12">
      <c r="B28" s="683"/>
      <c r="C28" s="1234" t="s">
        <v>1227</v>
      </c>
      <c r="D28" s="1235"/>
      <c r="E28" s="1236"/>
      <c r="F28" s="1214"/>
      <c r="G28" s="1215"/>
      <c r="H28" s="1216"/>
      <c r="I28" s="1214"/>
      <c r="J28" s="1215"/>
      <c r="K28" s="1216"/>
      <c r="L28" s="683"/>
    </row>
    <row r="29" spans="2:12">
      <c r="B29" s="683"/>
      <c r="C29" s="1217" t="s">
        <v>62</v>
      </c>
      <c r="D29" s="1218"/>
      <c r="E29" s="1219"/>
      <c r="F29" s="1214">
        <f ca="1">PL!F37</f>
        <v>0</v>
      </c>
      <c r="G29" s="1215"/>
      <c r="H29" s="1216"/>
      <c r="I29" s="1214">
        <f>PL!G37</f>
        <v>0</v>
      </c>
      <c r="J29" s="1215"/>
      <c r="K29" s="1216"/>
      <c r="L29" s="683"/>
    </row>
    <row r="30" spans="2:12">
      <c r="B30" s="683"/>
      <c r="C30" s="1217" t="s">
        <v>1228</v>
      </c>
      <c r="D30" s="1218"/>
      <c r="E30" s="1219"/>
      <c r="F30" s="1214">
        <f>PL!F38</f>
        <v>3720.9473999999991</v>
      </c>
      <c r="G30" s="1215"/>
      <c r="H30" s="1216"/>
      <c r="I30" s="1214">
        <f>PL!G38</f>
        <v>836.65300000000002</v>
      </c>
      <c r="J30" s="1215"/>
      <c r="K30" s="1216"/>
      <c r="L30" s="683"/>
    </row>
    <row r="31" spans="2:12">
      <c r="B31" s="683"/>
      <c r="C31" s="1217"/>
      <c r="D31" s="1218"/>
      <c r="E31" s="1219"/>
      <c r="F31" s="1214"/>
      <c r="G31" s="1215"/>
      <c r="H31" s="1216"/>
      <c r="I31" s="1214"/>
      <c r="J31" s="1215"/>
      <c r="K31" s="1216"/>
      <c r="L31" s="683"/>
    </row>
    <row r="32" spans="2:12">
      <c r="B32" s="683"/>
      <c r="C32" s="1237" t="s">
        <v>1229</v>
      </c>
      <c r="D32" s="1238"/>
      <c r="E32" s="1239"/>
      <c r="F32" s="1240">
        <f ca="1">F26-F29-F30</f>
        <v>-10673.6374</v>
      </c>
      <c r="G32" s="1241"/>
      <c r="H32" s="1242"/>
      <c r="I32" s="1240">
        <f>I26-I29-I30</f>
        <v>1212039.3469999998</v>
      </c>
      <c r="J32" s="1241"/>
      <c r="K32" s="1242"/>
      <c r="L32" s="683"/>
    </row>
    <row r="33" spans="2:22">
      <c r="B33" s="683"/>
      <c r="C33" s="1217" t="s">
        <v>1230</v>
      </c>
      <c r="D33" s="1218"/>
      <c r="E33" s="951" t="s">
        <v>1231</v>
      </c>
      <c r="F33" s="1243">
        <f ca="1">PL!F48</f>
        <v>-106.736374</v>
      </c>
      <c r="G33" s="1244"/>
      <c r="H33" s="1245"/>
      <c r="I33" s="1243">
        <f>PL!G48</f>
        <v>12120.393469999999</v>
      </c>
      <c r="J33" s="1244"/>
      <c r="K33" s="1245"/>
      <c r="L33" s="683"/>
    </row>
    <row r="34" spans="2:22">
      <c r="B34" s="683"/>
      <c r="C34" s="952"/>
      <c r="D34" s="683"/>
      <c r="E34" s="951" t="s">
        <v>1232</v>
      </c>
      <c r="F34" s="1243">
        <f ca="1">PL!F49</f>
        <v>-106.736374</v>
      </c>
      <c r="G34" s="1244"/>
      <c r="H34" s="1245"/>
      <c r="I34" s="1243">
        <f>PL!G49</f>
        <v>12120.393469999999</v>
      </c>
      <c r="J34" s="1244"/>
      <c r="K34" s="1245"/>
      <c r="L34" s="683"/>
    </row>
    <row r="35" spans="2:22">
      <c r="B35" s="683"/>
      <c r="C35" s="953"/>
      <c r="D35" s="954"/>
      <c r="E35" s="955"/>
      <c r="F35" s="953"/>
      <c r="G35" s="954"/>
      <c r="H35" s="955"/>
      <c r="I35" s="953"/>
      <c r="J35" s="954"/>
      <c r="K35" s="955"/>
      <c r="L35" s="683"/>
    </row>
    <row r="36" spans="2:22" s="729" customFormat="1">
      <c r="B36" s="956"/>
      <c r="C36" s="920" t="s">
        <v>1233</v>
      </c>
      <c r="D36" s="683"/>
      <c r="E36" s="683"/>
      <c r="F36" s="683"/>
      <c r="G36" s="683"/>
      <c r="H36" s="683"/>
      <c r="I36" s="683"/>
      <c r="J36" s="683"/>
      <c r="K36" s="683"/>
      <c r="L36" s="956"/>
      <c r="N36" s="729" t="s">
        <v>1234</v>
      </c>
      <c r="O36" s="744" t="s">
        <v>1235</v>
      </c>
      <c r="P36" s="729" t="s">
        <v>1234</v>
      </c>
      <c r="Q36" s="744" t="s">
        <v>1235</v>
      </c>
      <c r="R36" s="729" t="s">
        <v>0</v>
      </c>
      <c r="S36" s="729" t="s">
        <v>0</v>
      </c>
    </row>
    <row r="37" spans="2:22" ht="30" customHeight="1">
      <c r="B37" s="683"/>
      <c r="C37" s="1191" t="str">
        <f ca="1">"During the year under review, the total income of the Company was Rs. "&amp;TEXT(F15*Master!$C$17,"##,###")&amp;" while total income of immediately preeceding previous year was Rs. "&amp;TEXT(I15*Master!$C$17,"##,###.")</f>
        <v>During the year under review, the total income of the Company was Rs.  while total income of immediately preeceding previous year was Rs. 1,23,11,64,370.</v>
      </c>
      <c r="D37" s="1191"/>
      <c r="E37" s="1191"/>
      <c r="F37" s="1191"/>
      <c r="G37" s="1191"/>
      <c r="H37" s="1191"/>
      <c r="I37" s="1191"/>
      <c r="J37" s="1191"/>
      <c r="K37" s="1191"/>
      <c r="L37" s="683"/>
      <c r="M37" s="737" t="s">
        <v>1236</v>
      </c>
      <c r="N37" s="738">
        <f ca="1">PL!$F$12*Master!$C$17</f>
        <v>0</v>
      </c>
      <c r="O37" s="738">
        <f>PL!$G$12*Master!$C$17</f>
        <v>1231164369.9999998</v>
      </c>
      <c r="P37" s="727" t="str">
        <f ca="1">TEXT(N37, "##,###")</f>
        <v/>
      </c>
      <c r="Q37" s="727" t="str">
        <f>TEXT(O37, "##,###")</f>
        <v>1,23,11,64,370</v>
      </c>
      <c r="R37" s="745" t="e">
        <f ca="1">(P37-Q37)/Q37</f>
        <v>#VALUE!</v>
      </c>
      <c r="S37" s="727" t="e">
        <f ca="1">TEXT(R37, "0.00%")</f>
        <v>#VALUE!</v>
      </c>
      <c r="V37" s="725" t="e">
        <f ca="1">IF(R37&gt;0, "an increase", "a decrease")</f>
        <v>#VALUE!</v>
      </c>
    </row>
    <row r="38" spans="2:22" ht="45" customHeight="1">
      <c r="B38" s="683"/>
      <c r="C38" s="1191" t="str">
        <f ca="1">"During the year under review, the Company has "&amp;IF(F32&gt;0,"earned a profit after tax","incurred losses")&amp;" of Rs. "&amp;TEXT(F32*Master!$C$17,"##,###")&amp;" while in immediate preeceding year the company has "&amp;IF(I32&gt;0,"earned a profit after tax","incurred losses")&amp;" of Rs. "&amp;TEXT(I32*Master!$C$17,"##,###.")</f>
        <v>During the year under review, the Company has incurred losses of Rs. -1,06,73,637 while in immediate preeceding year the company has earned a profit after tax of Rs. 1,21,20,39,347.</v>
      </c>
      <c r="D38" s="1191"/>
      <c r="E38" s="1191"/>
      <c r="F38" s="1191"/>
      <c r="G38" s="1191"/>
      <c r="H38" s="1191"/>
      <c r="I38" s="1191"/>
      <c r="J38" s="1191"/>
      <c r="K38" s="1191"/>
      <c r="L38" s="683"/>
      <c r="M38" s="737" t="s">
        <v>1237</v>
      </c>
      <c r="N38" s="738">
        <f ca="1">PL!$F$45*Master!$C$17</f>
        <v>-10673637.4</v>
      </c>
      <c r="O38" s="738">
        <f>PL!$G$45*Master!$C$17</f>
        <v>1212039346.9999998</v>
      </c>
      <c r="P38" s="727" t="str">
        <f ca="1">TEXT(N38, "##,###")</f>
        <v>-1,06,73,637</v>
      </c>
      <c r="Q38" s="727" t="str">
        <f>TEXT(O38, "##,###")</f>
        <v>1,21,20,39,347</v>
      </c>
      <c r="R38" s="745">
        <f ca="1">(P38-Q38)/Q38</f>
        <v>-1.008806345294333</v>
      </c>
      <c r="S38" s="727" t="str">
        <f ca="1">TEXT(R38, "0.00%")</f>
        <v>-100.88%</v>
      </c>
      <c r="T38" s="725" t="str">
        <f ca="1">IF(N38&gt;0, "Profit after tax", "Loss")</f>
        <v>Loss</v>
      </c>
      <c r="U38" s="725" t="str">
        <f>IF(O38&gt;0, "Profit after tax", "Loss")</f>
        <v>Profit after tax</v>
      </c>
      <c r="V38" s="725" t="str">
        <f ca="1">IF(R38&gt;0, "an increase", "a decrease")</f>
        <v>a decrease</v>
      </c>
    </row>
    <row r="39" spans="2:22">
      <c r="B39" s="683"/>
      <c r="C39" s="683"/>
      <c r="D39" s="683"/>
      <c r="E39" s="683"/>
      <c r="F39" s="683"/>
      <c r="G39" s="683"/>
      <c r="H39" s="683"/>
      <c r="I39" s="683"/>
      <c r="J39" s="683"/>
      <c r="K39" s="683"/>
      <c r="L39" s="683"/>
    </row>
    <row r="40" spans="2:22">
      <c r="B40" s="683"/>
      <c r="C40" s="920" t="s">
        <v>1238</v>
      </c>
      <c r="D40" s="683"/>
      <c r="E40" s="683"/>
      <c r="F40" s="683"/>
      <c r="G40" s="683"/>
      <c r="H40" s="683"/>
      <c r="I40" s="683"/>
      <c r="J40" s="683"/>
      <c r="K40" s="683"/>
      <c r="L40" s="683"/>
    </row>
    <row r="41" spans="2:22" ht="33.75" customHeight="1">
      <c r="B41" s="683"/>
      <c r="C41" s="1191" t="str">
        <f>"For the financial year ended "&amp;TEXT(Master!B5,"dd mmmm yyyy")&amp;", the Company is proposed to carry an amount of Rs. "&amp;N41&amp;" to General Reserve Account"</f>
        <v>For the financial year ended 31 March 2023, the Company is proposed to carry an amount of Rs. NIL to General Reserve Account</v>
      </c>
      <c r="D41" s="1191"/>
      <c r="E41" s="1191"/>
      <c r="F41" s="1191"/>
      <c r="G41" s="1191"/>
      <c r="H41" s="1191"/>
      <c r="I41" s="1191"/>
      <c r="J41" s="1191"/>
      <c r="K41" s="1191"/>
      <c r="L41" s="683"/>
      <c r="N41" s="727" t="s">
        <v>1168</v>
      </c>
    </row>
    <row r="42" spans="2:22">
      <c r="B42" s="683"/>
      <c r="C42" s="683"/>
      <c r="D42" s="683"/>
      <c r="E42" s="683"/>
      <c r="F42" s="683"/>
      <c r="G42" s="683"/>
      <c r="H42" s="683"/>
      <c r="I42" s="683"/>
      <c r="J42" s="683"/>
      <c r="K42" s="683"/>
      <c r="L42" s="683"/>
    </row>
    <row r="43" spans="2:22">
      <c r="B43" s="683"/>
      <c r="C43" s="920" t="s">
        <v>1239</v>
      </c>
      <c r="D43" s="683"/>
      <c r="E43" s="683"/>
      <c r="F43" s="683"/>
      <c r="G43" s="683"/>
      <c r="H43" s="683"/>
      <c r="I43" s="683"/>
      <c r="J43" s="683"/>
      <c r="K43" s="683"/>
      <c r="L43" s="683"/>
    </row>
    <row r="44" spans="2:22">
      <c r="B44" s="683"/>
      <c r="C44" s="1189" t="str">
        <f>"Your Directors do not recommend any dividend for the year ended "&amp;TEXT(Master!B5,"dd mmmm yyyy.")</f>
        <v>Your Directors do not recommend any dividend for the year ended 31 March 2023.</v>
      </c>
      <c r="D44" s="1189"/>
      <c r="E44" s="1189"/>
      <c r="F44" s="1189"/>
      <c r="G44" s="1189"/>
      <c r="H44" s="1189"/>
      <c r="I44" s="1189"/>
      <c r="J44" s="1189"/>
      <c r="K44" s="1189"/>
      <c r="L44" s="683"/>
    </row>
    <row r="45" spans="2:22">
      <c r="B45" s="683"/>
      <c r="C45" s="683"/>
      <c r="D45" s="683"/>
      <c r="E45" s="683"/>
      <c r="F45" s="683"/>
      <c r="G45" s="683"/>
      <c r="H45" s="683"/>
      <c r="I45" s="683"/>
      <c r="J45" s="683"/>
      <c r="K45" s="683"/>
      <c r="L45" s="683"/>
    </row>
    <row r="46" spans="2:22">
      <c r="B46" s="683"/>
      <c r="C46" s="920" t="s">
        <v>1240</v>
      </c>
      <c r="D46" s="683"/>
      <c r="E46" s="683"/>
      <c r="F46" s="683"/>
      <c r="G46" s="683"/>
      <c r="H46" s="683"/>
      <c r="I46" s="683"/>
      <c r="J46" s="683"/>
      <c r="K46" s="683"/>
      <c r="L46" s="683"/>
    </row>
    <row r="47" spans="2:22" ht="36" customHeight="1">
      <c r="B47" s="683"/>
      <c r="C47" s="1191" t="s">
        <v>1241</v>
      </c>
      <c r="D47" s="1191"/>
      <c r="E47" s="1191"/>
      <c r="F47" s="1191"/>
      <c r="G47" s="1191"/>
      <c r="H47" s="1191"/>
      <c r="I47" s="1191"/>
      <c r="J47" s="1191"/>
      <c r="K47" s="1191"/>
      <c r="L47" s="683"/>
    </row>
    <row r="48" spans="2:22">
      <c r="B48" s="683"/>
      <c r="C48" s="683"/>
      <c r="D48" s="683"/>
      <c r="E48" s="683"/>
      <c r="F48" s="683"/>
      <c r="G48" s="683"/>
      <c r="H48" s="683"/>
      <c r="I48" s="683"/>
      <c r="J48" s="683"/>
      <c r="K48" s="683"/>
      <c r="L48" s="683"/>
    </row>
    <row r="49" spans="2:15">
      <c r="B49" s="683"/>
      <c r="C49" s="920" t="s">
        <v>1242</v>
      </c>
      <c r="D49" s="683"/>
      <c r="E49" s="683"/>
      <c r="F49" s="683"/>
      <c r="G49" s="683"/>
      <c r="H49" s="683"/>
      <c r="I49" s="683"/>
      <c r="J49" s="683"/>
      <c r="K49" s="683"/>
      <c r="L49" s="683"/>
    </row>
    <row r="50" spans="2:15" ht="26.25" customHeight="1">
      <c r="B50" s="683"/>
      <c r="C50" s="1191" t="str">
        <f>"As on "&amp;TEXT(Master!B5,"dd mmmm yyyy")&amp;", the Company does not have any subsidiary/joint venture/associate companies."</f>
        <v>As on 31 March 2023, the Company does not have any subsidiary/joint venture/associate companies.</v>
      </c>
      <c r="D50" s="1191"/>
      <c r="E50" s="1191"/>
      <c r="F50" s="1191"/>
      <c r="G50" s="1191"/>
      <c r="H50" s="1191"/>
      <c r="I50" s="1191"/>
      <c r="J50" s="1191"/>
      <c r="K50" s="1191"/>
      <c r="L50" s="683"/>
    </row>
    <row r="51" spans="2:15">
      <c r="B51" s="683"/>
      <c r="C51" s="683"/>
      <c r="D51" s="683"/>
      <c r="E51" s="683"/>
      <c r="F51" s="683"/>
      <c r="G51" s="683"/>
      <c r="H51" s="683"/>
      <c r="I51" s="683"/>
      <c r="J51" s="683"/>
      <c r="K51" s="683"/>
      <c r="L51" s="683"/>
    </row>
    <row r="52" spans="2:15">
      <c r="B52" s="683"/>
      <c r="C52" s="920" t="s">
        <v>1243</v>
      </c>
      <c r="D52" s="683"/>
      <c r="E52" s="683"/>
      <c r="F52" s="683"/>
      <c r="G52" s="683"/>
      <c r="H52" s="683"/>
      <c r="I52" s="683"/>
      <c r="J52" s="683"/>
      <c r="K52" s="683"/>
      <c r="L52" s="683"/>
    </row>
    <row r="53" spans="2:15">
      <c r="B53" s="683"/>
      <c r="C53" s="1191" t="s">
        <v>1244</v>
      </c>
      <c r="D53" s="1191"/>
      <c r="E53" s="1191"/>
      <c r="F53" s="1191"/>
      <c r="G53" s="1191"/>
      <c r="H53" s="1191"/>
      <c r="I53" s="1191"/>
      <c r="J53" s="1191"/>
      <c r="K53" s="1191"/>
      <c r="L53" s="683"/>
    </row>
    <row r="54" spans="2:15">
      <c r="B54" s="683"/>
      <c r="C54" s="683"/>
      <c r="D54" s="683"/>
      <c r="E54" s="683"/>
      <c r="F54" s="683"/>
      <c r="G54" s="683"/>
      <c r="H54" s="683"/>
      <c r="I54" s="683"/>
      <c r="J54" s="683"/>
      <c r="K54" s="683"/>
      <c r="L54" s="683"/>
    </row>
    <row r="55" spans="2:15">
      <c r="B55" s="683"/>
      <c r="C55" s="920" t="s">
        <v>1245</v>
      </c>
      <c r="D55" s="683"/>
      <c r="E55" s="683"/>
      <c r="F55" s="683"/>
      <c r="G55" s="683"/>
      <c r="H55" s="683"/>
      <c r="I55" s="683"/>
      <c r="J55" s="683"/>
      <c r="K55" s="683"/>
      <c r="L55" s="683"/>
    </row>
    <row r="56" spans="2:15" ht="34.5" customHeight="1">
      <c r="B56" s="683"/>
      <c r="C56" s="1191" t="s">
        <v>1246</v>
      </c>
      <c r="D56" s="1191"/>
      <c r="E56" s="1191"/>
      <c r="F56" s="1191"/>
      <c r="G56" s="1191"/>
      <c r="H56" s="1191"/>
      <c r="I56" s="1191"/>
      <c r="J56" s="1191"/>
      <c r="K56" s="1191"/>
      <c r="L56" s="683"/>
    </row>
    <row r="57" spans="2:15">
      <c r="B57" s="683"/>
      <c r="C57" s="683"/>
      <c r="D57" s="683"/>
      <c r="E57" s="683"/>
      <c r="F57" s="683"/>
      <c r="G57" s="683"/>
      <c r="H57" s="683"/>
      <c r="I57" s="683"/>
      <c r="J57" s="683"/>
      <c r="K57" s="683"/>
      <c r="L57" s="683"/>
    </row>
    <row r="58" spans="2:15">
      <c r="B58" s="683"/>
      <c r="C58" s="920" t="s">
        <v>1247</v>
      </c>
      <c r="D58" s="683"/>
      <c r="E58" s="683"/>
      <c r="F58" s="683"/>
      <c r="G58" s="683"/>
      <c r="H58" s="683"/>
      <c r="I58" s="683"/>
      <c r="J58" s="683"/>
      <c r="K58" s="683"/>
      <c r="L58" s="683"/>
    </row>
    <row r="59" spans="2:15" ht="27" customHeight="1">
      <c r="B59" s="683"/>
      <c r="C59" s="1187" t="str">
        <f>"The following Meetings of the Board of Directors were held during the"&amp;CHAR(10)&amp;"Financial Year Ending "&amp;TEXT(Master!B5,"dd mmmm yyyy.")</f>
        <v>The following Meetings of the Board of Directors were held during the
Financial Year Ending 31 March 2023.</v>
      </c>
      <c r="D59" s="1187"/>
      <c r="E59" s="1187"/>
      <c r="F59" s="1187"/>
      <c r="G59" s="1187"/>
      <c r="H59" s="1187"/>
      <c r="I59" s="1187"/>
      <c r="J59" s="1187"/>
      <c r="K59" s="1187"/>
      <c r="L59" s="683"/>
    </row>
    <row r="60" spans="2:15">
      <c r="B60" s="683"/>
      <c r="C60" s="930" t="s">
        <v>441</v>
      </c>
      <c r="D60" s="1205" t="s">
        <v>1248</v>
      </c>
      <c r="E60" s="1205"/>
      <c r="F60" s="1205" t="s">
        <v>1249</v>
      </c>
      <c r="G60" s="1205"/>
      <c r="H60" s="1205"/>
      <c r="I60" s="1205" t="s">
        <v>1250</v>
      </c>
      <c r="J60" s="1205"/>
      <c r="K60" s="1205"/>
      <c r="L60" s="683"/>
      <c r="M60" s="742">
        <v>2</v>
      </c>
      <c r="O60" s="733" t="s">
        <v>1251</v>
      </c>
    </row>
    <row r="61" spans="2:15">
      <c r="B61" s="683"/>
      <c r="C61" s="945">
        <v>1</v>
      </c>
      <c r="D61" s="1246"/>
      <c r="E61" s="1247"/>
      <c r="F61" s="1248"/>
      <c r="G61" s="1249"/>
      <c r="H61" s="1250"/>
      <c r="I61" s="1248"/>
      <c r="J61" s="1249"/>
      <c r="K61" s="1250"/>
      <c r="L61" s="683"/>
      <c r="O61" s="733" t="s">
        <v>1252</v>
      </c>
    </row>
    <row r="62" spans="2:15">
      <c r="B62" s="683"/>
      <c r="C62" s="945">
        <v>2</v>
      </c>
      <c r="D62" s="1246"/>
      <c r="E62" s="1247"/>
      <c r="F62" s="1248"/>
      <c r="G62" s="1249"/>
      <c r="H62" s="1250"/>
      <c r="I62" s="1248"/>
      <c r="J62" s="1249"/>
      <c r="K62" s="1250"/>
      <c r="L62" s="683"/>
      <c r="O62" s="733" t="s">
        <v>1253</v>
      </c>
    </row>
    <row r="63" spans="2:15">
      <c r="B63" s="683"/>
      <c r="C63" s="945">
        <v>3</v>
      </c>
      <c r="D63" s="1246"/>
      <c r="E63" s="1247"/>
      <c r="F63" s="1248"/>
      <c r="G63" s="1249"/>
      <c r="H63" s="1250"/>
      <c r="I63" s="1248"/>
      <c r="J63" s="1249"/>
      <c r="K63" s="1250"/>
      <c r="L63" s="683"/>
      <c r="M63" s="725" t="s">
        <v>1254</v>
      </c>
      <c r="O63" s="733" t="s">
        <v>1255</v>
      </c>
    </row>
    <row r="64" spans="2:15" ht="16.5" customHeight="1">
      <c r="B64" s="683"/>
      <c r="C64" s="945">
        <v>4</v>
      </c>
      <c r="D64" s="1246"/>
      <c r="E64" s="1247"/>
      <c r="F64" s="1248"/>
      <c r="G64" s="1249"/>
      <c r="H64" s="1250"/>
      <c r="I64" s="1248"/>
      <c r="J64" s="1249"/>
      <c r="K64" s="1250"/>
      <c r="L64" s="683"/>
      <c r="M64" s="725" t="s">
        <v>1256</v>
      </c>
      <c r="O64" s="733" t="s">
        <v>1257</v>
      </c>
    </row>
    <row r="65" spans="2:15" ht="16.5" customHeight="1">
      <c r="B65" s="683"/>
      <c r="C65" s="945">
        <v>5</v>
      </c>
      <c r="D65" s="1246"/>
      <c r="E65" s="1247"/>
      <c r="F65" s="1248"/>
      <c r="G65" s="1249"/>
      <c r="H65" s="1250"/>
      <c r="I65" s="1248"/>
      <c r="J65" s="1249"/>
      <c r="K65" s="1250"/>
      <c r="L65" s="683"/>
      <c r="M65" s="725" t="s">
        <v>1258</v>
      </c>
      <c r="O65" s="733" t="s">
        <v>1259</v>
      </c>
    </row>
    <row r="66" spans="2:15">
      <c r="B66" s="683"/>
      <c r="C66" s="920"/>
      <c r="D66" s="683"/>
      <c r="E66" s="683"/>
      <c r="F66" s="683"/>
      <c r="G66" s="683"/>
      <c r="H66" s="683"/>
      <c r="I66" s="683"/>
      <c r="J66" s="683"/>
      <c r="K66" s="683"/>
      <c r="L66" s="683"/>
      <c r="M66" s="725" t="s">
        <v>1260</v>
      </c>
      <c r="O66" s="733"/>
    </row>
    <row r="67" spans="2:15" ht="16.5" customHeight="1">
      <c r="B67" s="683"/>
      <c r="C67" s="920" t="s">
        <v>1261</v>
      </c>
      <c r="D67" s="683"/>
      <c r="E67" s="683"/>
      <c r="F67" s="683"/>
      <c r="G67" s="683"/>
      <c r="H67" s="683"/>
      <c r="I67" s="683"/>
      <c r="J67" s="683"/>
      <c r="K67" s="683"/>
      <c r="L67" s="683"/>
      <c r="M67" s="725" t="s">
        <v>1262</v>
      </c>
      <c r="O67" s="733" t="s">
        <v>1263</v>
      </c>
    </row>
    <row r="68" spans="2:15">
      <c r="B68" s="683"/>
      <c r="C68" s="920"/>
      <c r="D68" s="683"/>
      <c r="E68" s="683"/>
      <c r="F68" s="683"/>
      <c r="G68" s="683"/>
      <c r="H68" s="683"/>
      <c r="I68" s="683"/>
      <c r="J68" s="683"/>
      <c r="K68" s="683"/>
      <c r="L68" s="683"/>
    </row>
    <row r="69" spans="2:15">
      <c r="B69" s="683"/>
      <c r="C69" s="1251" t="s">
        <v>441</v>
      </c>
      <c r="D69" s="1251" t="s">
        <v>1264</v>
      </c>
      <c r="E69" s="1192" t="s">
        <v>1265</v>
      </c>
      <c r="F69" s="1192"/>
      <c r="G69" s="1192"/>
      <c r="H69" s="1192" t="s">
        <v>1266</v>
      </c>
      <c r="I69" s="1192"/>
      <c r="J69" s="1192"/>
      <c r="K69" s="1192" t="s">
        <v>1267</v>
      </c>
      <c r="L69" s="683"/>
    </row>
    <row r="70" spans="2:15" ht="63.75">
      <c r="B70" s="683"/>
      <c r="C70" s="1252"/>
      <c r="D70" s="1252"/>
      <c r="E70" s="930" t="s">
        <v>1268</v>
      </c>
      <c r="F70" s="930" t="s">
        <v>1269</v>
      </c>
      <c r="G70" s="930" t="s">
        <v>0</v>
      </c>
      <c r="H70" s="930" t="s">
        <v>1268</v>
      </c>
      <c r="I70" s="930" t="s">
        <v>1269</v>
      </c>
      <c r="J70" s="930" t="s">
        <v>0</v>
      </c>
      <c r="K70" s="1192"/>
      <c r="L70" s="683"/>
    </row>
    <row r="71" spans="2:15">
      <c r="B71" s="683"/>
      <c r="C71" s="944">
        <v>1</v>
      </c>
      <c r="D71" s="959" t="str">
        <f>Notes!D105</f>
        <v>Director 1</v>
      </c>
      <c r="E71" s="944">
        <v>2</v>
      </c>
      <c r="F71" s="944">
        <f>E71</f>
        <v>2</v>
      </c>
      <c r="G71" s="960">
        <f>F71/E71</f>
        <v>1</v>
      </c>
      <c r="H71" s="961">
        <v>0</v>
      </c>
      <c r="I71" s="961">
        <v>0</v>
      </c>
      <c r="J71" s="960" t="s">
        <v>1270</v>
      </c>
      <c r="K71" s="944" t="s">
        <v>975</v>
      </c>
      <c r="L71" s="683"/>
    </row>
    <row r="72" spans="2:15" ht="48.75" customHeight="1">
      <c r="B72" s="683"/>
      <c r="C72" s="944">
        <v>2</v>
      </c>
      <c r="D72" s="959" t="str">
        <f>Notes!D106</f>
        <v>Director 2</v>
      </c>
      <c r="E72" s="944">
        <f>E71</f>
        <v>2</v>
      </c>
      <c r="F72" s="944">
        <f>E72</f>
        <v>2</v>
      </c>
      <c r="G72" s="960">
        <f t="shared" ref="G72" si="0">F72/E72</f>
        <v>1</v>
      </c>
      <c r="H72" s="961">
        <v>0</v>
      </c>
      <c r="I72" s="961">
        <v>0</v>
      </c>
      <c r="J72" s="960" t="s">
        <v>1270</v>
      </c>
      <c r="K72" s="944" t="s">
        <v>975</v>
      </c>
      <c r="L72" s="683"/>
    </row>
    <row r="73" spans="2:15">
      <c r="B73" s="683"/>
      <c r="C73" s="683"/>
      <c r="D73" s="683"/>
      <c r="E73" s="683"/>
      <c r="F73" s="683"/>
      <c r="G73" s="683"/>
      <c r="H73" s="683"/>
      <c r="I73" s="683"/>
      <c r="J73" s="683"/>
      <c r="K73" s="683"/>
      <c r="L73" s="683"/>
    </row>
    <row r="74" spans="2:15">
      <c r="B74" s="683"/>
      <c r="C74" s="920" t="s">
        <v>1271</v>
      </c>
      <c r="D74" s="683"/>
      <c r="E74" s="683"/>
      <c r="F74" s="683"/>
      <c r="G74" s="683"/>
      <c r="H74" s="683"/>
      <c r="I74" s="683"/>
      <c r="J74" s="683"/>
      <c r="K74" s="683"/>
      <c r="L74" s="683"/>
    </row>
    <row r="75" spans="2:15" ht="28.5" customHeight="1">
      <c r="B75" s="683"/>
      <c r="C75" s="1191" t="s">
        <v>1272</v>
      </c>
      <c r="D75" s="1191"/>
      <c r="E75" s="1191"/>
      <c r="F75" s="1191"/>
      <c r="G75" s="1191"/>
      <c r="H75" s="1191"/>
      <c r="I75" s="1191"/>
      <c r="J75" s="1191"/>
      <c r="K75" s="1191"/>
      <c r="L75" s="683"/>
    </row>
    <row r="76" spans="2:15" ht="30.75" customHeight="1">
      <c r="B76" s="683"/>
      <c r="C76" s="685" t="s">
        <v>490</v>
      </c>
      <c r="D76" s="1191" t="s">
        <v>1273</v>
      </c>
      <c r="E76" s="1191"/>
      <c r="F76" s="1191"/>
      <c r="G76" s="1191"/>
      <c r="H76" s="1191"/>
      <c r="I76" s="1191"/>
      <c r="J76" s="1191"/>
      <c r="K76" s="1191"/>
      <c r="L76" s="683"/>
    </row>
    <row r="77" spans="2:15" ht="55.5" customHeight="1">
      <c r="B77" s="683"/>
      <c r="C77" s="685" t="s">
        <v>1274</v>
      </c>
      <c r="D77" s="1191" t="s">
        <v>1275</v>
      </c>
      <c r="E77" s="1191"/>
      <c r="F77" s="1191"/>
      <c r="G77" s="1191"/>
      <c r="H77" s="1191"/>
      <c r="I77" s="1191"/>
      <c r="J77" s="1191"/>
      <c r="K77" s="1191"/>
      <c r="L77" s="683"/>
    </row>
    <row r="78" spans="2:15" ht="42" customHeight="1">
      <c r="B78" s="683"/>
      <c r="C78" s="925" t="s">
        <v>1276</v>
      </c>
      <c r="D78" s="1191" t="s">
        <v>1277</v>
      </c>
      <c r="E78" s="1191"/>
      <c r="F78" s="1191"/>
      <c r="G78" s="1191"/>
      <c r="H78" s="1191"/>
      <c r="I78" s="1191"/>
      <c r="J78" s="1191"/>
      <c r="K78" s="1191"/>
      <c r="L78" s="683"/>
    </row>
    <row r="79" spans="2:15" ht="21" customHeight="1">
      <c r="B79" s="683"/>
      <c r="C79" s="685" t="s">
        <v>1278</v>
      </c>
      <c r="D79" s="1191" t="s">
        <v>1279</v>
      </c>
      <c r="E79" s="1191"/>
      <c r="F79" s="1191"/>
      <c r="G79" s="1191"/>
      <c r="H79" s="1191"/>
      <c r="I79" s="1191"/>
      <c r="J79" s="1191"/>
      <c r="K79" s="1191"/>
      <c r="L79" s="683"/>
    </row>
    <row r="80" spans="2:15" ht="43.5" customHeight="1">
      <c r="B80" s="683"/>
      <c r="C80" s="925" t="s">
        <v>1280</v>
      </c>
      <c r="D80" s="1191" t="s">
        <v>1281</v>
      </c>
      <c r="E80" s="1191"/>
      <c r="F80" s="1191"/>
      <c r="G80" s="1191"/>
      <c r="H80" s="1191"/>
      <c r="I80" s="1191"/>
      <c r="J80" s="1191"/>
      <c r="K80" s="1191"/>
      <c r="L80" s="683"/>
    </row>
    <row r="81" spans="2:22" ht="29.25" customHeight="1">
      <c r="B81" s="683"/>
      <c r="C81" s="685" t="s">
        <v>1282</v>
      </c>
      <c r="D81" s="1191" t="s">
        <v>1283</v>
      </c>
      <c r="E81" s="1191"/>
      <c r="F81" s="1191"/>
      <c r="G81" s="1191"/>
      <c r="H81" s="1191"/>
      <c r="I81" s="1191"/>
      <c r="J81" s="1191"/>
      <c r="K81" s="1191"/>
      <c r="L81" s="683"/>
    </row>
    <row r="82" spans="2:22" ht="32.25" customHeight="1">
      <c r="B82" s="683"/>
      <c r="C82" s="685"/>
      <c r="D82" s="1187"/>
      <c r="E82" s="1187"/>
      <c r="F82" s="1187"/>
      <c r="G82" s="1187"/>
      <c r="H82" s="1187"/>
      <c r="I82" s="1187"/>
      <c r="J82" s="1187"/>
      <c r="K82" s="1187"/>
      <c r="L82" s="683"/>
    </row>
    <row r="83" spans="2:22" ht="33.75" customHeight="1">
      <c r="B83" s="683"/>
      <c r="C83" s="1255" t="s">
        <v>1284</v>
      </c>
      <c r="D83" s="1255"/>
      <c r="E83" s="1255"/>
      <c r="F83" s="1255"/>
      <c r="G83" s="1255"/>
      <c r="H83" s="1255"/>
      <c r="I83" s="1255"/>
      <c r="J83" s="1255"/>
      <c r="K83" s="1255"/>
      <c r="L83" s="683"/>
    </row>
    <row r="84" spans="2:22" ht="27.75" customHeight="1">
      <c r="B84" s="683"/>
      <c r="C84" s="1191" t="s">
        <v>1285</v>
      </c>
      <c r="D84" s="1191"/>
      <c r="E84" s="1191"/>
      <c r="F84" s="1191"/>
      <c r="G84" s="1191"/>
      <c r="H84" s="1191"/>
      <c r="I84" s="1191"/>
      <c r="J84" s="1191"/>
      <c r="K84" s="1191"/>
      <c r="L84" s="683"/>
    </row>
    <row r="85" spans="2:22" ht="17.25" customHeight="1">
      <c r="B85" s="683"/>
      <c r="C85" s="922"/>
      <c r="D85" s="922"/>
      <c r="E85" s="922"/>
      <c r="F85" s="922"/>
      <c r="G85" s="922"/>
      <c r="H85" s="922"/>
      <c r="I85" s="922"/>
      <c r="J85" s="922"/>
      <c r="K85" s="922"/>
      <c r="L85" s="683"/>
    </row>
    <row r="86" spans="2:22" ht="17.25" customHeight="1">
      <c r="B86" s="683"/>
      <c r="C86" s="920" t="s">
        <v>1286</v>
      </c>
      <c r="D86" s="683"/>
      <c r="E86" s="683"/>
      <c r="F86" s="683"/>
      <c r="G86" s="683"/>
      <c r="H86" s="683"/>
      <c r="I86" s="683"/>
      <c r="J86" s="683"/>
      <c r="K86" s="683"/>
      <c r="L86" s="683"/>
    </row>
    <row r="87" spans="2:22" ht="42.75" customHeight="1">
      <c r="B87" s="683"/>
      <c r="C87" s="1253" t="str">
        <f>CONCATENATE("At the Board Meeting held on "&amp;TEXT(D61, "dd mmmm yyyy")&amp;", M/s. "&amp;Master!B54&amp;", Chartered Accountants (FRN No. "&amp;Master!B58&amp;") was appointed as Statutory Auditors of the company"," to hold office till the conclusion of First Annual General Meeting.")</f>
        <v>At the Board Meeting held on 00 January 1900, M/s. A XXXXXXXXXXXociates, Chartered Accountants (FRN No. XXXXXXXXX) was appointed as Statutory Auditors of the company to hold office till the conclusion of First Annual General Meeting.</v>
      </c>
      <c r="D87" s="1253"/>
      <c r="E87" s="1253"/>
      <c r="F87" s="1253"/>
      <c r="G87" s="1253"/>
      <c r="H87" s="1253"/>
      <c r="I87" s="1253"/>
      <c r="J87" s="1253"/>
      <c r="K87" s="1253"/>
      <c r="L87" s="683"/>
    </row>
    <row r="88" spans="2:22" ht="52.5" customHeight="1">
      <c r="B88" s="683"/>
      <c r="C88" s="1253" t="str">
        <f>CONCATENATE("In terms of Section 139 of the Companies Act, 2013, the appointment of the auditors shall be placed at Annual General Meeting."," Accordingly, the appointment of M/s "&amp;Master!B54&amp;", Chartered Accountants, as Statutory Auditor of the company for a term of "&amp;Master!B46&amp;" year(s) for the period from "&amp;TEXT(Master!C46,"dd mmm yy")&amp;" to "&amp;TEXT(Master!D46,"dd mmm yy")&amp;", is placed for approval of the shareholders.")</f>
        <v>In terms of Section 139 of the Companies Act, 2013, the appointment of the auditors shall be placed at Annual General Meeting. Accordingly, the appointment of M/s A XXXXXXXXXXXociates, Chartered Accountants, as Statutory Auditor of the company for a term of 5 year(s) for the period from 01 Apr 23 to 31 Mar 28, is placed for approval of the shareholders.</v>
      </c>
      <c r="D88" s="1253"/>
      <c r="E88" s="1253"/>
      <c r="F88" s="1253"/>
      <c r="G88" s="1253"/>
      <c r="H88" s="1253"/>
      <c r="I88" s="1253"/>
      <c r="J88" s="1253"/>
      <c r="K88" s="1253"/>
      <c r="L88" s="683"/>
      <c r="N88" s="746" t="s">
        <v>1287</v>
      </c>
    </row>
    <row r="89" spans="2:22" ht="35.25" customHeight="1">
      <c r="B89" s="683"/>
      <c r="C89" s="1253" t="s">
        <v>1288</v>
      </c>
      <c r="D89" s="1253"/>
      <c r="E89" s="1253"/>
      <c r="F89" s="1253"/>
      <c r="G89" s="1253"/>
      <c r="H89" s="1253"/>
      <c r="I89" s="1253"/>
      <c r="J89" s="1253"/>
      <c r="K89" s="1253"/>
      <c r="L89" s="683"/>
      <c r="N89" s="1254" t="str">
        <f>CONCATENATE("At the Board Meeting held on "&amp;TEXT(D61, "dd mmmm yyyy")&amp;", M/s. "&amp;Master!B54&amp;", Chartered Accountants (FRN No. "&amp;Master!B58&amp;") was appointed as Statutory Auditors of the company"," to hold office till the conclusion of First Annual General Meeting.")</f>
        <v>At the Board Meeting held on 00 January 1900, M/s. A XXXXXXXXXXXociates, Chartered Accountants (FRN No. XXXXXXXXX) was appointed as Statutory Auditors of the company to hold office till the conclusion of First Annual General Meeting.</v>
      </c>
      <c r="O89" s="1254"/>
      <c r="P89" s="1254"/>
      <c r="Q89" s="1254"/>
      <c r="R89" s="1254"/>
      <c r="S89" s="1254"/>
      <c r="T89" s="1254"/>
      <c r="U89" s="1254"/>
      <c r="V89" s="1254"/>
    </row>
    <row r="90" spans="2:22" ht="51.75" customHeight="1">
      <c r="B90" s="683"/>
      <c r="C90" s="1253" t="s">
        <v>1289</v>
      </c>
      <c r="D90" s="1253"/>
      <c r="E90" s="1253"/>
      <c r="F90" s="1253"/>
      <c r="G90" s="1253"/>
      <c r="H90" s="1253"/>
      <c r="I90" s="1253"/>
      <c r="J90" s="1253"/>
      <c r="K90" s="1253"/>
      <c r="L90" s="683"/>
      <c r="N90" s="1254" t="str">
        <f>CONCATENATE("In terms of Section 139 of the Companies Act, 2013, the appointment of the auditors shall be placed at Annual General Meeting."," Accordingly, the appointment of M/s "&amp;Master!B54&amp;", Chartered Accountants, as Statutory Auditor of the company for a term of "&amp;Master!B46&amp;" year(s) for the period from "&amp;Master!C46&amp;" to "&amp;Master!D46&amp;", is placed for approval of the shareholders.")</f>
        <v>In terms of Section 139 of the Companies Act, 2013, the appointment of the auditors shall be placed at Annual General Meeting. Accordingly, the appointment of M/s A XXXXXXXXXXXociates, Chartered Accountants, as Statutory Auditor of the company for a term of 5 year(s) for the period from 01-Apr-2023 to 31-Mar-2028, is placed for approval of the shareholders.</v>
      </c>
      <c r="O90" s="1254"/>
      <c r="P90" s="1254"/>
      <c r="Q90" s="1254"/>
      <c r="R90" s="1254"/>
      <c r="S90" s="1254"/>
      <c r="T90" s="1254"/>
      <c r="U90" s="1254"/>
      <c r="V90" s="1254"/>
    </row>
    <row r="91" spans="2:22">
      <c r="B91" s="683"/>
      <c r="C91" s="922"/>
      <c r="D91" s="922"/>
      <c r="E91" s="922"/>
      <c r="F91" s="922"/>
      <c r="G91" s="922"/>
      <c r="H91" s="922"/>
      <c r="I91" s="922"/>
      <c r="J91" s="922"/>
      <c r="K91" s="922"/>
      <c r="L91" s="683"/>
    </row>
    <row r="92" spans="2:22" ht="16.5" customHeight="1">
      <c r="B92" s="683"/>
      <c r="C92" s="920" t="s">
        <v>1290</v>
      </c>
      <c r="D92" s="683"/>
      <c r="E92" s="683"/>
      <c r="F92" s="683"/>
      <c r="G92" s="683"/>
      <c r="H92" s="683"/>
      <c r="I92" s="683"/>
      <c r="J92" s="683"/>
      <c r="K92" s="683"/>
      <c r="L92" s="683"/>
    </row>
    <row r="93" spans="2:22" ht="38.25" customHeight="1">
      <c r="B93" s="683"/>
      <c r="C93" s="1191" t="s">
        <v>1291</v>
      </c>
      <c r="D93" s="1191"/>
      <c r="E93" s="1191"/>
      <c r="F93" s="1191"/>
      <c r="G93" s="1191"/>
      <c r="H93" s="1191"/>
      <c r="I93" s="1191"/>
      <c r="J93" s="1191"/>
      <c r="K93" s="1191"/>
      <c r="L93" s="683"/>
    </row>
    <row r="94" spans="2:22">
      <c r="B94" s="683"/>
      <c r="C94" s="922"/>
      <c r="D94" s="922"/>
      <c r="E94" s="922"/>
      <c r="F94" s="922"/>
      <c r="G94" s="922"/>
      <c r="H94" s="922"/>
      <c r="I94" s="922"/>
      <c r="J94" s="922"/>
      <c r="K94" s="922"/>
      <c r="L94" s="683"/>
    </row>
    <row r="95" spans="2:22" ht="19.5" customHeight="1">
      <c r="B95" s="683"/>
      <c r="C95" s="920" t="s">
        <v>1292</v>
      </c>
      <c r="D95" s="683"/>
      <c r="E95" s="683"/>
      <c r="F95" s="683"/>
      <c r="G95" s="683"/>
      <c r="H95" s="683"/>
      <c r="I95" s="683"/>
      <c r="J95" s="683"/>
      <c r="K95" s="683"/>
      <c r="L95" s="683"/>
    </row>
    <row r="96" spans="2:22">
      <c r="B96" s="683"/>
      <c r="C96" s="1191" t="s">
        <v>1293</v>
      </c>
      <c r="D96" s="1191"/>
      <c r="E96" s="1191"/>
      <c r="F96" s="1191"/>
      <c r="G96" s="1191"/>
      <c r="H96" s="1191"/>
      <c r="I96" s="1191"/>
      <c r="J96" s="1191"/>
      <c r="K96" s="1191"/>
      <c r="L96" s="683"/>
    </row>
    <row r="97" spans="2:12">
      <c r="B97" s="683"/>
      <c r="C97" s="926"/>
      <c r="D97" s="926"/>
      <c r="E97" s="926"/>
      <c r="F97" s="926"/>
      <c r="G97" s="926"/>
      <c r="H97" s="926"/>
      <c r="I97" s="926"/>
      <c r="J97" s="926"/>
      <c r="K97" s="926"/>
      <c r="L97" s="683"/>
    </row>
    <row r="98" spans="2:12">
      <c r="B98" s="683"/>
      <c r="C98" s="922"/>
      <c r="D98" s="922"/>
      <c r="E98" s="922"/>
      <c r="F98" s="922"/>
      <c r="G98" s="922"/>
      <c r="H98" s="922"/>
      <c r="I98" s="922"/>
      <c r="J98" s="922"/>
      <c r="K98" s="922"/>
      <c r="L98" s="683"/>
    </row>
    <row r="99" spans="2:12">
      <c r="B99" s="683"/>
      <c r="C99" s="920" t="s">
        <v>1294</v>
      </c>
      <c r="D99" s="683"/>
      <c r="E99" s="683"/>
      <c r="F99" s="683"/>
      <c r="G99" s="683"/>
      <c r="H99" s="683"/>
      <c r="I99" s="683"/>
      <c r="J99" s="683"/>
      <c r="K99" s="683"/>
      <c r="L99" s="683"/>
    </row>
    <row r="100" spans="2:12" ht="36.75" customHeight="1">
      <c r="B100" s="683"/>
      <c r="C100" s="1191" t="s">
        <v>1295</v>
      </c>
      <c r="D100" s="1191"/>
      <c r="E100" s="1191"/>
      <c r="F100" s="1191"/>
      <c r="G100" s="1191"/>
      <c r="H100" s="1191"/>
      <c r="I100" s="1191"/>
      <c r="J100" s="1191"/>
      <c r="K100" s="1191"/>
      <c r="L100" s="683"/>
    </row>
    <row r="101" spans="2:12">
      <c r="B101" s="683"/>
      <c r="C101" s="922"/>
      <c r="D101" s="922"/>
      <c r="E101" s="922"/>
      <c r="F101" s="922"/>
      <c r="G101" s="922"/>
      <c r="H101" s="922"/>
      <c r="I101" s="922"/>
      <c r="J101" s="922"/>
      <c r="K101" s="922"/>
      <c r="L101" s="683"/>
    </row>
    <row r="102" spans="2:12" ht="16.5" customHeight="1">
      <c r="B102" s="683"/>
      <c r="C102" s="920" t="s">
        <v>1296</v>
      </c>
      <c r="D102" s="683"/>
      <c r="E102" s="683"/>
      <c r="F102" s="683"/>
      <c r="G102" s="683"/>
      <c r="H102" s="683"/>
      <c r="I102" s="683"/>
      <c r="J102" s="683"/>
      <c r="K102" s="683"/>
      <c r="L102" s="683"/>
    </row>
    <row r="103" spans="2:12">
      <c r="B103" s="683"/>
      <c r="C103" s="1191" t="s">
        <v>1297</v>
      </c>
      <c r="D103" s="1191"/>
      <c r="E103" s="1191"/>
      <c r="F103" s="1191"/>
      <c r="G103" s="1191"/>
      <c r="H103" s="1191"/>
      <c r="I103" s="1191"/>
      <c r="J103" s="1191"/>
      <c r="K103" s="1191"/>
      <c r="L103" s="683"/>
    </row>
    <row r="104" spans="2:12">
      <c r="B104" s="683"/>
      <c r="C104" s="922"/>
      <c r="D104" s="922"/>
      <c r="E104" s="922"/>
      <c r="F104" s="922"/>
      <c r="G104" s="922"/>
      <c r="H104" s="922"/>
      <c r="I104" s="922"/>
      <c r="J104" s="922"/>
      <c r="K104" s="922"/>
      <c r="L104" s="683"/>
    </row>
    <row r="105" spans="2:12">
      <c r="B105" s="683"/>
      <c r="C105" s="920" t="s">
        <v>1298</v>
      </c>
      <c r="D105" s="683"/>
      <c r="E105" s="683"/>
      <c r="F105" s="683"/>
      <c r="G105" s="683"/>
      <c r="H105" s="683"/>
      <c r="I105" s="683"/>
      <c r="J105" s="683"/>
      <c r="K105" s="683"/>
      <c r="L105" s="683"/>
    </row>
    <row r="106" spans="2:12" ht="39.75" customHeight="1">
      <c r="B106" s="683"/>
      <c r="C106" s="1253" t="s">
        <v>1299</v>
      </c>
      <c r="D106" s="1253"/>
      <c r="E106" s="1253"/>
      <c r="F106" s="1253"/>
      <c r="G106" s="1253"/>
      <c r="H106" s="1253"/>
      <c r="I106" s="1253"/>
      <c r="J106" s="1253"/>
      <c r="K106" s="1253"/>
      <c r="L106" s="683"/>
    </row>
    <row r="107" spans="2:12">
      <c r="B107" s="683"/>
      <c r="C107" s="922"/>
      <c r="D107" s="922"/>
      <c r="E107" s="922"/>
      <c r="F107" s="922"/>
      <c r="G107" s="922"/>
      <c r="H107" s="922"/>
      <c r="I107" s="922"/>
      <c r="J107" s="922"/>
      <c r="K107" s="922"/>
      <c r="L107" s="683"/>
    </row>
    <row r="108" spans="2:12" ht="17.25" customHeight="1">
      <c r="B108" s="683"/>
      <c r="C108" s="920" t="s">
        <v>1300</v>
      </c>
      <c r="D108" s="683"/>
      <c r="E108" s="683"/>
      <c r="F108" s="683"/>
      <c r="G108" s="683"/>
      <c r="H108" s="683"/>
      <c r="I108" s="683"/>
      <c r="J108" s="683"/>
      <c r="K108" s="683"/>
      <c r="L108" s="683"/>
    </row>
    <row r="109" spans="2:12" ht="53.25" customHeight="1">
      <c r="B109" s="683"/>
      <c r="C109" s="1253" t="s">
        <v>1301</v>
      </c>
      <c r="D109" s="1253"/>
      <c r="E109" s="1253"/>
      <c r="F109" s="1253"/>
      <c r="G109" s="1253"/>
      <c r="H109" s="1253"/>
      <c r="I109" s="1253"/>
      <c r="J109" s="1253"/>
      <c r="K109" s="1253"/>
      <c r="L109" s="683"/>
    </row>
    <row r="110" spans="2:12">
      <c r="B110" s="683"/>
      <c r="C110" s="922"/>
      <c r="D110" s="922"/>
      <c r="E110" s="922"/>
      <c r="F110" s="922"/>
      <c r="G110" s="922"/>
      <c r="H110" s="922"/>
      <c r="I110" s="922"/>
      <c r="J110" s="922"/>
      <c r="K110" s="922"/>
      <c r="L110" s="683"/>
    </row>
    <row r="111" spans="2:12" ht="24" customHeight="1">
      <c r="B111" s="683"/>
      <c r="C111" s="1255" t="s">
        <v>1302</v>
      </c>
      <c r="D111" s="1255"/>
      <c r="E111" s="1255"/>
      <c r="F111" s="1255"/>
      <c r="G111" s="1255"/>
      <c r="H111" s="1255"/>
      <c r="I111" s="1255"/>
      <c r="J111" s="1255"/>
      <c r="K111" s="1255"/>
      <c r="L111" s="683"/>
    </row>
    <row r="112" spans="2:12" ht="40.5" customHeight="1">
      <c r="B112" s="683"/>
      <c r="C112" s="1191" t="s">
        <v>1303</v>
      </c>
      <c r="D112" s="1191"/>
      <c r="E112" s="1191"/>
      <c r="F112" s="1191"/>
      <c r="G112" s="1191"/>
      <c r="H112" s="1191"/>
      <c r="I112" s="1191"/>
      <c r="J112" s="1191"/>
      <c r="K112" s="1191"/>
      <c r="L112" s="683"/>
    </row>
    <row r="113" spans="2:12" ht="32.25" customHeight="1">
      <c r="B113" s="683"/>
      <c r="C113" s="1205" t="s">
        <v>2</v>
      </c>
      <c r="D113" s="1205"/>
      <c r="E113" s="1205"/>
      <c r="F113" s="1205"/>
      <c r="G113" s="1205"/>
      <c r="H113" s="1205" t="s">
        <v>1304</v>
      </c>
      <c r="I113" s="1205"/>
      <c r="J113" s="1205"/>
      <c r="K113" s="1205"/>
      <c r="L113" s="683"/>
    </row>
    <row r="114" spans="2:12">
      <c r="B114" s="683"/>
      <c r="C114" s="1251" t="s">
        <v>1305</v>
      </c>
      <c r="D114" s="1257" t="s">
        <v>1306</v>
      </c>
      <c r="E114" s="1258"/>
      <c r="F114" s="1258"/>
      <c r="G114" s="1258"/>
      <c r="H114" s="1258"/>
      <c r="I114" s="1258"/>
      <c r="J114" s="1258"/>
      <c r="K114" s="1259"/>
      <c r="L114" s="683"/>
    </row>
    <row r="115" spans="2:12" ht="25.5" customHeight="1">
      <c r="B115" s="683"/>
      <c r="C115" s="1256"/>
      <c r="D115" s="1260" t="s">
        <v>1307</v>
      </c>
      <c r="E115" s="1260"/>
      <c r="F115" s="1260"/>
      <c r="G115" s="1260"/>
      <c r="H115" s="1260" t="s">
        <v>1308</v>
      </c>
      <c r="I115" s="1260"/>
      <c r="J115" s="1260"/>
      <c r="K115" s="1260"/>
      <c r="L115" s="683"/>
    </row>
    <row r="116" spans="2:12" ht="27" customHeight="1">
      <c r="B116" s="683"/>
      <c r="C116" s="1256"/>
      <c r="D116" s="1260" t="s">
        <v>1309</v>
      </c>
      <c r="E116" s="1260"/>
      <c r="F116" s="1260"/>
      <c r="G116" s="1260"/>
      <c r="H116" s="1260"/>
      <c r="I116" s="1260"/>
      <c r="J116" s="1260"/>
      <c r="K116" s="1260"/>
      <c r="L116" s="683"/>
    </row>
    <row r="117" spans="2:12" ht="39.75" customHeight="1">
      <c r="B117" s="683"/>
      <c r="C117" s="1252"/>
      <c r="D117" s="1260" t="s">
        <v>1310</v>
      </c>
      <c r="E117" s="1260"/>
      <c r="F117" s="1260"/>
      <c r="G117" s="1260"/>
      <c r="H117" s="1260"/>
      <c r="I117" s="1260"/>
      <c r="J117" s="1260"/>
      <c r="K117" s="1260"/>
      <c r="L117" s="683"/>
    </row>
    <row r="118" spans="2:12">
      <c r="B118" s="683"/>
      <c r="C118" s="1251" t="s">
        <v>1311</v>
      </c>
      <c r="D118" s="1257" t="s">
        <v>1312</v>
      </c>
      <c r="E118" s="1258"/>
      <c r="F118" s="1258"/>
      <c r="G118" s="1258"/>
      <c r="H118" s="1258"/>
      <c r="I118" s="1258"/>
      <c r="J118" s="1258"/>
      <c r="K118" s="1259"/>
      <c r="L118" s="683"/>
    </row>
    <row r="119" spans="2:12">
      <c r="B119" s="683"/>
      <c r="C119" s="1256"/>
      <c r="D119" s="1260" t="s">
        <v>1313</v>
      </c>
      <c r="E119" s="1260"/>
      <c r="F119" s="1260"/>
      <c r="G119" s="1260"/>
      <c r="H119" s="1261" t="s">
        <v>1168</v>
      </c>
      <c r="I119" s="1261"/>
      <c r="J119" s="1261"/>
      <c r="K119" s="1261"/>
      <c r="L119" s="683"/>
    </row>
    <row r="120" spans="2:12" ht="39" customHeight="1">
      <c r="B120" s="683"/>
      <c r="C120" s="1256"/>
      <c r="D120" s="1260" t="s">
        <v>1314</v>
      </c>
      <c r="E120" s="1260"/>
      <c r="F120" s="1260"/>
      <c r="G120" s="1260"/>
      <c r="H120" s="1261" t="s">
        <v>1168</v>
      </c>
      <c r="I120" s="1261"/>
      <c r="J120" s="1261"/>
      <c r="K120" s="1261"/>
      <c r="L120" s="683"/>
    </row>
    <row r="121" spans="2:12" ht="41.25" customHeight="1">
      <c r="B121" s="683"/>
      <c r="C121" s="1256"/>
      <c r="D121" s="1260" t="s">
        <v>1315</v>
      </c>
      <c r="E121" s="1260"/>
      <c r="F121" s="1260"/>
      <c r="G121" s="1260"/>
      <c r="H121" s="1261" t="s">
        <v>1168</v>
      </c>
      <c r="I121" s="1261"/>
      <c r="J121" s="1261"/>
      <c r="K121" s="1261"/>
      <c r="L121" s="683"/>
    </row>
    <row r="122" spans="2:12">
      <c r="B122" s="683"/>
      <c r="C122" s="1256"/>
      <c r="D122" s="1260" t="s">
        <v>1316</v>
      </c>
      <c r="E122" s="1260"/>
      <c r="F122" s="1260"/>
      <c r="G122" s="1260"/>
      <c r="H122" s="1261" t="s">
        <v>1168</v>
      </c>
      <c r="I122" s="1261"/>
      <c r="J122" s="1261"/>
      <c r="K122" s="1261"/>
      <c r="L122" s="683"/>
    </row>
    <row r="123" spans="2:12">
      <c r="B123" s="683"/>
      <c r="C123" s="1256"/>
      <c r="D123" s="1260" t="s">
        <v>1317</v>
      </c>
      <c r="E123" s="1260"/>
      <c r="F123" s="1260"/>
      <c r="G123" s="1260"/>
      <c r="H123" s="1261" t="s">
        <v>1168</v>
      </c>
      <c r="I123" s="1261"/>
      <c r="J123" s="1261"/>
      <c r="K123" s="1261"/>
      <c r="L123" s="683"/>
    </row>
    <row r="124" spans="2:12">
      <c r="B124" s="683"/>
      <c r="C124" s="1256"/>
      <c r="D124" s="1260" t="s">
        <v>1318</v>
      </c>
      <c r="E124" s="1260"/>
      <c r="F124" s="1260"/>
      <c r="G124" s="1260"/>
      <c r="H124" s="1261" t="s">
        <v>1168</v>
      </c>
      <c r="I124" s="1261"/>
      <c r="J124" s="1261"/>
      <c r="K124" s="1261"/>
      <c r="L124" s="683"/>
    </row>
    <row r="125" spans="2:12" ht="41.25" customHeight="1">
      <c r="B125" s="683"/>
      <c r="C125" s="1256"/>
      <c r="D125" s="1260" t="s">
        <v>1319</v>
      </c>
      <c r="E125" s="1260"/>
      <c r="F125" s="1260"/>
      <c r="G125" s="1260"/>
      <c r="H125" s="1261" t="s">
        <v>1168</v>
      </c>
      <c r="I125" s="1261"/>
      <c r="J125" s="1261"/>
      <c r="K125" s="1261"/>
      <c r="L125" s="683"/>
    </row>
    <row r="126" spans="2:12" ht="30" customHeight="1">
      <c r="B126" s="683"/>
      <c r="C126" s="1252"/>
      <c r="D126" s="1260" t="s">
        <v>1320</v>
      </c>
      <c r="E126" s="1260"/>
      <c r="F126" s="1260"/>
      <c r="G126" s="1260"/>
      <c r="H126" s="1261" t="s">
        <v>1168</v>
      </c>
      <c r="I126" s="1261"/>
      <c r="J126" s="1261"/>
      <c r="K126" s="1261"/>
      <c r="L126" s="683"/>
    </row>
    <row r="127" spans="2:12" ht="19.5" customHeight="1">
      <c r="B127" s="683"/>
      <c r="C127" s="957" t="s">
        <v>1321</v>
      </c>
      <c r="D127" s="1257" t="s">
        <v>1322</v>
      </c>
      <c r="E127" s="1258"/>
      <c r="F127" s="1258"/>
      <c r="G127" s="1258"/>
      <c r="H127" s="1258"/>
      <c r="I127" s="1258"/>
      <c r="J127" s="1258"/>
      <c r="K127" s="1259"/>
      <c r="L127" s="683"/>
    </row>
    <row r="128" spans="2:12" ht="42.75" customHeight="1">
      <c r="B128" s="683"/>
      <c r="C128" s="957"/>
      <c r="D128" s="1260" t="s">
        <v>1323</v>
      </c>
      <c r="E128" s="1260"/>
      <c r="F128" s="1260"/>
      <c r="G128" s="1260"/>
      <c r="H128" s="1261" t="s">
        <v>1168</v>
      </c>
      <c r="I128" s="1261"/>
      <c r="J128" s="1261"/>
      <c r="K128" s="1261"/>
      <c r="L128" s="683"/>
    </row>
    <row r="129" spans="2:15" ht="16.5" customHeight="1">
      <c r="B129" s="683"/>
      <c r="C129" s="922"/>
      <c r="D129" s="922"/>
      <c r="E129" s="922"/>
      <c r="F129" s="922"/>
      <c r="G129" s="922"/>
      <c r="H129" s="922"/>
      <c r="I129" s="922"/>
      <c r="J129" s="922"/>
      <c r="K129" s="922"/>
      <c r="L129" s="683"/>
    </row>
    <row r="130" spans="2:15" ht="16.5" customHeight="1">
      <c r="B130" s="683"/>
      <c r="C130" s="922"/>
      <c r="D130" s="922"/>
      <c r="E130" s="922"/>
      <c r="F130" s="922"/>
      <c r="G130" s="922"/>
      <c r="H130" s="922"/>
      <c r="I130" s="922"/>
      <c r="J130" s="922"/>
      <c r="K130" s="922"/>
      <c r="L130" s="683"/>
    </row>
    <row r="131" spans="2:15" ht="24.75" customHeight="1">
      <c r="B131" s="683"/>
      <c r="C131" s="920" t="s">
        <v>1324</v>
      </c>
      <c r="D131" s="683"/>
      <c r="E131" s="683"/>
      <c r="F131" s="683"/>
      <c r="G131" s="683"/>
      <c r="H131" s="683"/>
      <c r="I131" s="683"/>
      <c r="J131" s="683"/>
      <c r="K131" s="683"/>
      <c r="L131" s="683"/>
    </row>
    <row r="132" spans="2:15" ht="127.5" customHeight="1">
      <c r="B132" s="683"/>
      <c r="C132" s="1191" t="s">
        <v>1325</v>
      </c>
      <c r="D132" s="1191"/>
      <c r="E132" s="1191"/>
      <c r="F132" s="1191"/>
      <c r="G132" s="1191"/>
      <c r="H132" s="1191"/>
      <c r="I132" s="1191"/>
      <c r="J132" s="1191"/>
      <c r="K132" s="1191"/>
      <c r="L132" s="683"/>
    </row>
    <row r="133" spans="2:15">
      <c r="B133" s="683"/>
      <c r="C133" s="922"/>
      <c r="D133" s="922"/>
      <c r="E133" s="922"/>
      <c r="F133" s="922"/>
      <c r="G133" s="922"/>
      <c r="H133" s="922"/>
      <c r="I133" s="922"/>
      <c r="J133" s="922"/>
      <c r="K133" s="922"/>
      <c r="L133" s="683"/>
    </row>
    <row r="134" spans="2:15" ht="15" customHeight="1">
      <c r="B134" s="683"/>
      <c r="C134" s="920" t="s">
        <v>1326</v>
      </c>
      <c r="D134" s="922"/>
      <c r="E134" s="922"/>
      <c r="F134" s="922"/>
      <c r="G134" s="922"/>
      <c r="H134" s="922"/>
      <c r="I134" s="922"/>
      <c r="J134" s="922"/>
      <c r="K134" s="922"/>
      <c r="L134" s="683"/>
    </row>
    <row r="135" spans="2:15" ht="77.25" customHeight="1">
      <c r="B135" s="683"/>
      <c r="C135" s="1191" t="s">
        <v>1327</v>
      </c>
      <c r="D135" s="1191"/>
      <c r="E135" s="1191"/>
      <c r="F135" s="1191"/>
      <c r="G135" s="1191"/>
      <c r="H135" s="1191"/>
      <c r="I135" s="1191"/>
      <c r="J135" s="1191"/>
      <c r="K135" s="1191"/>
      <c r="L135" s="683"/>
    </row>
    <row r="136" spans="2:15" ht="27.75" customHeight="1">
      <c r="B136" s="683"/>
      <c r="C136" s="958" t="s">
        <v>1029</v>
      </c>
      <c r="D136" s="1191" t="s">
        <v>1328</v>
      </c>
      <c r="E136" s="1191"/>
      <c r="F136" s="1191"/>
      <c r="G136" s="1191"/>
      <c r="H136" s="1191"/>
      <c r="I136" s="1191"/>
      <c r="J136" s="1191"/>
      <c r="K136" s="1191"/>
      <c r="L136" s="683"/>
    </row>
    <row r="137" spans="2:15" ht="40.5" customHeight="1">
      <c r="B137" s="683"/>
      <c r="C137" s="958" t="s">
        <v>1031</v>
      </c>
      <c r="D137" s="1191" t="s">
        <v>1329</v>
      </c>
      <c r="E137" s="1191"/>
      <c r="F137" s="1191"/>
      <c r="G137" s="1191"/>
      <c r="H137" s="1191"/>
      <c r="I137" s="1191"/>
      <c r="J137" s="1191"/>
      <c r="K137" s="1191"/>
      <c r="L137" s="683"/>
    </row>
    <row r="138" spans="2:15" ht="26.25" customHeight="1">
      <c r="B138" s="683"/>
      <c r="C138" s="958" t="s">
        <v>1033</v>
      </c>
      <c r="D138" s="1191" t="s">
        <v>1330</v>
      </c>
      <c r="E138" s="1191"/>
      <c r="F138" s="1191"/>
      <c r="G138" s="1191"/>
      <c r="H138" s="1191"/>
      <c r="I138" s="1191"/>
      <c r="J138" s="1191"/>
      <c r="K138" s="1191"/>
      <c r="L138" s="683"/>
    </row>
    <row r="139" spans="2:15" ht="66.75" customHeight="1">
      <c r="B139" s="683"/>
      <c r="C139" s="958" t="s">
        <v>1034</v>
      </c>
      <c r="D139" s="1191" t="s">
        <v>1331</v>
      </c>
      <c r="E139" s="1191"/>
      <c r="F139" s="1191"/>
      <c r="G139" s="1191"/>
      <c r="H139" s="1191"/>
      <c r="I139" s="1191"/>
      <c r="J139" s="1191"/>
      <c r="K139" s="1191"/>
      <c r="L139" s="683"/>
    </row>
    <row r="140" spans="2:15">
      <c r="B140" s="683"/>
      <c r="C140" s="922"/>
      <c r="D140" s="922"/>
      <c r="E140" s="922"/>
      <c r="F140" s="922"/>
      <c r="G140" s="922"/>
      <c r="H140" s="922"/>
      <c r="I140" s="922"/>
      <c r="J140" s="922"/>
      <c r="K140" s="922"/>
      <c r="L140" s="683"/>
    </row>
    <row r="141" spans="2:15" ht="17.25" customHeight="1">
      <c r="B141" s="683"/>
      <c r="C141" s="920" t="s">
        <v>1126</v>
      </c>
      <c r="D141" s="922"/>
      <c r="E141" s="922"/>
      <c r="F141" s="922"/>
      <c r="G141" s="922"/>
      <c r="H141" s="922"/>
      <c r="I141" s="922"/>
      <c r="J141" s="922"/>
      <c r="K141" s="922"/>
      <c r="L141" s="683"/>
      <c r="O141" s="747"/>
    </row>
    <row r="142" spans="2:15" ht="25.5" customHeight="1">
      <c r="B142" s="683"/>
      <c r="C142" s="1191" t="s">
        <v>1332</v>
      </c>
      <c r="D142" s="1191"/>
      <c r="E142" s="1191"/>
      <c r="F142" s="1191"/>
      <c r="G142" s="1191"/>
      <c r="H142" s="1191"/>
      <c r="I142" s="1191"/>
      <c r="J142" s="1191"/>
      <c r="K142" s="1191"/>
      <c r="L142" s="683"/>
    </row>
    <row r="143" spans="2:15">
      <c r="B143" s="683"/>
      <c r="C143" s="958" t="s">
        <v>1029</v>
      </c>
      <c r="D143" s="1191" t="s">
        <v>1333</v>
      </c>
      <c r="E143" s="1191"/>
      <c r="F143" s="1191"/>
      <c r="G143" s="1191"/>
      <c r="H143" s="1191"/>
      <c r="I143" s="1191"/>
      <c r="J143" s="1191"/>
      <c r="K143" s="1191"/>
      <c r="L143" s="683"/>
    </row>
    <row r="144" spans="2:15" ht="18" customHeight="1">
      <c r="B144" s="683"/>
      <c r="C144" s="958" t="s">
        <v>1031</v>
      </c>
      <c r="D144" s="1191" t="s">
        <v>1334</v>
      </c>
      <c r="E144" s="1191"/>
      <c r="F144" s="1191"/>
      <c r="G144" s="1191"/>
      <c r="H144" s="1191"/>
      <c r="I144" s="1191"/>
      <c r="J144" s="1191"/>
      <c r="K144" s="1191"/>
      <c r="L144" s="683"/>
    </row>
    <row r="145" spans="2:17" ht="29.25" customHeight="1">
      <c r="B145" s="683"/>
      <c r="C145" s="958" t="s">
        <v>1033</v>
      </c>
      <c r="D145" s="1191" t="s">
        <v>1335</v>
      </c>
      <c r="E145" s="1191"/>
      <c r="F145" s="1191"/>
      <c r="G145" s="1191"/>
      <c r="H145" s="1191"/>
      <c r="I145" s="1191"/>
      <c r="J145" s="1191"/>
      <c r="K145" s="1191"/>
      <c r="L145" s="683"/>
    </row>
    <row r="146" spans="2:17" ht="27.75" customHeight="1">
      <c r="B146" s="683"/>
      <c r="C146" s="958" t="s">
        <v>1034</v>
      </c>
      <c r="D146" s="1191" t="s">
        <v>1336</v>
      </c>
      <c r="E146" s="1191"/>
      <c r="F146" s="1191"/>
      <c r="G146" s="1191"/>
      <c r="H146" s="1191"/>
      <c r="I146" s="1191"/>
      <c r="J146" s="1191"/>
      <c r="K146" s="1191"/>
      <c r="L146" s="683"/>
    </row>
    <row r="147" spans="2:17" ht="30" customHeight="1">
      <c r="B147" s="683"/>
      <c r="C147" s="958" t="s">
        <v>1036</v>
      </c>
      <c r="D147" s="1191" t="s">
        <v>1337</v>
      </c>
      <c r="E147" s="1191"/>
      <c r="F147" s="1191"/>
      <c r="G147" s="1191"/>
      <c r="H147" s="1191"/>
      <c r="I147" s="1191"/>
      <c r="J147" s="1191"/>
      <c r="K147" s="1191"/>
      <c r="L147" s="683"/>
    </row>
    <row r="148" spans="2:17" ht="41.25" customHeight="1">
      <c r="B148" s="683"/>
      <c r="C148" s="1191" t="s">
        <v>1338</v>
      </c>
      <c r="D148" s="1191"/>
      <c r="E148" s="1191"/>
      <c r="F148" s="1191"/>
      <c r="G148" s="1191"/>
      <c r="H148" s="1191"/>
      <c r="I148" s="1191"/>
      <c r="J148" s="1191"/>
      <c r="K148" s="1191"/>
      <c r="L148" s="683"/>
    </row>
    <row r="149" spans="2:17" ht="15.75" customHeight="1">
      <c r="B149" s="683"/>
      <c r="C149" s="922"/>
      <c r="D149" s="922"/>
      <c r="E149" s="922"/>
      <c r="F149" s="922"/>
      <c r="G149" s="922"/>
      <c r="H149" s="922"/>
      <c r="I149" s="922"/>
      <c r="J149" s="922"/>
      <c r="K149" s="922"/>
      <c r="L149" s="683"/>
    </row>
    <row r="150" spans="2:17" ht="20.25" customHeight="1">
      <c r="B150" s="683"/>
      <c r="C150" s="920" t="s">
        <v>1339</v>
      </c>
      <c r="D150" s="922"/>
      <c r="E150" s="922"/>
      <c r="F150" s="922"/>
      <c r="G150" s="922"/>
      <c r="H150" s="922"/>
      <c r="I150" s="922"/>
      <c r="J150" s="922"/>
      <c r="K150" s="922"/>
      <c r="L150" s="683"/>
    </row>
    <row r="151" spans="2:17" ht="53.25" customHeight="1">
      <c r="B151" s="683"/>
      <c r="C151" s="1191" t="s">
        <v>1340</v>
      </c>
      <c r="D151" s="1191"/>
      <c r="E151" s="1191"/>
      <c r="F151" s="1191"/>
      <c r="G151" s="1191"/>
      <c r="H151" s="1191"/>
      <c r="I151" s="1191"/>
      <c r="J151" s="1191"/>
      <c r="K151" s="1191"/>
      <c r="L151" s="683"/>
    </row>
    <row r="152" spans="2:17">
      <c r="B152" s="683"/>
      <c r="C152" s="939"/>
      <c r="D152" s="939"/>
      <c r="E152" s="939"/>
      <c r="F152" s="939"/>
      <c r="G152" s="939"/>
      <c r="H152" s="939"/>
      <c r="I152" s="939"/>
      <c r="J152" s="939"/>
      <c r="K152" s="939"/>
      <c r="L152" s="683"/>
    </row>
    <row r="153" spans="2:17">
      <c r="B153" s="683"/>
      <c r="C153" s="940" t="str">
        <f>MRL!C221</f>
        <v xml:space="preserve">For and on behalf of the Board          </v>
      </c>
      <c r="D153" s="939"/>
      <c r="E153" s="939"/>
      <c r="F153" s="939"/>
      <c r="G153" s="939"/>
      <c r="H153" s="939"/>
      <c r="I153" s="939"/>
      <c r="J153" s="939"/>
      <c r="K153" s="939"/>
      <c r="L153" s="683"/>
    </row>
    <row r="154" spans="2:17">
      <c r="B154" s="683"/>
      <c r="C154" s="940" t="str">
        <f>MRL!C222</f>
        <v>ABC PRIVATE LIMITED</v>
      </c>
      <c r="D154" s="921"/>
      <c r="E154" s="921"/>
      <c r="F154" s="921"/>
      <c r="G154" s="921"/>
      <c r="H154" s="921"/>
      <c r="I154" s="921"/>
      <c r="J154" s="921"/>
      <c r="K154" s="921"/>
      <c r="L154" s="683"/>
    </row>
    <row r="155" spans="2:17" ht="16.5" customHeight="1">
      <c r="B155" s="683"/>
      <c r="C155" s="939"/>
      <c r="D155" s="939"/>
      <c r="E155" s="939"/>
      <c r="F155" s="939"/>
      <c r="G155" s="939"/>
      <c r="H155" s="939"/>
      <c r="I155" s="939"/>
      <c r="J155" s="939"/>
      <c r="K155" s="939"/>
      <c r="L155" s="683"/>
    </row>
    <row r="156" spans="2:17" s="732" customFormat="1">
      <c r="B156" s="934"/>
      <c r="C156" s="939"/>
      <c r="D156" s="939"/>
      <c r="E156" s="939"/>
      <c r="F156" s="939"/>
      <c r="G156" s="939"/>
      <c r="H156" s="939"/>
      <c r="I156" s="939"/>
      <c r="J156" s="939"/>
      <c r="K156" s="939"/>
      <c r="L156" s="934"/>
      <c r="N156" s="735"/>
      <c r="O156" s="743"/>
      <c r="P156" s="735"/>
      <c r="Q156" s="735"/>
    </row>
    <row r="157" spans="2:17">
      <c r="B157" s="683"/>
      <c r="C157" s="939"/>
      <c r="D157" s="939"/>
      <c r="E157" s="939"/>
      <c r="F157" s="939"/>
      <c r="G157" s="939"/>
      <c r="H157" s="939"/>
      <c r="I157" s="939"/>
      <c r="J157" s="939"/>
      <c r="K157" s="939"/>
      <c r="L157" s="683"/>
    </row>
    <row r="158" spans="2:17">
      <c r="B158" s="683"/>
      <c r="C158" s="939"/>
      <c r="D158" s="939"/>
      <c r="E158" s="939"/>
      <c r="F158" s="939"/>
      <c r="G158" s="939"/>
      <c r="H158" s="939"/>
      <c r="I158" s="939"/>
      <c r="J158" s="939"/>
      <c r="K158" s="939"/>
      <c r="L158" s="683"/>
    </row>
    <row r="159" spans="2:17">
      <c r="B159" s="683"/>
      <c r="C159" s="941" t="str">
        <f>MRL!C227</f>
        <v>Director 1</v>
      </c>
      <c r="D159" s="942"/>
      <c r="E159" s="921" t="str">
        <f>MRL!F227</f>
        <v>Director 2</v>
      </c>
      <c r="F159" s="942"/>
      <c r="G159" s="942"/>
      <c r="H159" s="934"/>
      <c r="I159" s="921"/>
      <c r="J159" s="921"/>
      <c r="K159" s="921"/>
      <c r="L159" s="683"/>
    </row>
    <row r="160" spans="2:17">
      <c r="B160" s="683"/>
      <c r="C160" s="940" t="str">
        <f>MRL!C228</f>
        <v>DIN - 00XXXX70</v>
      </c>
      <c r="D160" s="685"/>
      <c r="E160" s="939" t="str">
        <f>MRL!F228</f>
        <v>DIN - 00XXXX70</v>
      </c>
      <c r="F160" s="685"/>
      <c r="G160" s="685"/>
      <c r="H160" s="683"/>
      <c r="I160" s="939"/>
      <c r="J160" s="939"/>
      <c r="K160" s="939"/>
      <c r="L160" s="683"/>
    </row>
    <row r="161" spans="2:17" s="732" customFormat="1">
      <c r="B161" s="934"/>
      <c r="C161" s="940" t="str">
        <f>MRL!C229</f>
        <v>(DIRECTOR)</v>
      </c>
      <c r="D161" s="685"/>
      <c r="E161" s="939" t="str">
        <f>MRL!F229</f>
        <v>(DIRECTOR)</v>
      </c>
      <c r="F161" s="685"/>
      <c r="G161" s="685"/>
      <c r="H161" s="683"/>
      <c r="I161" s="939"/>
      <c r="J161" s="939"/>
      <c r="K161" s="939"/>
      <c r="L161" s="934"/>
      <c r="N161" s="735"/>
      <c r="O161" s="743"/>
      <c r="P161" s="735"/>
      <c r="Q161" s="735"/>
    </row>
    <row r="162" spans="2:17">
      <c r="B162" s="683"/>
      <c r="C162" s="940"/>
      <c r="D162" s="939"/>
      <c r="E162" s="939"/>
      <c r="F162" s="939"/>
      <c r="G162" s="939"/>
      <c r="H162" s="939"/>
      <c r="I162" s="939"/>
      <c r="J162" s="939"/>
      <c r="K162" s="939"/>
      <c r="L162" s="683"/>
    </row>
    <row r="163" spans="2:17">
      <c r="B163" s="683"/>
      <c r="C163" s="941" t="str">
        <f>MRL!C231</f>
        <v>Date</v>
      </c>
      <c r="D163" s="940" t="str">
        <f>MRL!D231</f>
        <v>: September 01, 2023</v>
      </c>
      <c r="E163" s="939"/>
      <c r="F163" s="939"/>
      <c r="G163" s="939"/>
      <c r="H163" s="939"/>
      <c r="I163" s="939"/>
      <c r="J163" s="939"/>
      <c r="K163" s="939"/>
      <c r="L163" s="683"/>
    </row>
    <row r="164" spans="2:17">
      <c r="B164" s="683"/>
      <c r="C164" s="941" t="str">
        <f>MRL!C232</f>
        <v>Place</v>
      </c>
      <c r="D164" s="940" t="str">
        <f>MRL!D232</f>
        <v>: Delhi</v>
      </c>
      <c r="E164" s="685"/>
      <c r="F164" s="685"/>
      <c r="G164" s="685"/>
      <c r="H164" s="683"/>
      <c r="I164" s="683"/>
      <c r="J164" s="683"/>
      <c r="K164" s="683"/>
      <c r="L164" s="683"/>
    </row>
    <row r="165" spans="2:17">
      <c r="B165" s="683"/>
      <c r="C165" s="685"/>
      <c r="D165" s="685"/>
      <c r="E165" s="685"/>
      <c r="F165" s="685"/>
      <c r="G165" s="685"/>
      <c r="H165" s="683"/>
      <c r="I165" s="683"/>
      <c r="J165" s="683"/>
      <c r="K165" s="683"/>
      <c r="L165" s="683"/>
    </row>
  </sheetData>
  <mergeCells count="165">
    <mergeCell ref="C151:K151"/>
    <mergeCell ref="D143:K143"/>
    <mergeCell ref="D144:K144"/>
    <mergeCell ref="D145:K145"/>
    <mergeCell ref="D146:K146"/>
    <mergeCell ref="D147:K147"/>
    <mergeCell ref="C148:K148"/>
    <mergeCell ref="C135:K135"/>
    <mergeCell ref="D136:K136"/>
    <mergeCell ref="D137:K137"/>
    <mergeCell ref="D138:K138"/>
    <mergeCell ref="D139:K139"/>
    <mergeCell ref="C142:K142"/>
    <mergeCell ref="D126:G126"/>
    <mergeCell ref="H126:K126"/>
    <mergeCell ref="D127:K127"/>
    <mergeCell ref="D128:G128"/>
    <mergeCell ref="H128:K128"/>
    <mergeCell ref="C132:K132"/>
    <mergeCell ref="D123:G123"/>
    <mergeCell ref="H123:K123"/>
    <mergeCell ref="D124:G124"/>
    <mergeCell ref="H124:K124"/>
    <mergeCell ref="D125:G125"/>
    <mergeCell ref="H125:K125"/>
    <mergeCell ref="C118:C126"/>
    <mergeCell ref="D118:K118"/>
    <mergeCell ref="D119:G119"/>
    <mergeCell ref="H119:K119"/>
    <mergeCell ref="D120:G120"/>
    <mergeCell ref="H120:K120"/>
    <mergeCell ref="D121:G121"/>
    <mergeCell ref="H121:K121"/>
    <mergeCell ref="D122:G122"/>
    <mergeCell ref="H122:K122"/>
    <mergeCell ref="C113:G113"/>
    <mergeCell ref="H113:K113"/>
    <mergeCell ref="C114:C117"/>
    <mergeCell ref="D114:K114"/>
    <mergeCell ref="D115:G115"/>
    <mergeCell ref="H115:K117"/>
    <mergeCell ref="D116:G116"/>
    <mergeCell ref="D117:G117"/>
    <mergeCell ref="C100:K100"/>
    <mergeCell ref="C103:K103"/>
    <mergeCell ref="C106:K106"/>
    <mergeCell ref="C109:K109"/>
    <mergeCell ref="C111:K111"/>
    <mergeCell ref="C112:K112"/>
    <mergeCell ref="C89:K89"/>
    <mergeCell ref="N89:V89"/>
    <mergeCell ref="C90:K90"/>
    <mergeCell ref="N90:V90"/>
    <mergeCell ref="C93:K93"/>
    <mergeCell ref="C96:K96"/>
    <mergeCell ref="D81:K81"/>
    <mergeCell ref="D82:K82"/>
    <mergeCell ref="C83:K83"/>
    <mergeCell ref="C84:K84"/>
    <mergeCell ref="C87:K87"/>
    <mergeCell ref="C88:K88"/>
    <mergeCell ref="C75:K75"/>
    <mergeCell ref="D76:K76"/>
    <mergeCell ref="D77:K77"/>
    <mergeCell ref="D78:K78"/>
    <mergeCell ref="D79:K79"/>
    <mergeCell ref="D80:K80"/>
    <mergeCell ref="D65:E65"/>
    <mergeCell ref="F65:H65"/>
    <mergeCell ref="I65:K65"/>
    <mergeCell ref="C69:C70"/>
    <mergeCell ref="D69:D70"/>
    <mergeCell ref="E69:G69"/>
    <mergeCell ref="H69:J69"/>
    <mergeCell ref="K69:K70"/>
    <mergeCell ref="D63:E63"/>
    <mergeCell ref="F63:H63"/>
    <mergeCell ref="I63:K63"/>
    <mergeCell ref="D64:E64"/>
    <mergeCell ref="F64:H64"/>
    <mergeCell ref="I64:K64"/>
    <mergeCell ref="D61:E61"/>
    <mergeCell ref="F61:H61"/>
    <mergeCell ref="I61:K61"/>
    <mergeCell ref="D62:E62"/>
    <mergeCell ref="F62:H62"/>
    <mergeCell ref="I62:K62"/>
    <mergeCell ref="C47:K47"/>
    <mergeCell ref="C50:K50"/>
    <mergeCell ref="C53:K53"/>
    <mergeCell ref="C56:K56"/>
    <mergeCell ref="C59:K59"/>
    <mergeCell ref="D60:E60"/>
    <mergeCell ref="F60:H60"/>
    <mergeCell ref="I60:K60"/>
    <mergeCell ref="F34:H34"/>
    <mergeCell ref="I34:K34"/>
    <mergeCell ref="C37:K37"/>
    <mergeCell ref="C38:K38"/>
    <mergeCell ref="C41:K41"/>
    <mergeCell ref="C44:K44"/>
    <mergeCell ref="C32:E32"/>
    <mergeCell ref="F32:H32"/>
    <mergeCell ref="I32:K32"/>
    <mergeCell ref="C33:D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3:E23"/>
    <mergeCell ref="F23:H23"/>
    <mergeCell ref="I23:K23"/>
    <mergeCell ref="C24:E24"/>
    <mergeCell ref="F24:H24"/>
    <mergeCell ref="I24:K24"/>
    <mergeCell ref="B1:L1"/>
    <mergeCell ref="B2:L2"/>
    <mergeCell ref="B3:L3"/>
    <mergeCell ref="C5:K5"/>
    <mergeCell ref="C10:K10"/>
    <mergeCell ref="C12:E12"/>
    <mergeCell ref="F12:H12"/>
    <mergeCell ref="I12:K12"/>
    <mergeCell ref="C17:E17"/>
    <mergeCell ref="I17:K17"/>
    <mergeCell ref="C15:E15"/>
    <mergeCell ref="F15:H15"/>
    <mergeCell ref="I15:K15"/>
    <mergeCell ref="C16:E16"/>
    <mergeCell ref="F16:H16"/>
    <mergeCell ref="I16:K16"/>
    <mergeCell ref="C13:E13"/>
    <mergeCell ref="F13:H13"/>
    <mergeCell ref="I13:K13"/>
    <mergeCell ref="C14:E14"/>
    <mergeCell ref="F14:H14"/>
    <mergeCell ref="I14:K14"/>
    <mergeCell ref="F17:H17"/>
    <mergeCell ref="I20:K20"/>
    <mergeCell ref="I21:K21"/>
    <mergeCell ref="I22:K22"/>
    <mergeCell ref="F26:H26"/>
    <mergeCell ref="I26:K26"/>
    <mergeCell ref="C18:E18"/>
    <mergeCell ref="C19:E19"/>
    <mergeCell ref="C20:E20"/>
    <mergeCell ref="C21:E21"/>
    <mergeCell ref="C22:E22"/>
    <mergeCell ref="F18:H18"/>
    <mergeCell ref="F19:H19"/>
    <mergeCell ref="F20:H20"/>
    <mergeCell ref="F21:H21"/>
    <mergeCell ref="F22:H22"/>
    <mergeCell ref="I18:K18"/>
    <mergeCell ref="I19:K19"/>
  </mergeCells>
  <pageMargins left="0.70866141732283472" right="0.70866141732283472" top="0.47244094488188981" bottom="0.74803149606299213" header="0.23622047244094491" footer="0.31496062992125984"/>
  <pageSetup paperSize="9" scale="72" fitToHeight="4" orientation="portrait" blackAndWhite="1" r:id="rId1"/>
  <rowBreaks count="3" manualBreakCount="3">
    <brk id="57" min="1" max="11" man="1"/>
    <brk id="97" min="1" max="11" man="1"/>
    <brk id="129" min="1"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C1:S226"/>
  <sheetViews>
    <sheetView showGridLines="0" view="pageBreakPreview" zoomScaleSheetLayoutView="100" workbookViewId="0">
      <selection activeCell="C9" sqref="B9:M10"/>
    </sheetView>
  </sheetViews>
  <sheetFormatPr defaultColWidth="9.140625" defaultRowHeight="14.25"/>
  <cols>
    <col min="1" max="1" width="9.140625" style="749"/>
    <col min="2" max="2" width="1.28515625" style="749" customWidth="1"/>
    <col min="3" max="3" width="4.7109375" style="748" customWidth="1"/>
    <col min="4" max="4" width="15.42578125" style="748" customWidth="1"/>
    <col min="5" max="5" width="10.7109375" style="749" customWidth="1"/>
    <col min="6" max="7" width="13.85546875" style="749" bestFit="1" customWidth="1"/>
    <col min="8" max="8" width="10.85546875" style="749" bestFit="1" customWidth="1"/>
    <col min="9" max="9" width="9" style="749" customWidth="1"/>
    <col min="10" max="11" width="13.85546875" style="749" bestFit="1" customWidth="1"/>
    <col min="12" max="12" width="10.85546875" style="749" bestFit="1" customWidth="1"/>
    <col min="13" max="13" width="19.42578125" style="749" bestFit="1" customWidth="1"/>
    <col min="14" max="14" width="1.28515625" style="749" customWidth="1"/>
    <col min="15" max="16384" width="9.140625" style="749"/>
  </cols>
  <sheetData>
    <row r="1" spans="3:14">
      <c r="M1" s="750" t="s">
        <v>1341</v>
      </c>
    </row>
    <row r="2" spans="3:14">
      <c r="C2" s="1266" t="s">
        <v>1342</v>
      </c>
      <c r="D2" s="1266"/>
      <c r="E2" s="1266"/>
      <c r="F2" s="1266"/>
      <c r="G2" s="1266"/>
      <c r="H2" s="1266"/>
      <c r="I2" s="1266"/>
      <c r="J2" s="1266"/>
      <c r="K2" s="1266"/>
      <c r="L2" s="1266"/>
      <c r="M2" s="1266"/>
    </row>
    <row r="3" spans="3:14">
      <c r="C3" s="1266" t="s">
        <v>1343</v>
      </c>
      <c r="D3" s="1266"/>
      <c r="E3" s="1266"/>
      <c r="F3" s="1266"/>
      <c r="G3" s="1266"/>
      <c r="H3" s="1266"/>
      <c r="I3" s="1266"/>
      <c r="J3" s="1266"/>
      <c r="K3" s="1266"/>
      <c r="L3" s="1266"/>
      <c r="M3" s="1266"/>
    </row>
    <row r="4" spans="3:14">
      <c r="C4" s="1266" t="str">
        <f>"As on Financial Year ended on "&amp;TEXT(Master!B5,"dd mmmm yy")&amp;""</f>
        <v>As on Financial Year ended on 31 March 23</v>
      </c>
      <c r="D4" s="1266"/>
      <c r="E4" s="1266"/>
      <c r="F4" s="1266"/>
      <c r="G4" s="1266"/>
      <c r="H4" s="1266"/>
      <c r="I4" s="1266"/>
      <c r="J4" s="1266"/>
      <c r="K4" s="1266"/>
      <c r="L4" s="1266"/>
      <c r="M4" s="1266"/>
    </row>
    <row r="5" spans="3:14" s="752" customFormat="1">
      <c r="C5" s="1267" t="s">
        <v>1344</v>
      </c>
      <c r="D5" s="1267"/>
      <c r="E5" s="1267"/>
      <c r="F5" s="1267"/>
      <c r="G5" s="1267"/>
      <c r="H5" s="1267"/>
      <c r="I5" s="1267"/>
      <c r="J5" s="1267"/>
      <c r="K5" s="1267"/>
      <c r="L5" s="1267"/>
      <c r="M5" s="1267"/>
      <c r="N5" s="751"/>
    </row>
    <row r="6" spans="3:14">
      <c r="C6" s="753"/>
      <c r="D6" s="753"/>
      <c r="E6" s="753"/>
      <c r="F6" s="753"/>
    </row>
    <row r="7" spans="3:14" s="752" customFormat="1">
      <c r="C7" s="1268" t="s">
        <v>1345</v>
      </c>
      <c r="D7" s="1269"/>
      <c r="E7" s="1269"/>
      <c r="F7" s="1269"/>
      <c r="G7" s="1269"/>
      <c r="H7" s="1269"/>
      <c r="I7" s="1269"/>
      <c r="J7" s="1269"/>
      <c r="K7" s="1269"/>
      <c r="L7" s="1269"/>
      <c r="M7" s="1270"/>
    </row>
    <row r="8" spans="3:14">
      <c r="C8" s="755">
        <v>1</v>
      </c>
      <c r="D8" s="1262" t="s">
        <v>961</v>
      </c>
      <c r="E8" s="1262"/>
      <c r="F8" s="1262"/>
      <c r="G8" s="1262"/>
      <c r="H8" s="1271" t="str">
        <f>Master!$B$12</f>
        <v>U7XXXXXXXXXXXXXXXXX52</v>
      </c>
      <c r="I8" s="1271"/>
      <c r="J8" s="1271"/>
      <c r="K8" s="1271"/>
      <c r="L8" s="1271"/>
      <c r="M8" s="1271"/>
    </row>
    <row r="9" spans="3:14">
      <c r="C9" s="755">
        <f>+C8+1</f>
        <v>2</v>
      </c>
      <c r="D9" s="1262" t="s">
        <v>1346</v>
      </c>
      <c r="E9" s="1262"/>
      <c r="F9" s="1262"/>
      <c r="G9" s="1262"/>
      <c r="H9" s="1262" t="str">
        <f>TEXT(Master!E13,"dd mmm yyyy")</f>
        <v>01 Jan 2001</v>
      </c>
      <c r="I9" s="1262"/>
      <c r="J9" s="1262"/>
      <c r="K9" s="1262"/>
      <c r="L9" s="1262"/>
      <c r="M9" s="1262"/>
    </row>
    <row r="10" spans="3:14">
      <c r="C10" s="755">
        <f>+C9+1</f>
        <v>3</v>
      </c>
      <c r="D10" s="1262" t="s">
        <v>1170</v>
      </c>
      <c r="E10" s="1262"/>
      <c r="F10" s="1262"/>
      <c r="G10" s="1262"/>
      <c r="H10" s="1262" t="str">
        <f>Master!B10</f>
        <v>ABC PRIVATE LIMITED</v>
      </c>
      <c r="I10" s="1262"/>
      <c r="J10" s="1262"/>
      <c r="K10" s="1262"/>
      <c r="L10" s="1262"/>
      <c r="M10" s="1262"/>
    </row>
    <row r="11" spans="3:14">
      <c r="C11" s="756">
        <f>+C10+1</f>
        <v>4</v>
      </c>
      <c r="D11" s="1262" t="s">
        <v>1347</v>
      </c>
      <c r="E11" s="1262"/>
      <c r="F11" s="1262"/>
      <c r="G11" s="1262"/>
      <c r="H11" s="1263" t="s">
        <v>1348</v>
      </c>
      <c r="I11" s="1264"/>
      <c r="J11" s="1264"/>
      <c r="K11" s="1264"/>
      <c r="L11" s="1264"/>
      <c r="M11" s="1265"/>
    </row>
    <row r="12" spans="3:14">
      <c r="C12" s="756">
        <f>+C11+1</f>
        <v>5</v>
      </c>
      <c r="D12" s="1262" t="s">
        <v>1349</v>
      </c>
      <c r="E12" s="1262"/>
      <c r="F12" s="1262"/>
      <c r="G12" s="1262"/>
      <c r="H12" s="1262" t="str">
        <f>""&amp;Master!$B$11&amp;""&amp;Master!$B$14&amp;"; "&amp;Master!$B$15&amp;""</f>
        <v xml:space="preserve">B-2, XXXXXXXXXXXX XXXXXXXXXXX0034abc@gmail.com; </v>
      </c>
      <c r="I12" s="1262"/>
      <c r="J12" s="1262"/>
      <c r="K12" s="1262"/>
      <c r="L12" s="1262"/>
      <c r="M12" s="1262"/>
    </row>
    <row r="13" spans="3:14">
      <c r="C13" s="757"/>
      <c r="D13" s="1262"/>
      <c r="E13" s="1262"/>
      <c r="F13" s="1262"/>
      <c r="G13" s="1262"/>
      <c r="H13" s="1262"/>
      <c r="I13" s="1262"/>
      <c r="J13" s="1262"/>
      <c r="K13" s="1262"/>
      <c r="L13" s="1262"/>
      <c r="M13" s="1262"/>
    </row>
    <row r="14" spans="3:14">
      <c r="C14" s="755">
        <f>+C12+1</f>
        <v>6</v>
      </c>
      <c r="D14" s="1262" t="s">
        <v>1350</v>
      </c>
      <c r="E14" s="1262"/>
      <c r="F14" s="1262"/>
      <c r="G14" s="1262"/>
      <c r="H14" s="1262" t="s">
        <v>1351</v>
      </c>
      <c r="I14" s="1262"/>
      <c r="J14" s="1262"/>
      <c r="K14" s="1262"/>
      <c r="L14" s="1262"/>
      <c r="M14" s="1262"/>
    </row>
    <row r="15" spans="3:14">
      <c r="C15" s="756">
        <f>+C14+1</f>
        <v>7</v>
      </c>
      <c r="D15" s="1263" t="s">
        <v>1352</v>
      </c>
      <c r="E15" s="1264"/>
      <c r="F15" s="1264"/>
      <c r="G15" s="1265"/>
      <c r="H15" s="1262" t="s">
        <v>462</v>
      </c>
      <c r="I15" s="1262"/>
      <c r="J15" s="1262"/>
      <c r="K15" s="1262"/>
      <c r="L15" s="1262"/>
      <c r="M15" s="1262"/>
    </row>
    <row r="16" spans="3:14">
      <c r="C16" s="758"/>
      <c r="D16" s="1287"/>
      <c r="E16" s="1288"/>
      <c r="F16" s="1288"/>
      <c r="G16" s="1289"/>
      <c r="H16" s="1262"/>
      <c r="I16" s="1262"/>
      <c r="J16" s="1262"/>
      <c r="K16" s="1262"/>
      <c r="L16" s="1262"/>
      <c r="M16" s="1262"/>
    </row>
    <row r="18" spans="3:13" s="752" customFormat="1">
      <c r="C18" s="1272" t="s">
        <v>1353</v>
      </c>
      <c r="D18" s="1273"/>
      <c r="E18" s="1273"/>
      <c r="F18" s="1273"/>
      <c r="G18" s="1273"/>
      <c r="H18" s="1273"/>
      <c r="I18" s="1273"/>
      <c r="J18" s="1273"/>
      <c r="K18" s="1273"/>
      <c r="L18" s="1273"/>
      <c r="M18" s="1274"/>
    </row>
    <row r="19" spans="3:13">
      <c r="C19" s="1275" t="s">
        <v>1354</v>
      </c>
      <c r="D19" s="1276"/>
      <c r="E19" s="1276"/>
      <c r="F19" s="1276"/>
      <c r="G19" s="1276"/>
      <c r="H19" s="1276"/>
      <c r="I19" s="1276"/>
      <c r="J19" s="1276"/>
      <c r="K19" s="1276"/>
      <c r="L19" s="1276"/>
      <c r="M19" s="1277"/>
    </row>
    <row r="20" spans="3:13" ht="16.5" customHeight="1">
      <c r="C20" s="1278" t="s">
        <v>1355</v>
      </c>
      <c r="D20" s="1280" t="s">
        <v>1356</v>
      </c>
      <c r="E20" s="1281"/>
      <c r="F20" s="1281"/>
      <c r="G20" s="1281"/>
      <c r="H20" s="1281"/>
      <c r="I20" s="1282"/>
      <c r="J20" s="1286" t="s">
        <v>1357</v>
      </c>
      <c r="K20" s="1286"/>
      <c r="L20" s="1286" t="s">
        <v>1358</v>
      </c>
      <c r="M20" s="1286"/>
    </row>
    <row r="21" spans="3:13">
      <c r="C21" s="1279"/>
      <c r="D21" s="1283"/>
      <c r="E21" s="1284"/>
      <c r="F21" s="1284"/>
      <c r="G21" s="1284"/>
      <c r="H21" s="1284"/>
      <c r="I21" s="1285"/>
      <c r="J21" s="1286"/>
      <c r="K21" s="1286"/>
      <c r="L21" s="1286"/>
      <c r="M21" s="1286"/>
    </row>
    <row r="22" spans="3:13">
      <c r="C22" s="759">
        <v>1</v>
      </c>
      <c r="D22" s="1286" t="str">
        <f>"Deals in "&amp;Master!B16</f>
        <v>Deals in Readymade Garments</v>
      </c>
      <c r="E22" s="1286"/>
      <c r="F22" s="1286"/>
      <c r="G22" s="1286"/>
      <c r="H22" s="1286"/>
      <c r="I22" s="1286"/>
      <c r="J22" s="1295">
        <v>70200</v>
      </c>
      <c r="K22" s="1295"/>
      <c r="L22" s="1296">
        <v>1</v>
      </c>
      <c r="M22" s="1295"/>
    </row>
    <row r="24" spans="3:13" s="752" customFormat="1">
      <c r="C24" s="1297" t="s">
        <v>1359</v>
      </c>
      <c r="D24" s="1298"/>
      <c r="E24" s="1298"/>
      <c r="F24" s="1298"/>
      <c r="G24" s="1298"/>
      <c r="H24" s="1298"/>
      <c r="I24" s="1298"/>
      <c r="J24" s="1298"/>
      <c r="K24" s="1298"/>
      <c r="L24" s="1298"/>
      <c r="M24" s="1299"/>
    </row>
    <row r="25" spans="3:13">
      <c r="C25" s="1286" t="s">
        <v>1360</v>
      </c>
      <c r="D25" s="1286" t="s">
        <v>1361</v>
      </c>
      <c r="E25" s="1286"/>
      <c r="F25" s="1286"/>
      <c r="G25" s="1286"/>
      <c r="H25" s="1295" t="s">
        <v>1362</v>
      </c>
      <c r="I25" s="1295"/>
      <c r="J25" s="1300" t="s">
        <v>1363</v>
      </c>
      <c r="K25" s="1300"/>
      <c r="L25" s="1300" t="s">
        <v>1364</v>
      </c>
      <c r="M25" s="1300" t="s">
        <v>1365</v>
      </c>
    </row>
    <row r="26" spans="3:13">
      <c r="C26" s="1286"/>
      <c r="D26" s="1286"/>
      <c r="E26" s="1286"/>
      <c r="F26" s="1286"/>
      <c r="G26" s="1286"/>
      <c r="H26" s="1295"/>
      <c r="I26" s="1295"/>
      <c r="J26" s="1300"/>
      <c r="K26" s="1300"/>
      <c r="L26" s="1300"/>
      <c r="M26" s="1300"/>
    </row>
    <row r="27" spans="3:13">
      <c r="C27" s="1286"/>
      <c r="D27" s="1286"/>
      <c r="E27" s="1286"/>
      <c r="F27" s="1286"/>
      <c r="G27" s="1286"/>
      <c r="H27" s="1295"/>
      <c r="I27" s="1295"/>
      <c r="J27" s="1300"/>
      <c r="K27" s="1300"/>
      <c r="L27" s="1300"/>
      <c r="M27" s="1300"/>
    </row>
    <row r="28" spans="3:13">
      <c r="C28" s="759">
        <v>1</v>
      </c>
      <c r="D28" s="1290"/>
      <c r="E28" s="1291"/>
      <c r="F28" s="1291"/>
      <c r="G28" s="1292"/>
      <c r="H28" s="1293"/>
      <c r="I28" s="1294"/>
      <c r="J28" s="1293"/>
      <c r="K28" s="1294"/>
      <c r="L28" s="761"/>
      <c r="M28" s="761"/>
    </row>
    <row r="29" spans="3:13">
      <c r="C29" s="759">
        <v>2</v>
      </c>
      <c r="D29" s="1290"/>
      <c r="E29" s="1291"/>
      <c r="F29" s="1291"/>
      <c r="G29" s="1292"/>
      <c r="H29" s="1293"/>
      <c r="I29" s="1294"/>
      <c r="J29" s="1293"/>
      <c r="K29" s="1294"/>
      <c r="L29" s="761"/>
      <c r="M29" s="761"/>
    </row>
    <row r="30" spans="3:13">
      <c r="C30" s="759">
        <v>3</v>
      </c>
      <c r="D30" s="1290"/>
      <c r="E30" s="1291"/>
      <c r="F30" s="1291"/>
      <c r="G30" s="1292"/>
      <c r="H30" s="1293"/>
      <c r="I30" s="1294"/>
      <c r="J30" s="1293"/>
      <c r="K30" s="1294"/>
      <c r="L30" s="761"/>
      <c r="M30" s="761"/>
    </row>
    <row r="32" spans="3:13" s="752" customFormat="1">
      <c r="C32" s="1268" t="s">
        <v>1366</v>
      </c>
      <c r="D32" s="1312"/>
      <c r="E32" s="1312"/>
      <c r="F32" s="1312"/>
      <c r="G32" s="1312"/>
      <c r="H32" s="1312"/>
      <c r="I32" s="1312"/>
      <c r="J32" s="1312"/>
      <c r="K32" s="1312"/>
      <c r="L32" s="1312"/>
      <c r="M32" s="1313"/>
    </row>
    <row r="33" spans="3:13" s="752" customFormat="1">
      <c r="C33" s="1314" t="s">
        <v>1367</v>
      </c>
      <c r="D33" s="1314"/>
      <c r="E33" s="1314"/>
      <c r="F33" s="1314"/>
      <c r="G33" s="1314"/>
      <c r="H33" s="1314"/>
      <c r="I33" s="1314"/>
      <c r="J33" s="1314"/>
      <c r="K33" s="1314"/>
      <c r="L33" s="1314"/>
      <c r="M33" s="1314"/>
    </row>
    <row r="34" spans="3:13" s="752" customFormat="1">
      <c r="C34" s="1315" t="s">
        <v>1368</v>
      </c>
      <c r="D34" s="1315"/>
      <c r="E34" s="1315"/>
      <c r="F34" s="1315"/>
      <c r="G34" s="1315"/>
      <c r="H34" s="1315"/>
      <c r="I34" s="1315"/>
      <c r="J34" s="1315"/>
      <c r="K34" s="1315"/>
      <c r="L34" s="1315"/>
      <c r="M34" s="1315"/>
    </row>
    <row r="35" spans="3:13" s="764" customFormat="1" ht="21.75" customHeight="1">
      <c r="C35" s="1301" t="s">
        <v>1369</v>
      </c>
      <c r="D35" s="1302"/>
      <c r="E35" s="1300" t="str">
        <f>"No. of Shares held at the beginning of the year"&amp;CHAR(10)&amp;"[As on "&amp;TEXT(Master!B4,"dd mmm yy")&amp;"]"</f>
        <v>No. of Shares held at the beginning of the year
[As on 01 Apr 22]</v>
      </c>
      <c r="F35" s="1300"/>
      <c r="G35" s="1300"/>
      <c r="H35" s="1300"/>
      <c r="I35" s="1300" t="str">
        <f>"No. of Shares held at the end of the year"&amp;CHAR(10)&amp;"[As on "&amp;TEXT(Master!B5,"dd mmm yy")&amp;"]"</f>
        <v>No. of Shares held at the end of the year
[As on 31 Mar 23]</v>
      </c>
      <c r="J35" s="1300"/>
      <c r="K35" s="1300"/>
      <c r="L35" s="1300"/>
      <c r="M35" s="1307" t="s">
        <v>1370</v>
      </c>
    </row>
    <row r="36" spans="3:13" s="764" customFormat="1" ht="21.75" customHeight="1">
      <c r="C36" s="1303"/>
      <c r="D36" s="1304"/>
      <c r="E36" s="1300"/>
      <c r="F36" s="1300"/>
      <c r="G36" s="1300"/>
      <c r="H36" s="1300"/>
      <c r="I36" s="1300"/>
      <c r="J36" s="1300"/>
      <c r="K36" s="1300"/>
      <c r="L36" s="1300"/>
      <c r="M36" s="1308"/>
    </row>
    <row r="37" spans="3:13" s="764" customFormat="1" ht="38.25">
      <c r="C37" s="1305"/>
      <c r="D37" s="1306"/>
      <c r="E37" s="760" t="s">
        <v>1371</v>
      </c>
      <c r="F37" s="760" t="s">
        <v>1372</v>
      </c>
      <c r="G37" s="760" t="s">
        <v>88</v>
      </c>
      <c r="H37" s="755" t="s">
        <v>1373</v>
      </c>
      <c r="I37" s="760" t="s">
        <v>1371</v>
      </c>
      <c r="J37" s="760" t="s">
        <v>1372</v>
      </c>
      <c r="K37" s="760" t="s">
        <v>88</v>
      </c>
      <c r="L37" s="755" t="s">
        <v>1373</v>
      </c>
      <c r="M37" s="1309"/>
    </row>
    <row r="38" spans="3:13">
      <c r="C38" s="1310" t="s">
        <v>1374</v>
      </c>
      <c r="D38" s="1310"/>
      <c r="E38" s="1310"/>
      <c r="F38" s="1310"/>
      <c r="G38" s="1310"/>
      <c r="H38" s="1310"/>
      <c r="I38" s="1310"/>
      <c r="J38" s="1310"/>
      <c r="K38" s="1310"/>
      <c r="L38" s="1310"/>
      <c r="M38" s="1310"/>
    </row>
    <row r="39" spans="3:13" ht="16.5" customHeight="1">
      <c r="C39" s="1311" t="s">
        <v>1375</v>
      </c>
      <c r="D39" s="1311"/>
      <c r="E39" s="1311"/>
      <c r="F39" s="1311"/>
      <c r="G39" s="1311"/>
      <c r="H39" s="1311"/>
      <c r="I39" s="1311"/>
      <c r="J39" s="1311"/>
      <c r="K39" s="1311"/>
      <c r="L39" s="1311"/>
      <c r="M39" s="1311"/>
    </row>
    <row r="40" spans="3:13">
      <c r="C40" s="1317" t="s">
        <v>1376</v>
      </c>
      <c r="D40" s="1317"/>
      <c r="E40" s="767">
        <v>0</v>
      </c>
      <c r="F40" s="767">
        <f>SUM('Sch - liab (2)'!$C$33:$C$37)*Master!$C$17</f>
        <v>97539.999999999985</v>
      </c>
      <c r="G40" s="768">
        <f t="shared" ref="G40:G45" si="0">+SUM(E40:F40)</f>
        <v>97539.999999999985</v>
      </c>
      <c r="H40" s="769">
        <f t="shared" ref="H40:H46" si="1">IFERROR(G40/G$95,0)</f>
        <v>1</v>
      </c>
      <c r="I40" s="767">
        <v>0</v>
      </c>
      <c r="J40" s="767">
        <f>SUM('Sch - liab (2)'!$C$25:$C$29)*Master!$C$17</f>
        <v>97539.999999999985</v>
      </c>
      <c r="K40" s="768">
        <f t="shared" ref="K40:K45" si="2">+SUM(I40:J40)</f>
        <v>97539.999999999985</v>
      </c>
      <c r="L40" s="769">
        <f t="shared" ref="L40:L46" si="3">IFERROR(K40/K$95,0)</f>
        <v>1</v>
      </c>
      <c r="M40" s="770">
        <f>IFERROR((K40-G40)/G40,0)</f>
        <v>0</v>
      </c>
    </row>
    <row r="41" spans="3:13">
      <c r="C41" s="1317" t="s">
        <v>1377</v>
      </c>
      <c r="D41" s="1317"/>
      <c r="E41" s="767">
        <v>0</v>
      </c>
      <c r="F41" s="767">
        <v>0</v>
      </c>
      <c r="G41" s="768">
        <f t="shared" si="0"/>
        <v>0</v>
      </c>
      <c r="H41" s="769">
        <f t="shared" si="1"/>
        <v>0</v>
      </c>
      <c r="I41" s="767">
        <v>0</v>
      </c>
      <c r="J41" s="767">
        <v>0</v>
      </c>
      <c r="K41" s="768">
        <f t="shared" si="2"/>
        <v>0</v>
      </c>
      <c r="L41" s="769">
        <f t="shared" si="3"/>
        <v>0</v>
      </c>
      <c r="M41" s="770">
        <f t="shared" ref="M41:M46" si="4">IFERROR((K41-G41)/G41,0)</f>
        <v>0</v>
      </c>
    </row>
    <row r="42" spans="3:13">
      <c r="C42" s="1317" t="s">
        <v>1378</v>
      </c>
      <c r="D42" s="1317"/>
      <c r="E42" s="767">
        <v>0</v>
      </c>
      <c r="F42" s="767">
        <v>0</v>
      </c>
      <c r="G42" s="768">
        <f t="shared" si="0"/>
        <v>0</v>
      </c>
      <c r="H42" s="769">
        <f t="shared" si="1"/>
        <v>0</v>
      </c>
      <c r="I42" s="767">
        <v>0</v>
      </c>
      <c r="J42" s="767">
        <v>0</v>
      </c>
      <c r="K42" s="768">
        <f t="shared" si="2"/>
        <v>0</v>
      </c>
      <c r="L42" s="769">
        <f t="shared" si="3"/>
        <v>0</v>
      </c>
      <c r="M42" s="770">
        <f t="shared" si="4"/>
        <v>0</v>
      </c>
    </row>
    <row r="43" spans="3:13">
      <c r="C43" s="1317" t="s">
        <v>1379</v>
      </c>
      <c r="D43" s="1317"/>
      <c r="E43" s="767">
        <v>0</v>
      </c>
      <c r="F43" s="767">
        <v>0</v>
      </c>
      <c r="G43" s="768">
        <f t="shared" si="0"/>
        <v>0</v>
      </c>
      <c r="H43" s="769">
        <f t="shared" si="1"/>
        <v>0</v>
      </c>
      <c r="I43" s="767">
        <v>0</v>
      </c>
      <c r="J43" s="767">
        <v>0</v>
      </c>
      <c r="K43" s="768">
        <f t="shared" si="2"/>
        <v>0</v>
      </c>
      <c r="L43" s="769">
        <f t="shared" si="3"/>
        <v>0</v>
      </c>
      <c r="M43" s="770">
        <f t="shared" si="4"/>
        <v>0</v>
      </c>
    </row>
    <row r="44" spans="3:13">
      <c r="C44" s="1317" t="s">
        <v>1380</v>
      </c>
      <c r="D44" s="1317"/>
      <c r="E44" s="767">
        <v>0</v>
      </c>
      <c r="F44" s="767">
        <v>0</v>
      </c>
      <c r="G44" s="768">
        <f t="shared" si="0"/>
        <v>0</v>
      </c>
      <c r="H44" s="769">
        <f t="shared" si="1"/>
        <v>0</v>
      </c>
      <c r="I44" s="767">
        <v>0</v>
      </c>
      <c r="J44" s="767">
        <v>0</v>
      </c>
      <c r="K44" s="768">
        <f t="shared" si="2"/>
        <v>0</v>
      </c>
      <c r="L44" s="769">
        <f t="shared" si="3"/>
        <v>0</v>
      </c>
      <c r="M44" s="770">
        <f t="shared" si="4"/>
        <v>0</v>
      </c>
    </row>
    <row r="45" spans="3:13">
      <c r="C45" s="1317" t="s">
        <v>1381</v>
      </c>
      <c r="D45" s="1317"/>
      <c r="E45" s="767">
        <v>0</v>
      </c>
      <c r="F45" s="767">
        <v>0</v>
      </c>
      <c r="G45" s="768">
        <f t="shared" si="0"/>
        <v>0</v>
      </c>
      <c r="H45" s="769">
        <f t="shared" si="1"/>
        <v>0</v>
      </c>
      <c r="I45" s="767">
        <v>0</v>
      </c>
      <c r="J45" s="767">
        <v>0</v>
      </c>
      <c r="K45" s="768">
        <f t="shared" si="2"/>
        <v>0</v>
      </c>
      <c r="L45" s="769">
        <f t="shared" si="3"/>
        <v>0</v>
      </c>
      <c r="M45" s="770">
        <f t="shared" si="4"/>
        <v>0</v>
      </c>
    </row>
    <row r="46" spans="3:13" s="764" customFormat="1">
      <c r="C46" s="1316" t="s">
        <v>1382</v>
      </c>
      <c r="D46" s="1316"/>
      <c r="E46" s="771">
        <f>+SUM(E40:E45)</f>
        <v>0</v>
      </c>
      <c r="F46" s="771">
        <f t="shared" ref="F46:G46" si="5">+SUM(F40:F45)</f>
        <v>97539.999999999985</v>
      </c>
      <c r="G46" s="771">
        <f t="shared" si="5"/>
        <v>97539.999999999985</v>
      </c>
      <c r="H46" s="772">
        <f t="shared" si="1"/>
        <v>1</v>
      </c>
      <c r="I46" s="771">
        <f>+SUM(I40:I45)</f>
        <v>0</v>
      </c>
      <c r="J46" s="771">
        <f t="shared" ref="J46:K46" si="6">+SUM(J40:J45)</f>
        <v>97539.999999999985</v>
      </c>
      <c r="K46" s="771">
        <f t="shared" si="6"/>
        <v>97539.999999999985</v>
      </c>
      <c r="L46" s="772">
        <f t="shared" si="3"/>
        <v>1</v>
      </c>
      <c r="M46" s="773">
        <f t="shared" si="4"/>
        <v>0</v>
      </c>
    </row>
    <row r="47" spans="3:13" ht="21" customHeight="1">
      <c r="C47" s="1311" t="s">
        <v>1383</v>
      </c>
      <c r="D47" s="1311"/>
      <c r="E47" s="1311"/>
      <c r="F47" s="1311"/>
      <c r="G47" s="1311"/>
      <c r="H47" s="1311"/>
      <c r="I47" s="1311"/>
      <c r="J47" s="1311"/>
      <c r="K47" s="1311"/>
      <c r="L47" s="1311"/>
      <c r="M47" s="1311"/>
    </row>
    <row r="48" spans="3:13">
      <c r="C48" s="1317" t="s">
        <v>1384</v>
      </c>
      <c r="D48" s="1317"/>
      <c r="E48" s="767">
        <v>0</v>
      </c>
      <c r="F48" s="767">
        <v>0</v>
      </c>
      <c r="G48" s="768">
        <f>+SUM(E48:F48)</f>
        <v>0</v>
      </c>
      <c r="H48" s="769">
        <f t="shared" ref="H48:H53" si="7">IFERROR(G48/G$95,0)</f>
        <v>0</v>
      </c>
      <c r="I48" s="767">
        <v>0</v>
      </c>
      <c r="J48" s="767">
        <v>0</v>
      </c>
      <c r="K48" s="768">
        <f>+SUM(I48:J48)</f>
        <v>0</v>
      </c>
      <c r="L48" s="769">
        <f t="shared" ref="L48:L53" si="8">IFERROR(K48/K$95,0)</f>
        <v>0</v>
      </c>
      <c r="M48" s="770">
        <f t="shared" ref="M48:M53" si="9">IFERROR((K48-G48)/G48,0)</f>
        <v>0</v>
      </c>
    </row>
    <row r="49" spans="3:13">
      <c r="C49" s="1317" t="s">
        <v>1385</v>
      </c>
      <c r="D49" s="1317"/>
      <c r="E49" s="767">
        <v>0</v>
      </c>
      <c r="F49" s="767">
        <v>0</v>
      </c>
      <c r="G49" s="768">
        <f>+SUM(E49:F49)</f>
        <v>0</v>
      </c>
      <c r="H49" s="769">
        <f t="shared" si="7"/>
        <v>0</v>
      </c>
      <c r="I49" s="767">
        <v>0</v>
      </c>
      <c r="J49" s="767">
        <v>0</v>
      </c>
      <c r="K49" s="768">
        <f>+SUM(I49:J49)</f>
        <v>0</v>
      </c>
      <c r="L49" s="769">
        <f t="shared" si="8"/>
        <v>0</v>
      </c>
      <c r="M49" s="770">
        <f t="shared" si="9"/>
        <v>0</v>
      </c>
    </row>
    <row r="50" spans="3:13">
      <c r="C50" s="1317" t="s">
        <v>1386</v>
      </c>
      <c r="D50" s="1317"/>
      <c r="E50" s="767">
        <v>0</v>
      </c>
      <c r="F50" s="767">
        <v>0</v>
      </c>
      <c r="G50" s="768">
        <f>+SUM(E50:F50)</f>
        <v>0</v>
      </c>
      <c r="H50" s="769">
        <f t="shared" si="7"/>
        <v>0</v>
      </c>
      <c r="I50" s="767">
        <v>0</v>
      </c>
      <c r="J50" s="767">
        <v>0</v>
      </c>
      <c r="K50" s="768">
        <f>+SUM(I50:J50)</f>
        <v>0</v>
      </c>
      <c r="L50" s="769">
        <f t="shared" si="8"/>
        <v>0</v>
      </c>
      <c r="M50" s="770">
        <f t="shared" si="9"/>
        <v>0</v>
      </c>
    </row>
    <row r="51" spans="3:13">
      <c r="C51" s="1317" t="s">
        <v>1387</v>
      </c>
      <c r="D51" s="1317"/>
      <c r="E51" s="767">
        <v>0</v>
      </c>
      <c r="F51" s="767">
        <v>0</v>
      </c>
      <c r="G51" s="768">
        <f>+SUM(E51:F51)</f>
        <v>0</v>
      </c>
      <c r="H51" s="769">
        <f t="shared" si="7"/>
        <v>0</v>
      </c>
      <c r="I51" s="767">
        <v>0</v>
      </c>
      <c r="J51" s="767">
        <v>0</v>
      </c>
      <c r="K51" s="768">
        <f>+SUM(I51:J51)</f>
        <v>0</v>
      </c>
      <c r="L51" s="769">
        <f t="shared" si="8"/>
        <v>0</v>
      </c>
      <c r="M51" s="770">
        <f t="shared" si="9"/>
        <v>0</v>
      </c>
    </row>
    <row r="52" spans="3:13" s="764" customFormat="1">
      <c r="C52" s="1324" t="s">
        <v>1388</v>
      </c>
      <c r="D52" s="1325"/>
      <c r="E52" s="774">
        <f>+SUM(E48:E51)</f>
        <v>0</v>
      </c>
      <c r="F52" s="774">
        <f>+SUM(F48:F51)</f>
        <v>0</v>
      </c>
      <c r="G52" s="774">
        <f>+SUM(G48:G51)</f>
        <v>0</v>
      </c>
      <c r="H52" s="772">
        <f t="shared" si="7"/>
        <v>0</v>
      </c>
      <c r="I52" s="774">
        <f>+SUM(I48:I51)</f>
        <v>0</v>
      </c>
      <c r="J52" s="774">
        <f>+SUM(J48:J51)</f>
        <v>0</v>
      </c>
      <c r="K52" s="774">
        <f>+SUM(K48:K51)</f>
        <v>0</v>
      </c>
      <c r="L52" s="772">
        <f t="shared" si="8"/>
        <v>0</v>
      </c>
      <c r="M52" s="773">
        <f t="shared" si="9"/>
        <v>0</v>
      </c>
    </row>
    <row r="53" spans="3:13" s="764" customFormat="1">
      <c r="C53" s="1326" t="s">
        <v>1389</v>
      </c>
      <c r="D53" s="1327"/>
      <c r="E53" s="774">
        <f>+E46+E52</f>
        <v>0</v>
      </c>
      <c r="F53" s="774">
        <f>+F46+F52</f>
        <v>97539.999999999985</v>
      </c>
      <c r="G53" s="774">
        <f>+G46+G52</f>
        <v>97539.999999999985</v>
      </c>
      <c r="H53" s="772">
        <f t="shared" si="7"/>
        <v>1</v>
      </c>
      <c r="I53" s="774">
        <f>+I46+I52</f>
        <v>0</v>
      </c>
      <c r="J53" s="774">
        <f>+J46+J52</f>
        <v>97539.999999999985</v>
      </c>
      <c r="K53" s="774">
        <f>+K46+K52</f>
        <v>97539.999999999985</v>
      </c>
      <c r="L53" s="772">
        <f t="shared" si="8"/>
        <v>1</v>
      </c>
      <c r="M53" s="773">
        <f t="shared" si="9"/>
        <v>0</v>
      </c>
    </row>
    <row r="54" spans="3:13">
      <c r="C54" s="1264"/>
      <c r="D54" s="1264"/>
      <c r="E54" s="1264"/>
      <c r="F54" s="1264"/>
      <c r="G54" s="1264"/>
      <c r="H54" s="1264"/>
      <c r="I54" s="1264"/>
      <c r="J54" s="1264"/>
      <c r="K54" s="1264"/>
      <c r="L54" s="1264"/>
      <c r="M54" s="1264"/>
    </row>
    <row r="55" spans="3:13">
      <c r="C55" s="1328" t="s">
        <v>1390</v>
      </c>
      <c r="D55" s="1328"/>
      <c r="E55" s="1328"/>
      <c r="F55" s="1328"/>
      <c r="G55" s="1328"/>
      <c r="H55" s="1328"/>
      <c r="I55" s="1328"/>
      <c r="J55" s="1328"/>
      <c r="K55" s="1328"/>
      <c r="L55" s="1328"/>
      <c r="M55" s="1328"/>
    </row>
    <row r="56" spans="3:13" ht="16.5" customHeight="1">
      <c r="C56" s="1311" t="s">
        <v>1391</v>
      </c>
      <c r="D56" s="1311"/>
      <c r="E56" s="1311"/>
      <c r="F56" s="1311"/>
      <c r="G56" s="1311"/>
      <c r="H56" s="1311"/>
      <c r="I56" s="1311"/>
      <c r="J56" s="1311"/>
      <c r="K56" s="1311"/>
      <c r="L56" s="1311"/>
      <c r="M56" s="1311"/>
    </row>
    <row r="57" spans="3:13">
      <c r="C57" s="1317" t="s">
        <v>1392</v>
      </c>
      <c r="D57" s="1317"/>
      <c r="E57" s="767">
        <v>0</v>
      </c>
      <c r="F57" s="767">
        <v>0</v>
      </c>
      <c r="G57" s="768">
        <f t="shared" ref="G57:G60" si="10">+SUM(E57:F57)</f>
        <v>0</v>
      </c>
      <c r="H57" s="769">
        <f>IFERROR(G57/G$95,0)</f>
        <v>0</v>
      </c>
      <c r="I57" s="767">
        <v>0</v>
      </c>
      <c r="J57" s="767">
        <v>0</v>
      </c>
      <c r="K57" s="768">
        <f t="shared" ref="K57:K60" si="11">+SUM(I57:J57)</f>
        <v>0</v>
      </c>
      <c r="L57" s="769">
        <f>IFERROR(K57/K$95,0)</f>
        <v>0</v>
      </c>
      <c r="M57" s="770">
        <f t="shared" ref="M57:M59" si="12">IFERROR((K57-G57)/G57,0)</f>
        <v>0</v>
      </c>
    </row>
    <row r="58" spans="3:13">
      <c r="C58" s="1317" t="s">
        <v>1393</v>
      </c>
      <c r="D58" s="1317"/>
      <c r="E58" s="767">
        <v>0</v>
      </c>
      <c r="F58" s="767">
        <v>0</v>
      </c>
      <c r="G58" s="768">
        <f t="shared" si="10"/>
        <v>0</v>
      </c>
      <c r="H58" s="769">
        <f>IFERROR(G58/G$95,0)</f>
        <v>0</v>
      </c>
      <c r="I58" s="767">
        <v>0</v>
      </c>
      <c r="J58" s="767">
        <v>0</v>
      </c>
      <c r="K58" s="768">
        <f t="shared" si="11"/>
        <v>0</v>
      </c>
      <c r="L58" s="769">
        <f>IFERROR(K58/K$95,0)</f>
        <v>0</v>
      </c>
      <c r="M58" s="770">
        <f t="shared" si="12"/>
        <v>0</v>
      </c>
    </row>
    <row r="59" spans="3:13">
      <c r="C59" s="1317" t="s">
        <v>1394</v>
      </c>
      <c r="D59" s="1317"/>
      <c r="E59" s="767">
        <v>0</v>
      </c>
      <c r="F59" s="767">
        <v>0</v>
      </c>
      <c r="G59" s="768">
        <f t="shared" si="10"/>
        <v>0</v>
      </c>
      <c r="H59" s="769">
        <f>IFERROR(G59/G$95,0)</f>
        <v>0</v>
      </c>
      <c r="I59" s="767">
        <v>0</v>
      </c>
      <c r="J59" s="767">
        <v>0</v>
      </c>
      <c r="K59" s="768">
        <f t="shared" si="11"/>
        <v>0</v>
      </c>
      <c r="L59" s="769">
        <f>IFERROR(K59/K$95,0)</f>
        <v>0</v>
      </c>
      <c r="M59" s="770">
        <f t="shared" si="12"/>
        <v>0</v>
      </c>
    </row>
    <row r="60" spans="3:13">
      <c r="C60" s="1317" t="s">
        <v>1395</v>
      </c>
      <c r="D60" s="1317"/>
      <c r="E60" s="767">
        <v>0</v>
      </c>
      <c r="F60" s="767">
        <v>0</v>
      </c>
      <c r="G60" s="768">
        <f t="shared" si="10"/>
        <v>0</v>
      </c>
      <c r="H60" s="769">
        <f>IFERROR(G60/G$95,0)</f>
        <v>0</v>
      </c>
      <c r="I60" s="767">
        <v>0</v>
      </c>
      <c r="J60" s="767">
        <v>0</v>
      </c>
      <c r="K60" s="768">
        <f t="shared" si="11"/>
        <v>0</v>
      </c>
      <c r="L60" s="769">
        <f>IFERROR(K60/K$95,0)</f>
        <v>0</v>
      </c>
      <c r="M60" s="770">
        <f>IFERROR((K60-G60)/G60,0)</f>
        <v>0</v>
      </c>
    </row>
    <row r="61" spans="3:13" ht="16.5" customHeight="1">
      <c r="C61" s="1318" t="s">
        <v>1396</v>
      </c>
      <c r="D61" s="1319"/>
      <c r="E61" s="1322">
        <v>0</v>
      </c>
      <c r="F61" s="1322">
        <v>0</v>
      </c>
      <c r="G61" s="1329">
        <f>+SUM(E61:F62)</f>
        <v>0</v>
      </c>
      <c r="H61" s="1331">
        <f>IFERROR(G61/G$95,0)</f>
        <v>0</v>
      </c>
      <c r="I61" s="1322">
        <v>0</v>
      </c>
      <c r="J61" s="1322">
        <v>0</v>
      </c>
      <c r="K61" s="1329">
        <f>+SUM(I61:J62)</f>
        <v>0</v>
      </c>
      <c r="L61" s="1331">
        <f>IFERROR(K61/K$95,0)</f>
        <v>0</v>
      </c>
      <c r="M61" s="1331">
        <f>IFERROR((K61-G61)/G61,0)</f>
        <v>0</v>
      </c>
    </row>
    <row r="62" spans="3:13">
      <c r="C62" s="1320"/>
      <c r="D62" s="1321"/>
      <c r="E62" s="1323"/>
      <c r="F62" s="1323"/>
      <c r="G62" s="1330"/>
      <c r="H62" s="1332"/>
      <c r="I62" s="1323"/>
      <c r="J62" s="1323"/>
      <c r="K62" s="1330"/>
      <c r="L62" s="1332"/>
      <c r="M62" s="1332"/>
    </row>
    <row r="63" spans="3:13">
      <c r="C63" s="1317" t="s">
        <v>1397</v>
      </c>
      <c r="D63" s="1317"/>
      <c r="E63" s="767">
        <v>0</v>
      </c>
      <c r="F63" s="767">
        <v>0</v>
      </c>
      <c r="G63" s="768">
        <f t="shared" ref="G63:G64" si="13">+SUM(E63:F63)</f>
        <v>0</v>
      </c>
      <c r="H63" s="769">
        <f>IFERROR(G63/G$95,0)</f>
        <v>0</v>
      </c>
      <c r="I63" s="767">
        <v>0</v>
      </c>
      <c r="J63" s="767">
        <v>0</v>
      </c>
      <c r="K63" s="768">
        <f t="shared" ref="K63:K64" si="14">+SUM(I63:J63)</f>
        <v>0</v>
      </c>
      <c r="L63" s="769">
        <f>IFERROR(K63/K$95,0)</f>
        <v>0</v>
      </c>
      <c r="M63" s="770">
        <f t="shared" ref="M63:M64" si="15">IFERROR((K63-G63)/G63,0)</f>
        <v>0</v>
      </c>
    </row>
    <row r="64" spans="3:13">
      <c r="C64" s="1317" t="s">
        <v>1398</v>
      </c>
      <c r="D64" s="1317"/>
      <c r="E64" s="767">
        <v>0</v>
      </c>
      <c r="F64" s="767">
        <v>0</v>
      </c>
      <c r="G64" s="768">
        <f t="shared" si="13"/>
        <v>0</v>
      </c>
      <c r="H64" s="769">
        <f>IFERROR(G64/G$95,0)</f>
        <v>0</v>
      </c>
      <c r="I64" s="767">
        <v>0</v>
      </c>
      <c r="J64" s="767">
        <v>0</v>
      </c>
      <c r="K64" s="768">
        <f t="shared" si="14"/>
        <v>0</v>
      </c>
      <c r="L64" s="769">
        <f>IFERROR(K64/K$95,0)</f>
        <v>0</v>
      </c>
      <c r="M64" s="770">
        <f t="shared" si="15"/>
        <v>0</v>
      </c>
    </row>
    <row r="65" spans="3:13" ht="16.5" customHeight="1">
      <c r="C65" s="1318" t="s">
        <v>1399</v>
      </c>
      <c r="D65" s="1319"/>
      <c r="E65" s="1322">
        <v>0</v>
      </c>
      <c r="F65" s="1322">
        <v>0</v>
      </c>
      <c r="G65" s="1329">
        <f>+SUM(E65:F66)</f>
        <v>0</v>
      </c>
      <c r="H65" s="1331">
        <f>IFERROR(G65/G$95,0)</f>
        <v>0</v>
      </c>
      <c r="I65" s="1322">
        <v>0</v>
      </c>
      <c r="J65" s="1322">
        <v>0</v>
      </c>
      <c r="K65" s="1329">
        <f>+SUM(I65:J66)</f>
        <v>0</v>
      </c>
      <c r="L65" s="1331">
        <f>IFERROR(K65/K$95,0)</f>
        <v>0</v>
      </c>
      <c r="M65" s="1331">
        <f>IFERROR((K65-G65)/G65,0)</f>
        <v>0</v>
      </c>
    </row>
    <row r="66" spans="3:13">
      <c r="C66" s="1320"/>
      <c r="D66" s="1321"/>
      <c r="E66" s="1323"/>
      <c r="F66" s="1323"/>
      <c r="G66" s="1330"/>
      <c r="H66" s="1332"/>
      <c r="I66" s="1323"/>
      <c r="J66" s="1323"/>
      <c r="K66" s="1330"/>
      <c r="L66" s="1332"/>
      <c r="M66" s="1332"/>
    </row>
    <row r="67" spans="3:13">
      <c r="C67" s="1317" t="s">
        <v>1400</v>
      </c>
      <c r="D67" s="1317"/>
      <c r="E67" s="767">
        <v>0</v>
      </c>
      <c r="F67" s="767">
        <v>0</v>
      </c>
      <c r="G67" s="768">
        <f t="shared" ref="G67" si="16">+SUM(E67:F67)</f>
        <v>0</v>
      </c>
      <c r="H67" s="769">
        <f>IFERROR(G67/G$95,0)</f>
        <v>0</v>
      </c>
      <c r="I67" s="767">
        <v>0</v>
      </c>
      <c r="J67" s="767">
        <v>0</v>
      </c>
      <c r="K67" s="768">
        <f t="shared" ref="K67" si="17">+SUM(I67:J67)</f>
        <v>0</v>
      </c>
      <c r="L67" s="769">
        <f>IFERROR(K67/K$95,0)</f>
        <v>0</v>
      </c>
      <c r="M67" s="770">
        <f t="shared" ref="M67:M68" si="18">IFERROR((K67-G67)/G67,0)</f>
        <v>0</v>
      </c>
    </row>
    <row r="68" spans="3:13" s="764" customFormat="1">
      <c r="C68" s="1333" t="s">
        <v>1401</v>
      </c>
      <c r="D68" s="1334"/>
      <c r="E68" s="771">
        <f>+SUM(E57:E67)</f>
        <v>0</v>
      </c>
      <c r="F68" s="771">
        <f t="shared" ref="F68:G68" si="19">+SUM(F57:F67)</f>
        <v>0</v>
      </c>
      <c r="G68" s="771">
        <f t="shared" si="19"/>
        <v>0</v>
      </c>
      <c r="H68" s="772">
        <f>IFERROR(G68/G$95,0)</f>
        <v>0</v>
      </c>
      <c r="I68" s="771">
        <f>+SUM(I57:I67)</f>
        <v>0</v>
      </c>
      <c r="J68" s="771">
        <f t="shared" ref="J68:K68" si="20">+SUM(J57:J67)</f>
        <v>0</v>
      </c>
      <c r="K68" s="771">
        <f t="shared" si="20"/>
        <v>0</v>
      </c>
      <c r="L68" s="772">
        <f>IFERROR(K68/K$95,0)</f>
        <v>0</v>
      </c>
      <c r="M68" s="773">
        <f t="shared" si="18"/>
        <v>0</v>
      </c>
    </row>
    <row r="69" spans="3:13" ht="21.75" customHeight="1">
      <c r="C69" s="1335" t="s">
        <v>1402</v>
      </c>
      <c r="D69" s="1335"/>
      <c r="E69" s="1335"/>
      <c r="F69" s="1335"/>
      <c r="G69" s="1335"/>
      <c r="H69" s="1335"/>
      <c r="I69" s="1335"/>
      <c r="J69" s="1335"/>
      <c r="K69" s="1335"/>
      <c r="L69" s="1335"/>
      <c r="M69" s="1335"/>
    </row>
    <row r="70" spans="3:13" ht="16.5" customHeight="1">
      <c r="C70" s="1336" t="s">
        <v>1403</v>
      </c>
      <c r="D70" s="1337"/>
      <c r="E70" s="1337"/>
      <c r="F70" s="1337"/>
      <c r="G70" s="1337"/>
      <c r="H70" s="1337"/>
      <c r="I70" s="1337"/>
      <c r="J70" s="1337"/>
      <c r="K70" s="1337"/>
      <c r="L70" s="1337"/>
      <c r="M70" s="1338"/>
    </row>
    <row r="71" spans="3:13">
      <c r="C71" s="1339" t="s">
        <v>1404</v>
      </c>
      <c r="D71" s="1339"/>
      <c r="E71" s="767">
        <v>0</v>
      </c>
      <c r="F71" s="767">
        <v>0</v>
      </c>
      <c r="G71" s="768">
        <f t="shared" ref="G71:G72" si="21">+SUM(E71:F71)</f>
        <v>0</v>
      </c>
      <c r="H71" s="769">
        <f>IFERROR(G71/G$95,0)</f>
        <v>0</v>
      </c>
      <c r="I71" s="767">
        <v>0</v>
      </c>
      <c r="J71" s="767">
        <v>0</v>
      </c>
      <c r="K71" s="768">
        <f t="shared" ref="K71:K72" si="22">+SUM(I71:J71)</f>
        <v>0</v>
      </c>
      <c r="L71" s="769">
        <f>IFERROR(K71/K$95,0)</f>
        <v>0</v>
      </c>
      <c r="M71" s="770">
        <f t="shared" ref="M71:M72" si="23">IFERROR((K71-G71)/G71,0)</f>
        <v>0</v>
      </c>
    </row>
    <row r="72" spans="3:13">
      <c r="C72" s="1339" t="s">
        <v>1405</v>
      </c>
      <c r="D72" s="1339"/>
      <c r="E72" s="767">
        <v>0</v>
      </c>
      <c r="F72" s="767">
        <v>0</v>
      </c>
      <c r="G72" s="768">
        <f t="shared" si="21"/>
        <v>0</v>
      </c>
      <c r="H72" s="769">
        <f>IFERROR(G72/G$95,0)</f>
        <v>0</v>
      </c>
      <c r="I72" s="767">
        <v>0</v>
      </c>
      <c r="J72" s="767">
        <v>0</v>
      </c>
      <c r="K72" s="768">
        <f t="shared" si="22"/>
        <v>0</v>
      </c>
      <c r="L72" s="769">
        <f>IFERROR(K72/K$95,0)</f>
        <v>0</v>
      </c>
      <c r="M72" s="770">
        <f t="shared" si="23"/>
        <v>0</v>
      </c>
    </row>
    <row r="73" spans="3:13" ht="16.5" customHeight="1">
      <c r="C73" s="1336" t="s">
        <v>1406</v>
      </c>
      <c r="D73" s="1337"/>
      <c r="E73" s="1337"/>
      <c r="F73" s="1337"/>
      <c r="G73" s="1337"/>
      <c r="H73" s="1337"/>
      <c r="I73" s="1337"/>
      <c r="J73" s="1337"/>
      <c r="K73" s="1337"/>
      <c r="L73" s="1337"/>
      <c r="M73" s="1338"/>
    </row>
    <row r="74" spans="3:13" ht="16.5" customHeight="1">
      <c r="C74" s="1340" t="s">
        <v>1407</v>
      </c>
      <c r="D74" s="1341"/>
      <c r="E74" s="1322">
        <v>0</v>
      </c>
      <c r="F74" s="1322">
        <v>0</v>
      </c>
      <c r="G74" s="1329">
        <f>+SUM(E74:F77)</f>
        <v>0</v>
      </c>
      <c r="H74" s="1331">
        <f>IFERROR(G74/G$95,0)</f>
        <v>0</v>
      </c>
      <c r="I74" s="1322">
        <v>0</v>
      </c>
      <c r="J74" s="1322">
        <v>0</v>
      </c>
      <c r="K74" s="1329">
        <f>+SUM(I74:J77)</f>
        <v>0</v>
      </c>
      <c r="L74" s="1331">
        <f>IFERROR(K74/K$95,0)</f>
        <v>0</v>
      </c>
      <c r="M74" s="1349">
        <f>IFERROR((K74-G74)/G74,0)</f>
        <v>0</v>
      </c>
    </row>
    <row r="75" spans="3:13">
      <c r="C75" s="1342"/>
      <c r="D75" s="1343"/>
      <c r="E75" s="1346"/>
      <c r="F75" s="1346"/>
      <c r="G75" s="1347"/>
      <c r="H75" s="1348"/>
      <c r="I75" s="1346"/>
      <c r="J75" s="1346"/>
      <c r="K75" s="1347"/>
      <c r="L75" s="1348"/>
      <c r="M75" s="1350"/>
    </row>
    <row r="76" spans="3:13">
      <c r="C76" s="1342"/>
      <c r="D76" s="1343"/>
      <c r="E76" s="1346"/>
      <c r="F76" s="1346"/>
      <c r="G76" s="1347"/>
      <c r="H76" s="1348"/>
      <c r="I76" s="1346"/>
      <c r="J76" s="1346"/>
      <c r="K76" s="1347"/>
      <c r="L76" s="1348"/>
      <c r="M76" s="1350"/>
    </row>
    <row r="77" spans="3:13">
      <c r="C77" s="1344"/>
      <c r="D77" s="1345"/>
      <c r="E77" s="1323"/>
      <c r="F77" s="1323"/>
      <c r="G77" s="1330"/>
      <c r="H77" s="1332"/>
      <c r="I77" s="1323"/>
      <c r="J77" s="1323"/>
      <c r="K77" s="1330"/>
      <c r="L77" s="1332"/>
      <c r="M77" s="1351"/>
    </row>
    <row r="78" spans="3:13" ht="16.5" customHeight="1">
      <c r="C78" s="1340" t="s">
        <v>1408</v>
      </c>
      <c r="D78" s="1341"/>
      <c r="E78" s="1322">
        <v>0</v>
      </c>
      <c r="F78" s="1322">
        <v>0</v>
      </c>
      <c r="G78" s="1329">
        <f>+SUM(E78:F81)</f>
        <v>0</v>
      </c>
      <c r="H78" s="1331">
        <f>IFERROR(G78/G$95,0)</f>
        <v>0</v>
      </c>
      <c r="I78" s="1322">
        <v>0</v>
      </c>
      <c r="J78" s="1322">
        <v>0</v>
      </c>
      <c r="K78" s="1329">
        <f>+SUM(I78:J81)</f>
        <v>0</v>
      </c>
      <c r="L78" s="1331">
        <f>IFERROR(K78/K$95,0)</f>
        <v>0</v>
      </c>
      <c r="M78" s="1349">
        <f>IFERROR((K78-G78)/G78,0)</f>
        <v>0</v>
      </c>
    </row>
    <row r="79" spans="3:13">
      <c r="C79" s="1342"/>
      <c r="D79" s="1343"/>
      <c r="E79" s="1346"/>
      <c r="F79" s="1346"/>
      <c r="G79" s="1347"/>
      <c r="H79" s="1348"/>
      <c r="I79" s="1346"/>
      <c r="J79" s="1346"/>
      <c r="K79" s="1347"/>
      <c r="L79" s="1348"/>
      <c r="M79" s="1350"/>
    </row>
    <row r="80" spans="3:13">
      <c r="C80" s="1342"/>
      <c r="D80" s="1343"/>
      <c r="E80" s="1346"/>
      <c r="F80" s="1346"/>
      <c r="G80" s="1347"/>
      <c r="H80" s="1348"/>
      <c r="I80" s="1346"/>
      <c r="J80" s="1346"/>
      <c r="K80" s="1347"/>
      <c r="L80" s="1348"/>
      <c r="M80" s="1350"/>
    </row>
    <row r="81" spans="3:13">
      <c r="C81" s="1344"/>
      <c r="D81" s="1345"/>
      <c r="E81" s="1323"/>
      <c r="F81" s="1323"/>
      <c r="G81" s="1330"/>
      <c r="H81" s="1332"/>
      <c r="I81" s="1323"/>
      <c r="J81" s="1323"/>
      <c r="K81" s="1330"/>
      <c r="L81" s="1332"/>
      <c r="M81" s="1351"/>
    </row>
    <row r="82" spans="3:13" ht="16.5" customHeight="1">
      <c r="C82" s="1336" t="s">
        <v>1409</v>
      </c>
      <c r="D82" s="1337"/>
      <c r="E82" s="1337"/>
      <c r="F82" s="1337"/>
      <c r="G82" s="1337"/>
      <c r="H82" s="1337"/>
      <c r="I82" s="1337"/>
      <c r="J82" s="1337"/>
      <c r="K82" s="1337"/>
      <c r="L82" s="1337"/>
      <c r="M82" s="1338"/>
    </row>
    <row r="83" spans="3:13">
      <c r="C83" s="1339" t="s">
        <v>1410</v>
      </c>
      <c r="D83" s="1339"/>
      <c r="E83" s="767">
        <v>0</v>
      </c>
      <c r="F83" s="767">
        <v>0</v>
      </c>
      <c r="G83" s="768">
        <f t="shared" ref="G83:G89" si="24">+SUM(E83:F83)</f>
        <v>0</v>
      </c>
      <c r="H83" s="769">
        <f>IFERROR(G83/G$95,0)</f>
        <v>0</v>
      </c>
      <c r="I83" s="767">
        <v>0</v>
      </c>
      <c r="J83" s="767">
        <v>0</v>
      </c>
      <c r="K83" s="768">
        <f t="shared" ref="K83:K89" si="25">+SUM(I83:J83)</f>
        <v>0</v>
      </c>
      <c r="L83" s="769">
        <f>IFERROR(K83/K$95,0)</f>
        <v>0</v>
      </c>
      <c r="M83" s="770">
        <f t="shared" ref="M83" si="26">IFERROR((K83-G83)/G83,0)</f>
        <v>0</v>
      </c>
    </row>
    <row r="84" spans="3:13">
      <c r="C84" s="1340" t="s">
        <v>1411</v>
      </c>
      <c r="D84" s="1341"/>
      <c r="E84" s="1322">
        <v>0</v>
      </c>
      <c r="F84" s="1322">
        <v>0</v>
      </c>
      <c r="G84" s="1329">
        <f>+SUM(E84:F85)</f>
        <v>0</v>
      </c>
      <c r="H84" s="1331">
        <f>IFERROR(G84/G$95,0)</f>
        <v>0</v>
      </c>
      <c r="I84" s="1322">
        <v>0</v>
      </c>
      <c r="J84" s="1322">
        <v>0</v>
      </c>
      <c r="K84" s="1329">
        <f>+SUM(I84:J85)</f>
        <v>0</v>
      </c>
      <c r="L84" s="1331">
        <f>IFERROR(K84/K$95,0)</f>
        <v>0</v>
      </c>
      <c r="M84" s="1331">
        <f>IFERROR((K84-G84)/G84,0)</f>
        <v>0</v>
      </c>
    </row>
    <row r="85" spans="3:13">
      <c r="C85" s="1344"/>
      <c r="D85" s="1345"/>
      <c r="E85" s="1323"/>
      <c r="F85" s="1323"/>
      <c r="G85" s="1330"/>
      <c r="H85" s="1332"/>
      <c r="I85" s="1323"/>
      <c r="J85" s="1323"/>
      <c r="K85" s="1330"/>
      <c r="L85" s="1332"/>
      <c r="M85" s="1332"/>
    </row>
    <row r="86" spans="3:13">
      <c r="C86" s="1339" t="s">
        <v>1412</v>
      </c>
      <c r="D86" s="1339"/>
      <c r="E86" s="767">
        <v>0</v>
      </c>
      <c r="F86" s="767">
        <v>0</v>
      </c>
      <c r="G86" s="768">
        <f t="shared" si="24"/>
        <v>0</v>
      </c>
      <c r="H86" s="769">
        <f t="shared" ref="H86:H92" si="27">IFERROR(G86/G$95,0)</f>
        <v>0</v>
      </c>
      <c r="I86" s="767">
        <v>0</v>
      </c>
      <c r="J86" s="767">
        <v>0</v>
      </c>
      <c r="K86" s="768">
        <f t="shared" si="25"/>
        <v>0</v>
      </c>
      <c r="L86" s="769">
        <f>IFERROR(K86/K$95,0)</f>
        <v>0</v>
      </c>
      <c r="M86" s="770">
        <f t="shared" ref="M86:M91" si="28">IFERROR((K86-G86)/G86,0)</f>
        <v>0</v>
      </c>
    </row>
    <row r="87" spans="3:13">
      <c r="C87" s="1339" t="s">
        <v>1413</v>
      </c>
      <c r="D87" s="1339"/>
      <c r="E87" s="767">
        <v>0</v>
      </c>
      <c r="F87" s="767">
        <v>0</v>
      </c>
      <c r="G87" s="768">
        <f t="shared" si="24"/>
        <v>0</v>
      </c>
      <c r="H87" s="769">
        <f t="shared" si="27"/>
        <v>0</v>
      </c>
      <c r="I87" s="767">
        <v>0</v>
      </c>
      <c r="J87" s="767">
        <v>0</v>
      </c>
      <c r="K87" s="768">
        <f t="shared" si="25"/>
        <v>0</v>
      </c>
      <c r="L87" s="769">
        <f>IFERROR(K87/K$95,0)</f>
        <v>0</v>
      </c>
      <c r="M87" s="770">
        <f t="shared" si="28"/>
        <v>0</v>
      </c>
    </row>
    <row r="88" spans="3:13">
      <c r="C88" s="1339" t="s">
        <v>1414</v>
      </c>
      <c r="D88" s="1339"/>
      <c r="E88" s="767">
        <v>0</v>
      </c>
      <c r="F88" s="767">
        <v>0</v>
      </c>
      <c r="G88" s="768">
        <f t="shared" si="24"/>
        <v>0</v>
      </c>
      <c r="H88" s="769">
        <f t="shared" si="27"/>
        <v>0</v>
      </c>
      <c r="I88" s="767">
        <v>0</v>
      </c>
      <c r="J88" s="767">
        <v>0</v>
      </c>
      <c r="K88" s="768">
        <f t="shared" si="25"/>
        <v>0</v>
      </c>
      <c r="L88" s="769">
        <f>IFERROR(K88/K$95,0)</f>
        <v>0</v>
      </c>
      <c r="M88" s="770">
        <f t="shared" si="28"/>
        <v>0</v>
      </c>
    </row>
    <row r="89" spans="3:13">
      <c r="C89" s="1339" t="s">
        <v>1415</v>
      </c>
      <c r="D89" s="1339"/>
      <c r="E89" s="767">
        <v>0</v>
      </c>
      <c r="F89" s="767">
        <v>0</v>
      </c>
      <c r="G89" s="768">
        <f t="shared" si="24"/>
        <v>0</v>
      </c>
      <c r="H89" s="769">
        <f t="shared" si="27"/>
        <v>0</v>
      </c>
      <c r="I89" s="767">
        <v>0</v>
      </c>
      <c r="J89" s="767">
        <v>0</v>
      </c>
      <c r="K89" s="768">
        <f t="shared" si="25"/>
        <v>0</v>
      </c>
      <c r="L89" s="769">
        <f>IFERROR(K89/K$95,0)</f>
        <v>0</v>
      </c>
      <c r="M89" s="770">
        <f t="shared" si="28"/>
        <v>0</v>
      </c>
    </row>
    <row r="90" spans="3:13" s="764" customFormat="1">
      <c r="C90" s="1316" t="s">
        <v>1416</v>
      </c>
      <c r="D90" s="1316"/>
      <c r="E90" s="771">
        <f>+SUM(E70:E89)</f>
        <v>0</v>
      </c>
      <c r="F90" s="771">
        <f t="shared" ref="F90:G90" si="29">+SUM(F70:F89)</f>
        <v>0</v>
      </c>
      <c r="G90" s="771">
        <f t="shared" si="29"/>
        <v>0</v>
      </c>
      <c r="H90" s="772">
        <f t="shared" si="27"/>
        <v>0</v>
      </c>
      <c r="I90" s="771">
        <f>+SUM(I70:I89)</f>
        <v>0</v>
      </c>
      <c r="J90" s="771">
        <f t="shared" ref="J90:K90" si="30">+SUM(J70:J89)</f>
        <v>0</v>
      </c>
      <c r="K90" s="771">
        <f t="shared" si="30"/>
        <v>0</v>
      </c>
      <c r="L90" s="772">
        <f>IFERROR(K90/K$95,0)</f>
        <v>0</v>
      </c>
      <c r="M90" s="773">
        <f t="shared" si="28"/>
        <v>0</v>
      </c>
    </row>
    <row r="91" spans="3:13" s="764" customFormat="1" ht="36.75" customHeight="1">
      <c r="C91" s="1352" t="s">
        <v>1417</v>
      </c>
      <c r="D91" s="1352"/>
      <c r="E91" s="771">
        <f>+E90+E68</f>
        <v>0</v>
      </c>
      <c r="F91" s="771">
        <f>+F90+F68</f>
        <v>0</v>
      </c>
      <c r="G91" s="771">
        <f>+G90+G68</f>
        <v>0</v>
      </c>
      <c r="H91" s="772">
        <f t="shared" si="27"/>
        <v>0</v>
      </c>
      <c r="I91" s="771">
        <f>+I90+I68</f>
        <v>0</v>
      </c>
      <c r="J91" s="771">
        <f>+J90+J68</f>
        <v>0</v>
      </c>
      <c r="K91" s="771">
        <f>+K90+K68</f>
        <v>0</v>
      </c>
      <c r="L91" s="775">
        <f>+L90+L68</f>
        <v>0</v>
      </c>
      <c r="M91" s="773">
        <f t="shared" si="28"/>
        <v>0</v>
      </c>
    </row>
    <row r="92" spans="3:13">
      <c r="C92" s="1353" t="s">
        <v>1418</v>
      </c>
      <c r="D92" s="1354"/>
      <c r="E92" s="1359">
        <v>0</v>
      </c>
      <c r="F92" s="1322">
        <v>0</v>
      </c>
      <c r="G92" s="1373">
        <f>+SUM(E92:F94)</f>
        <v>0</v>
      </c>
      <c r="H92" s="1331">
        <f t="shared" si="27"/>
        <v>0</v>
      </c>
      <c r="I92" s="1322">
        <v>0</v>
      </c>
      <c r="J92" s="1322">
        <v>0</v>
      </c>
      <c r="K92" s="1329">
        <f t="shared" ref="K92:K94" si="31">+SUM(I92:J92)</f>
        <v>0</v>
      </c>
      <c r="L92" s="1331">
        <f>IFERROR(K92/K$95,0)</f>
        <v>0</v>
      </c>
      <c r="M92" s="1331">
        <f>IFERROR((K92-G92)/G92,0)</f>
        <v>0</v>
      </c>
    </row>
    <row r="93" spans="3:13">
      <c r="C93" s="1355"/>
      <c r="D93" s="1356"/>
      <c r="E93" s="1360"/>
      <c r="F93" s="1346"/>
      <c r="G93" s="1374"/>
      <c r="H93" s="1348"/>
      <c r="I93" s="1346"/>
      <c r="J93" s="1346"/>
      <c r="K93" s="1347">
        <f t="shared" si="31"/>
        <v>0</v>
      </c>
      <c r="L93" s="1348"/>
      <c r="M93" s="1348"/>
    </row>
    <row r="94" spans="3:13">
      <c r="C94" s="1357"/>
      <c r="D94" s="1358"/>
      <c r="E94" s="1361"/>
      <c r="F94" s="1323"/>
      <c r="G94" s="1375"/>
      <c r="H94" s="1332"/>
      <c r="I94" s="1323"/>
      <c r="J94" s="1323"/>
      <c r="K94" s="1330">
        <f t="shared" si="31"/>
        <v>0</v>
      </c>
      <c r="L94" s="1332"/>
      <c r="M94" s="1332"/>
    </row>
    <row r="95" spans="3:13" s="764" customFormat="1">
      <c r="C95" s="1352" t="s">
        <v>1419</v>
      </c>
      <c r="D95" s="1352"/>
      <c r="E95" s="771">
        <f t="shared" ref="E95:M95" si="32">+E92+E91+E53</f>
        <v>0</v>
      </c>
      <c r="F95" s="771">
        <f t="shared" si="32"/>
        <v>97539.999999999985</v>
      </c>
      <c r="G95" s="771">
        <f t="shared" si="32"/>
        <v>97539.999999999985</v>
      </c>
      <c r="H95" s="775">
        <f t="shared" si="32"/>
        <v>1</v>
      </c>
      <c r="I95" s="771">
        <f t="shared" si="32"/>
        <v>0</v>
      </c>
      <c r="J95" s="771">
        <f t="shared" si="32"/>
        <v>97539.999999999985</v>
      </c>
      <c r="K95" s="771">
        <f t="shared" si="32"/>
        <v>97539.999999999985</v>
      </c>
      <c r="L95" s="775">
        <f t="shared" si="32"/>
        <v>1</v>
      </c>
      <c r="M95" s="775">
        <f t="shared" si="32"/>
        <v>0</v>
      </c>
    </row>
    <row r="97" spans="3:13" s="752" customFormat="1">
      <c r="C97" s="763" t="s">
        <v>1420</v>
      </c>
    </row>
    <row r="98" spans="3:13" ht="28.5" customHeight="1">
      <c r="C98" s="1365" t="s">
        <v>1360</v>
      </c>
      <c r="D98" s="1367" t="s">
        <v>1421</v>
      </c>
      <c r="E98" s="1368"/>
      <c r="F98" s="1369"/>
      <c r="G98" s="1290" t="s">
        <v>1422</v>
      </c>
      <c r="H98" s="1291"/>
      <c r="I98" s="1292"/>
      <c r="J98" s="1290" t="s">
        <v>1423</v>
      </c>
      <c r="K98" s="1291"/>
      <c r="L98" s="1292"/>
      <c r="M98" s="1278" t="s">
        <v>1424</v>
      </c>
    </row>
    <row r="99" spans="3:13" ht="102">
      <c r="C99" s="1366"/>
      <c r="D99" s="1370"/>
      <c r="E99" s="1371"/>
      <c r="F99" s="1372"/>
      <c r="G99" s="759" t="s">
        <v>1425</v>
      </c>
      <c r="H99" s="759" t="s">
        <v>1426</v>
      </c>
      <c r="I99" s="759" t="s">
        <v>1427</v>
      </c>
      <c r="J99" s="759" t="s">
        <v>1425</v>
      </c>
      <c r="K99" s="759" t="s">
        <v>1426</v>
      </c>
      <c r="L99" s="759" t="s">
        <v>1428</v>
      </c>
      <c r="M99" s="1279"/>
    </row>
    <row r="100" spans="3:13">
      <c r="C100" s="778">
        <v>1</v>
      </c>
      <c r="D100" s="1362" t="str">
        <f>'Sch - liab (2)'!B25</f>
        <v>ABC</v>
      </c>
      <c r="E100" s="1363"/>
      <c r="F100" s="1364"/>
      <c r="G100" s="779">
        <f>'Sch - liab (2)'!C33*Master!$C$17</f>
        <v>85850</v>
      </c>
      <c r="H100" s="780">
        <f>IFERROR(G100/$G$95,0)</f>
        <v>0.880151732622514</v>
      </c>
      <c r="I100" s="780">
        <v>0</v>
      </c>
      <c r="J100" s="779">
        <f>'Sch - liab (2)'!C25*Master!$C$17</f>
        <v>85850</v>
      </c>
      <c r="K100" s="780">
        <f>IFERROR(J100/$K$95,0)</f>
        <v>0.880151732622514</v>
      </c>
      <c r="L100" s="780">
        <v>0</v>
      </c>
      <c r="M100" s="770">
        <f>IFERROR((J100-G100)/G100,0)</f>
        <v>0</v>
      </c>
    </row>
    <row r="101" spans="3:13">
      <c r="C101" s="778">
        <v>2</v>
      </c>
      <c r="D101" s="1362" t="str">
        <f>'Sch - liab (2)'!B26</f>
        <v>ABC</v>
      </c>
      <c r="E101" s="1363"/>
      <c r="F101" s="1364"/>
      <c r="G101" s="779">
        <f>'Sch - liab (2)'!C34*Master!$C$17</f>
        <v>6090</v>
      </c>
      <c r="H101" s="780">
        <f>IFERROR(G101/$G$95,0)</f>
        <v>6.2435923723600587E-2</v>
      </c>
      <c r="I101" s="780">
        <v>0</v>
      </c>
      <c r="J101" s="779">
        <f>'Sch - liab (2)'!C26*Master!$C$17</f>
        <v>6090</v>
      </c>
      <c r="K101" s="780">
        <f>IFERROR(J101/$K$95,0)</f>
        <v>6.2435923723600587E-2</v>
      </c>
      <c r="L101" s="780">
        <v>0</v>
      </c>
      <c r="M101" s="770">
        <f>IFERROR((J101-G101)/G101,0)</f>
        <v>0</v>
      </c>
    </row>
    <row r="103" spans="3:13" s="752" customFormat="1">
      <c r="C103" s="763" t="s">
        <v>1429</v>
      </c>
    </row>
    <row r="104" spans="3:13" ht="15" customHeight="1">
      <c r="C104" s="1300" t="s">
        <v>1360</v>
      </c>
      <c r="D104" s="1300" t="s">
        <v>63</v>
      </c>
      <c r="E104" s="1300"/>
      <c r="F104" s="1300" t="s">
        <v>980</v>
      </c>
      <c r="G104" s="1300" t="s">
        <v>1430</v>
      </c>
      <c r="H104" s="1300" t="s">
        <v>1431</v>
      </c>
      <c r="I104" s="1300"/>
      <c r="J104" s="1300"/>
      <c r="K104" s="1300" t="s">
        <v>1432</v>
      </c>
      <c r="L104" s="1300"/>
      <c r="M104" s="1300"/>
    </row>
    <row r="105" spans="3:13">
      <c r="C105" s="1300"/>
      <c r="D105" s="1300"/>
      <c r="E105" s="1300"/>
      <c r="F105" s="1300"/>
      <c r="G105" s="1300"/>
      <c r="H105" s="1300"/>
      <c r="I105" s="1300"/>
      <c r="J105" s="1300"/>
      <c r="K105" s="1300"/>
      <c r="L105" s="1300"/>
      <c r="M105" s="1300"/>
    </row>
    <row r="106" spans="3:13" ht="15" customHeight="1">
      <c r="C106" s="1300"/>
      <c r="D106" s="1300"/>
      <c r="E106" s="1300"/>
      <c r="F106" s="1300"/>
      <c r="G106" s="1300"/>
      <c r="H106" s="1300" t="s">
        <v>1433</v>
      </c>
      <c r="I106" s="1300"/>
      <c r="J106" s="1300" t="s">
        <v>291</v>
      </c>
      <c r="K106" s="1300" t="s">
        <v>1433</v>
      </c>
      <c r="L106" s="1300"/>
      <c r="M106" s="1300" t="s">
        <v>291</v>
      </c>
    </row>
    <row r="107" spans="3:13" ht="15" customHeight="1">
      <c r="C107" s="1300"/>
      <c r="D107" s="1300"/>
      <c r="E107" s="1300"/>
      <c r="F107" s="1300"/>
      <c r="G107" s="1300"/>
      <c r="H107" s="1300"/>
      <c r="I107" s="1300"/>
      <c r="J107" s="1300"/>
      <c r="K107" s="1300"/>
      <c r="L107" s="1300"/>
      <c r="M107" s="1300"/>
    </row>
    <row r="108" spans="3:13" ht="30" customHeight="1">
      <c r="C108" s="757">
        <v>1</v>
      </c>
      <c r="D108" s="1376" t="s">
        <v>1434</v>
      </c>
      <c r="E108" s="1287"/>
      <c r="F108" s="781">
        <f>Master!$B$4</f>
        <v>44652</v>
      </c>
      <c r="G108" s="782"/>
      <c r="H108" s="1377">
        <f>$G$95</f>
        <v>97539.999999999985</v>
      </c>
      <c r="I108" s="1378"/>
      <c r="J108" s="769">
        <f>IFERROR(H108/K$95,0)</f>
        <v>1</v>
      </c>
      <c r="K108" s="1379">
        <f>H108</f>
        <v>97539.999999999985</v>
      </c>
      <c r="L108" s="1380"/>
      <c r="M108" s="769">
        <f t="shared" ref="M108:M110" si="33">IFERROR(K108/K$95,0)</f>
        <v>1</v>
      </c>
    </row>
    <row r="109" spans="3:13" ht="31.5" customHeight="1">
      <c r="C109" s="756">
        <v>2</v>
      </c>
      <c r="D109" s="1263" t="s">
        <v>1435</v>
      </c>
      <c r="E109" s="1265"/>
      <c r="F109" s="783"/>
      <c r="G109" s="784"/>
      <c r="H109" s="1377">
        <f>H110-H108</f>
        <v>0</v>
      </c>
      <c r="I109" s="1378"/>
      <c r="J109" s="769">
        <f>IFERROR(H109/K$95,0)</f>
        <v>0</v>
      </c>
      <c r="K109" s="1379">
        <f t="shared" ref="K109" si="34">K108+H109</f>
        <v>97539.999999999985</v>
      </c>
      <c r="L109" s="1380"/>
      <c r="M109" s="769">
        <f t="shared" si="33"/>
        <v>1</v>
      </c>
    </row>
    <row r="110" spans="3:13" ht="27" customHeight="1">
      <c r="C110" s="755">
        <v>3</v>
      </c>
      <c r="D110" s="1262" t="s">
        <v>1436</v>
      </c>
      <c r="E110" s="1381"/>
      <c r="F110" s="785" t="str">
        <f>Master!$D$5</f>
        <v>31-Mar-23</v>
      </c>
      <c r="G110" s="785"/>
      <c r="H110" s="1379">
        <f>K95</f>
        <v>97539.999999999985</v>
      </c>
      <c r="I110" s="1380"/>
      <c r="J110" s="769">
        <f>IFERROR(H110/K$95,0)</f>
        <v>1</v>
      </c>
      <c r="K110" s="1379">
        <f>H110</f>
        <v>97539.999999999985</v>
      </c>
      <c r="L110" s="1380"/>
      <c r="M110" s="769">
        <f t="shared" si="33"/>
        <v>1</v>
      </c>
    </row>
    <row r="112" spans="3:13" s="752" customFormat="1">
      <c r="C112" s="763" t="s">
        <v>1437</v>
      </c>
      <c r="D112" s="763"/>
    </row>
    <row r="113" spans="3:13">
      <c r="C113" s="1300" t="s">
        <v>1360</v>
      </c>
      <c r="D113" s="1300" t="s">
        <v>1438</v>
      </c>
      <c r="E113" s="1300"/>
      <c r="F113" s="1300" t="s">
        <v>980</v>
      </c>
      <c r="G113" s="1300" t="s">
        <v>1430</v>
      </c>
      <c r="H113" s="1300" t="s">
        <v>1431</v>
      </c>
      <c r="I113" s="1300"/>
      <c r="J113" s="1300"/>
      <c r="K113" s="1300" t="s">
        <v>1432</v>
      </c>
      <c r="L113" s="1300"/>
      <c r="M113" s="1300"/>
    </row>
    <row r="114" spans="3:13">
      <c r="C114" s="1300"/>
      <c r="D114" s="1300"/>
      <c r="E114" s="1300"/>
      <c r="F114" s="1300"/>
      <c r="G114" s="1300"/>
      <c r="H114" s="1300"/>
      <c r="I114" s="1300"/>
      <c r="J114" s="1300"/>
      <c r="K114" s="1300"/>
      <c r="L114" s="1300"/>
      <c r="M114" s="1300"/>
    </row>
    <row r="115" spans="3:13">
      <c r="C115" s="1300"/>
      <c r="D115" s="1300"/>
      <c r="E115" s="1300"/>
      <c r="F115" s="1300"/>
      <c r="G115" s="1300"/>
      <c r="H115" s="1300" t="s">
        <v>1433</v>
      </c>
      <c r="I115" s="1300"/>
      <c r="J115" s="1300" t="s">
        <v>291</v>
      </c>
      <c r="K115" s="1300" t="s">
        <v>1433</v>
      </c>
      <c r="L115" s="1300"/>
      <c r="M115" s="1300" t="s">
        <v>291</v>
      </c>
    </row>
    <row r="116" spans="3:13">
      <c r="C116" s="1300"/>
      <c r="D116" s="1300"/>
      <c r="E116" s="1300"/>
      <c r="F116" s="1300"/>
      <c r="G116" s="1300"/>
      <c r="H116" s="1300"/>
      <c r="I116" s="1300"/>
      <c r="J116" s="1300"/>
      <c r="K116" s="1300"/>
      <c r="L116" s="1300"/>
      <c r="M116" s="1300"/>
    </row>
    <row r="117" spans="3:13">
      <c r="C117" s="786">
        <v>1</v>
      </c>
      <c r="D117" s="1384" t="s">
        <v>1439</v>
      </c>
      <c r="E117" s="1385"/>
      <c r="F117" s="787"/>
      <c r="G117" s="787"/>
      <c r="H117" s="788"/>
      <c r="I117" s="789"/>
      <c r="J117" s="787"/>
      <c r="K117" s="788"/>
      <c r="L117" s="789"/>
      <c r="M117" s="787"/>
    </row>
    <row r="118" spans="3:13">
      <c r="C118" s="757"/>
      <c r="D118" s="1376" t="s">
        <v>1434</v>
      </c>
      <c r="E118" s="1287"/>
      <c r="F118" s="782"/>
      <c r="G118" s="782"/>
      <c r="H118" s="1382"/>
      <c r="I118" s="1383"/>
      <c r="J118" s="769">
        <f t="shared" ref="J118:J120" si="35">IFERROR(H118/G$95,0)</f>
        <v>0</v>
      </c>
      <c r="K118" s="1382"/>
      <c r="L118" s="1383"/>
      <c r="M118" s="769">
        <f>IFERROR(K118/K$95,0)</f>
        <v>0</v>
      </c>
    </row>
    <row r="119" spans="3:13" ht="16.5" customHeight="1">
      <c r="C119" s="755"/>
      <c r="D119" s="1263" t="s">
        <v>1435</v>
      </c>
      <c r="E119" s="1265"/>
      <c r="F119" s="790"/>
      <c r="G119" s="785"/>
      <c r="H119" s="1382"/>
      <c r="I119" s="1383"/>
      <c r="J119" s="769">
        <f t="shared" si="35"/>
        <v>0</v>
      </c>
      <c r="K119" s="1382"/>
      <c r="L119" s="1383"/>
      <c r="M119" s="769">
        <f>IFERROR(K119/K$95,0)</f>
        <v>0</v>
      </c>
    </row>
    <row r="120" spans="3:13">
      <c r="C120" s="755"/>
      <c r="D120" s="1262" t="s">
        <v>1436</v>
      </c>
      <c r="E120" s="1381"/>
      <c r="F120" s="785"/>
      <c r="G120" s="785"/>
      <c r="H120" s="1382"/>
      <c r="I120" s="1383"/>
      <c r="J120" s="769">
        <f t="shared" si="35"/>
        <v>0</v>
      </c>
      <c r="K120" s="1382"/>
      <c r="L120" s="1383"/>
      <c r="M120" s="769">
        <f>IFERROR(K120/K$95,0)</f>
        <v>0</v>
      </c>
    </row>
    <row r="121" spans="3:13">
      <c r="C121" s="755"/>
      <c r="D121" s="791"/>
      <c r="E121" s="792"/>
      <c r="F121" s="785"/>
      <c r="G121" s="785"/>
      <c r="H121" s="1382"/>
      <c r="I121" s="1383"/>
      <c r="J121" s="761"/>
      <c r="K121" s="1382"/>
      <c r="L121" s="1383"/>
      <c r="M121" s="793"/>
    </row>
    <row r="122" spans="3:13">
      <c r="C122" s="787">
        <f>+C117+1</f>
        <v>2</v>
      </c>
      <c r="D122" s="1384" t="s">
        <v>1439</v>
      </c>
      <c r="E122" s="1385"/>
      <c r="F122" s="794"/>
      <c r="G122" s="794"/>
      <c r="H122" s="795"/>
      <c r="I122" s="796"/>
      <c r="J122" s="797"/>
      <c r="K122" s="795"/>
      <c r="L122" s="796"/>
      <c r="M122" s="798"/>
    </row>
    <row r="123" spans="3:13">
      <c r="C123" s="755"/>
      <c r="D123" s="1262" t="s">
        <v>1434</v>
      </c>
      <c r="E123" s="1262"/>
      <c r="F123" s="785"/>
      <c r="G123" s="785"/>
      <c r="H123" s="1382"/>
      <c r="I123" s="1383"/>
      <c r="J123" s="769">
        <f t="shared" ref="J123:J125" si="36">IFERROR(H123/G$95,0)</f>
        <v>0</v>
      </c>
      <c r="K123" s="1382"/>
      <c r="L123" s="1383"/>
      <c r="M123" s="769">
        <f>IFERROR(K123/K$95,0)</f>
        <v>0</v>
      </c>
    </row>
    <row r="124" spans="3:13">
      <c r="C124" s="755"/>
      <c r="D124" s="1263" t="s">
        <v>1435</v>
      </c>
      <c r="E124" s="1265"/>
      <c r="F124" s="785"/>
      <c r="G124" s="785"/>
      <c r="H124" s="1382"/>
      <c r="I124" s="1383"/>
      <c r="J124" s="769">
        <f t="shared" si="36"/>
        <v>0</v>
      </c>
      <c r="K124" s="1382"/>
      <c r="L124" s="1383"/>
      <c r="M124" s="769">
        <f>IFERROR(K124/K$95,0)</f>
        <v>0</v>
      </c>
    </row>
    <row r="125" spans="3:13">
      <c r="C125" s="755"/>
      <c r="D125" s="1262" t="s">
        <v>1436</v>
      </c>
      <c r="E125" s="1381"/>
      <c r="F125" s="785"/>
      <c r="G125" s="785"/>
      <c r="H125" s="1382"/>
      <c r="I125" s="1383"/>
      <c r="J125" s="769">
        <f t="shared" si="36"/>
        <v>0</v>
      </c>
      <c r="K125" s="1382"/>
      <c r="L125" s="1383"/>
      <c r="M125" s="769">
        <f>IFERROR(K125/K$95,0)</f>
        <v>0</v>
      </c>
    </row>
    <row r="127" spans="3:13" s="752" customFormat="1">
      <c r="C127" s="763" t="s">
        <v>1440</v>
      </c>
    </row>
    <row r="128" spans="3:13">
      <c r="C128" s="1300" t="s">
        <v>1360</v>
      </c>
      <c r="D128" s="1300" t="s">
        <v>1441</v>
      </c>
      <c r="E128" s="1300"/>
      <c r="F128" s="1300" t="s">
        <v>980</v>
      </c>
      <c r="G128" s="1300" t="s">
        <v>1430</v>
      </c>
      <c r="H128" s="1300" t="s">
        <v>1753</v>
      </c>
      <c r="I128" s="1300"/>
      <c r="J128" s="1300"/>
      <c r="K128" s="1300" t="s">
        <v>1432</v>
      </c>
      <c r="L128" s="1300"/>
      <c r="M128" s="1300"/>
    </row>
    <row r="129" spans="3:13">
      <c r="C129" s="1300"/>
      <c r="D129" s="1300"/>
      <c r="E129" s="1300"/>
      <c r="F129" s="1300"/>
      <c r="G129" s="1300"/>
      <c r="H129" s="1300"/>
      <c r="I129" s="1300"/>
      <c r="J129" s="1300"/>
      <c r="K129" s="1300"/>
      <c r="L129" s="1300"/>
      <c r="M129" s="1300"/>
    </row>
    <row r="130" spans="3:13">
      <c r="C130" s="1300"/>
      <c r="D130" s="1300"/>
      <c r="E130" s="1300"/>
      <c r="F130" s="1300"/>
      <c r="G130" s="1300"/>
      <c r="H130" s="1300" t="s">
        <v>1433</v>
      </c>
      <c r="I130" s="1300"/>
      <c r="J130" s="1300" t="s">
        <v>291</v>
      </c>
      <c r="K130" s="1300" t="s">
        <v>1433</v>
      </c>
      <c r="L130" s="1300"/>
      <c r="M130" s="1300" t="s">
        <v>291</v>
      </c>
    </row>
    <row r="131" spans="3:13">
      <c r="C131" s="1300"/>
      <c r="D131" s="1300"/>
      <c r="E131" s="1300"/>
      <c r="F131" s="1300"/>
      <c r="G131" s="1300"/>
      <c r="H131" s="1300"/>
      <c r="I131" s="1300"/>
      <c r="J131" s="1300"/>
      <c r="K131" s="1300"/>
      <c r="L131" s="1300"/>
      <c r="M131" s="1300"/>
    </row>
    <row r="132" spans="3:13">
      <c r="C132" s="799">
        <v>1</v>
      </c>
      <c r="D132" s="1386" t="str">
        <f>Notes!D105</f>
        <v>Director 1</v>
      </c>
      <c r="E132" s="1387"/>
      <c r="F132" s="1387"/>
      <c r="G132" s="1387"/>
      <c r="H132" s="1387"/>
      <c r="I132" s="1387"/>
      <c r="J132" s="1387"/>
      <c r="K132" s="1387"/>
      <c r="L132" s="1387"/>
      <c r="M132" s="1388"/>
    </row>
    <row r="133" spans="3:13" ht="28.5" customHeight="1">
      <c r="C133" s="765"/>
      <c r="D133" s="1262" t="s">
        <v>1434</v>
      </c>
      <c r="E133" s="1262"/>
      <c r="F133" s="781">
        <f>Master!$B$4</f>
        <v>44652</v>
      </c>
      <c r="G133" s="782"/>
      <c r="H133" s="1377">
        <f>G100</f>
        <v>85850</v>
      </c>
      <c r="I133" s="1378"/>
      <c r="J133" s="769">
        <f>IFERROR(H133/G$95,0)</f>
        <v>0.880151732622514</v>
      </c>
      <c r="K133" s="1382">
        <f>H133</f>
        <v>85850</v>
      </c>
      <c r="L133" s="1383"/>
      <c r="M133" s="769">
        <f>IFERROR(K133/K$95,0)</f>
        <v>0.880151732622514</v>
      </c>
    </row>
    <row r="134" spans="3:13" ht="28.5" customHeight="1">
      <c r="C134" s="765"/>
      <c r="D134" s="1263" t="s">
        <v>1435</v>
      </c>
      <c r="E134" s="1265"/>
      <c r="F134" s="783"/>
      <c r="G134" s="784"/>
      <c r="H134" s="1377">
        <f>J100-G100</f>
        <v>0</v>
      </c>
      <c r="I134" s="1378"/>
      <c r="J134" s="769">
        <f>-J133+J135</f>
        <v>0</v>
      </c>
      <c r="K134" s="1382">
        <f>K133+H134</f>
        <v>85850</v>
      </c>
      <c r="L134" s="1383"/>
      <c r="M134" s="769">
        <f>IFERROR(K134/K$95,0)</f>
        <v>0.880151732622514</v>
      </c>
    </row>
    <row r="135" spans="3:13" ht="28.5" customHeight="1">
      <c r="C135" s="766"/>
      <c r="D135" s="1262" t="s">
        <v>1436</v>
      </c>
      <c r="E135" s="1262"/>
      <c r="F135" s="785" t="str">
        <f>Master!$D$5</f>
        <v>31-Mar-23</v>
      </c>
      <c r="G135" s="782"/>
      <c r="H135" s="1379">
        <f>SUM(H133:I134)</f>
        <v>85850</v>
      </c>
      <c r="I135" s="1380"/>
      <c r="J135" s="769">
        <f>IFERROR(H135/K$95,0)</f>
        <v>0.880151732622514</v>
      </c>
      <c r="K135" s="1382">
        <f>H135</f>
        <v>85850</v>
      </c>
      <c r="L135" s="1383"/>
      <c r="M135" s="769">
        <f>IFERROR(K135/K$95,0)</f>
        <v>0.880151732622514</v>
      </c>
    </row>
    <row r="136" spans="3:13" s="764" customFormat="1">
      <c r="C136" s="799">
        <f>+C132+1</f>
        <v>2</v>
      </c>
      <c r="D136" s="1386" t="str">
        <f>Notes!D106</f>
        <v>Director 2</v>
      </c>
      <c r="E136" s="1387"/>
      <c r="F136" s="1387"/>
      <c r="G136" s="1387"/>
      <c r="H136" s="1387"/>
      <c r="I136" s="1387"/>
      <c r="J136" s="1387"/>
      <c r="K136" s="1387"/>
      <c r="L136" s="1387"/>
      <c r="M136" s="1388"/>
    </row>
    <row r="137" spans="3:13" ht="30" customHeight="1">
      <c r="C137" s="765"/>
      <c r="D137" s="1262" t="s">
        <v>1434</v>
      </c>
      <c r="E137" s="1262"/>
      <c r="F137" s="781">
        <f>Master!$B$4</f>
        <v>44652</v>
      </c>
      <c r="G137" s="782"/>
      <c r="H137" s="1377">
        <f>G101</f>
        <v>6090</v>
      </c>
      <c r="I137" s="1378"/>
      <c r="J137" s="769">
        <f t="shared" ref="J137" si="37">IFERROR(H137/G$95,0)</f>
        <v>6.2435923723600587E-2</v>
      </c>
      <c r="K137" s="1382">
        <f>H137</f>
        <v>6090</v>
      </c>
      <c r="L137" s="1383"/>
      <c r="M137" s="769">
        <f>IFERROR(K137/K$95,0)</f>
        <v>6.2435923723600587E-2</v>
      </c>
    </row>
    <row r="138" spans="3:13" ht="30" customHeight="1">
      <c r="C138" s="765"/>
      <c r="D138" s="1263" t="s">
        <v>1435</v>
      </c>
      <c r="E138" s="1265"/>
      <c r="F138" s="783"/>
      <c r="G138" s="784"/>
      <c r="H138" s="1377">
        <f>J101-G101</f>
        <v>0</v>
      </c>
      <c r="I138" s="1378"/>
      <c r="J138" s="769">
        <f>-J137+J139</f>
        <v>0</v>
      </c>
      <c r="K138" s="1382">
        <f>K137+H138</f>
        <v>6090</v>
      </c>
      <c r="L138" s="1383"/>
      <c r="M138" s="769">
        <f>IFERROR(K138/K$95,0)</f>
        <v>6.2435923723600587E-2</v>
      </c>
    </row>
    <row r="139" spans="3:13" ht="30" customHeight="1">
      <c r="C139" s="766"/>
      <c r="D139" s="1262" t="s">
        <v>1436</v>
      </c>
      <c r="E139" s="1262"/>
      <c r="F139" s="785" t="str">
        <f>Master!$D$5</f>
        <v>31-Mar-23</v>
      </c>
      <c r="G139" s="782"/>
      <c r="H139" s="1379">
        <f>SUM(H137:I138)</f>
        <v>6090</v>
      </c>
      <c r="I139" s="1380"/>
      <c r="J139" s="769">
        <f>IFERROR(H139/K$95,0)</f>
        <v>6.2435923723600587E-2</v>
      </c>
      <c r="K139" s="1382">
        <f>H139</f>
        <v>6090</v>
      </c>
      <c r="L139" s="1383"/>
      <c r="M139" s="769">
        <f>IFERROR(K139/K$95,0)</f>
        <v>6.2435923723600587E-2</v>
      </c>
    </row>
    <row r="140" spans="3:13" ht="16.5" customHeight="1">
      <c r="C140" s="800"/>
      <c r="D140" s="801"/>
      <c r="E140" s="801"/>
      <c r="F140" s="802"/>
      <c r="G140" s="803"/>
      <c r="H140" s="804"/>
      <c r="I140" s="804"/>
      <c r="J140" s="805"/>
      <c r="K140" s="806"/>
      <c r="L140" s="806"/>
      <c r="M140" s="805"/>
    </row>
    <row r="142" spans="3:13" s="752" customFormat="1">
      <c r="C142" s="1394" t="s">
        <v>1442</v>
      </c>
      <c r="D142" s="1394"/>
      <c r="E142" s="1394"/>
      <c r="F142" s="1394"/>
      <c r="G142" s="1394"/>
      <c r="H142" s="1394"/>
      <c r="I142" s="1394"/>
      <c r="J142" s="1394"/>
      <c r="K142" s="1394"/>
      <c r="L142" s="1394"/>
      <c r="M142" s="1394"/>
    </row>
    <row r="143" spans="3:13">
      <c r="C143" s="1395" t="s">
        <v>1443</v>
      </c>
      <c r="D143" s="1396"/>
      <c r="E143" s="1396"/>
      <c r="F143" s="1396"/>
      <c r="G143" s="1396"/>
      <c r="H143" s="1396"/>
      <c r="I143" s="1396"/>
      <c r="J143" s="1396"/>
      <c r="K143" s="1396"/>
      <c r="L143" s="807"/>
      <c r="M143" s="808" t="s">
        <v>1444</v>
      </c>
    </row>
    <row r="144" spans="3:13" ht="17.25" customHeight="1">
      <c r="C144" s="1286" t="s">
        <v>63</v>
      </c>
      <c r="D144" s="1286"/>
      <c r="E144" s="1286"/>
      <c r="F144" s="1286" t="s">
        <v>1445</v>
      </c>
      <c r="G144" s="1286"/>
      <c r="H144" s="1286" t="s">
        <v>188</v>
      </c>
      <c r="I144" s="1286"/>
      <c r="J144" s="1286" t="s">
        <v>1446</v>
      </c>
      <c r="K144" s="1286"/>
      <c r="L144" s="1286" t="s">
        <v>1447</v>
      </c>
      <c r="M144" s="1286"/>
    </row>
    <row r="145" spans="3:13">
      <c r="C145" s="1286"/>
      <c r="D145" s="1286"/>
      <c r="E145" s="1286"/>
      <c r="F145" s="1286"/>
      <c r="G145" s="1286"/>
      <c r="H145" s="1286"/>
      <c r="I145" s="1286"/>
      <c r="J145" s="1286"/>
      <c r="K145" s="1286"/>
      <c r="L145" s="1286"/>
      <c r="M145" s="1286"/>
    </row>
    <row r="146" spans="3:13">
      <c r="C146" s="1389" t="s">
        <v>1448</v>
      </c>
      <c r="D146" s="1389"/>
      <c r="E146" s="1389"/>
      <c r="F146" s="1389"/>
      <c r="G146" s="1389"/>
      <c r="H146" s="1389"/>
      <c r="I146" s="1389"/>
      <c r="J146" s="1389"/>
      <c r="K146" s="1389"/>
      <c r="L146" s="1389"/>
      <c r="M146" s="1389"/>
    </row>
    <row r="147" spans="3:13" ht="17.25" customHeight="1">
      <c r="C147" s="1390" t="s">
        <v>1449</v>
      </c>
      <c r="D147" s="1390"/>
      <c r="E147" s="1390"/>
      <c r="F147" s="1391">
        <v>0</v>
      </c>
      <c r="G147" s="1391"/>
      <c r="H147" s="1391">
        <v>0</v>
      </c>
      <c r="I147" s="1391"/>
      <c r="J147" s="1392">
        <v>0</v>
      </c>
      <c r="K147" s="1392"/>
      <c r="L147" s="1393">
        <f>+SUM(F147:K147)</f>
        <v>0</v>
      </c>
      <c r="M147" s="1393"/>
    </row>
    <row r="148" spans="3:13">
      <c r="C148" s="1390" t="s">
        <v>1450</v>
      </c>
      <c r="D148" s="1390"/>
      <c r="E148" s="1390"/>
      <c r="F148" s="1391">
        <v>0</v>
      </c>
      <c r="G148" s="1391"/>
      <c r="H148" s="1391">
        <v>0</v>
      </c>
      <c r="I148" s="1391"/>
      <c r="J148" s="1392">
        <v>0</v>
      </c>
      <c r="K148" s="1392"/>
      <c r="L148" s="1393">
        <f>+SUM(F148:K148)</f>
        <v>0</v>
      </c>
      <c r="M148" s="1393"/>
    </row>
    <row r="149" spans="3:13">
      <c r="C149" s="1400" t="s">
        <v>1451</v>
      </c>
      <c r="D149" s="1400"/>
      <c r="E149" s="1400"/>
      <c r="F149" s="1391">
        <v>0</v>
      </c>
      <c r="G149" s="1391"/>
      <c r="H149" s="1391">
        <v>0</v>
      </c>
      <c r="I149" s="1391"/>
      <c r="J149" s="1401">
        <v>0</v>
      </c>
      <c r="K149" s="1402"/>
      <c r="L149" s="1403">
        <f>+SUM(F149:K149)</f>
        <v>0</v>
      </c>
      <c r="M149" s="1404"/>
    </row>
    <row r="150" spans="3:13">
      <c r="C150" s="1397" t="s">
        <v>1452</v>
      </c>
      <c r="D150" s="1397"/>
      <c r="E150" s="1397"/>
      <c r="F150" s="1398">
        <f>SUM(F147:G149)</f>
        <v>0</v>
      </c>
      <c r="G150" s="1398"/>
      <c r="H150" s="1398">
        <f>SUM(H147:I149)</f>
        <v>0</v>
      </c>
      <c r="I150" s="1398"/>
      <c r="J150" s="1398">
        <f>SUM(J147:K149)</f>
        <v>0</v>
      </c>
      <c r="K150" s="1398"/>
      <c r="L150" s="1398">
        <f>SUM(L147:M149)</f>
        <v>0</v>
      </c>
      <c r="M150" s="1398"/>
    </row>
    <row r="151" spans="3:13">
      <c r="C151" s="1399" t="s">
        <v>1453</v>
      </c>
      <c r="D151" s="1399"/>
      <c r="E151" s="1399"/>
      <c r="F151" s="1399"/>
      <c r="G151" s="1399"/>
      <c r="H151" s="1399"/>
      <c r="I151" s="1399"/>
      <c r="J151" s="1399"/>
      <c r="K151" s="1399"/>
      <c r="L151" s="1399"/>
      <c r="M151" s="1399"/>
    </row>
    <row r="152" spans="3:13" ht="17.25" customHeight="1">
      <c r="C152" s="1390" t="s">
        <v>1454</v>
      </c>
      <c r="D152" s="1390"/>
      <c r="E152" s="1390"/>
      <c r="F152" s="1391">
        <v>0</v>
      </c>
      <c r="G152" s="1391"/>
      <c r="H152" s="1391">
        <v>0</v>
      </c>
      <c r="I152" s="1391"/>
      <c r="J152" s="1392">
        <v>0</v>
      </c>
      <c r="K152" s="1392"/>
      <c r="L152" s="1393">
        <f t="shared" ref="L152:L153" si="38">+SUM(F152:K152)</f>
        <v>0</v>
      </c>
      <c r="M152" s="1393"/>
    </row>
    <row r="153" spans="3:13" ht="17.25" customHeight="1">
      <c r="C153" s="1390" t="s">
        <v>1455</v>
      </c>
      <c r="D153" s="1390"/>
      <c r="E153" s="1390"/>
      <c r="F153" s="1391">
        <v>0</v>
      </c>
      <c r="G153" s="1391"/>
      <c r="H153" s="1391">
        <v>0</v>
      </c>
      <c r="I153" s="1391"/>
      <c r="J153" s="1392">
        <v>0</v>
      </c>
      <c r="K153" s="1392"/>
      <c r="L153" s="1393">
        <f t="shared" si="38"/>
        <v>0</v>
      </c>
      <c r="M153" s="1393"/>
    </row>
    <row r="154" spans="3:13" ht="17.25" customHeight="1">
      <c r="C154" s="1405" t="s">
        <v>1456</v>
      </c>
      <c r="D154" s="1405"/>
      <c r="E154" s="1405"/>
      <c r="F154" s="1398">
        <f>+SUM(F152:G153)</f>
        <v>0</v>
      </c>
      <c r="G154" s="1398"/>
      <c r="H154" s="1398">
        <f t="shared" ref="H154" si="39">+SUM(H152:I153)</f>
        <v>0</v>
      </c>
      <c r="I154" s="1398"/>
      <c r="J154" s="1398">
        <f t="shared" ref="J154" si="40">+SUM(J152:K153)</f>
        <v>0</v>
      </c>
      <c r="K154" s="1398"/>
      <c r="L154" s="1398">
        <f t="shared" ref="L154" si="41">+SUM(L152:M153)</f>
        <v>0</v>
      </c>
      <c r="M154" s="1398"/>
    </row>
    <row r="155" spans="3:13" ht="17.25" customHeight="1">
      <c r="C155" s="1399" t="s">
        <v>1457</v>
      </c>
      <c r="D155" s="1399"/>
      <c r="E155" s="1399"/>
      <c r="F155" s="1399"/>
      <c r="G155" s="1399"/>
      <c r="H155" s="1399"/>
      <c r="I155" s="1399"/>
      <c r="J155" s="1399"/>
      <c r="K155" s="1399"/>
      <c r="L155" s="1399"/>
      <c r="M155" s="1399"/>
    </row>
    <row r="156" spans="3:13" ht="17.25" customHeight="1">
      <c r="C156" s="1390" t="s">
        <v>1458</v>
      </c>
      <c r="D156" s="1390"/>
      <c r="E156" s="1390"/>
      <c r="F156" s="1391">
        <v>0</v>
      </c>
      <c r="G156" s="1391"/>
      <c r="H156" s="1391">
        <v>0</v>
      </c>
      <c r="I156" s="1391"/>
      <c r="J156" s="1392">
        <v>0</v>
      </c>
      <c r="K156" s="1392"/>
      <c r="L156" s="1393">
        <f t="shared" ref="L156:L157" si="42">+SUM(F156:K156)</f>
        <v>0</v>
      </c>
      <c r="M156" s="1393"/>
    </row>
    <row r="157" spans="3:13" ht="17.25" customHeight="1">
      <c r="C157" s="1390" t="s">
        <v>1459</v>
      </c>
      <c r="D157" s="1390"/>
      <c r="E157" s="1390"/>
      <c r="F157" s="1391">
        <v>0</v>
      </c>
      <c r="G157" s="1391"/>
      <c r="H157" s="1391">
        <v>0</v>
      </c>
      <c r="I157" s="1391"/>
      <c r="J157" s="1392">
        <v>0</v>
      </c>
      <c r="K157" s="1392"/>
      <c r="L157" s="1393">
        <f t="shared" si="42"/>
        <v>0</v>
      </c>
      <c r="M157" s="1393"/>
    </row>
    <row r="158" spans="3:13" ht="17.25" customHeight="1">
      <c r="C158" s="1400" t="s">
        <v>1460</v>
      </c>
      <c r="D158" s="1400"/>
      <c r="E158" s="1400"/>
      <c r="F158" s="1391">
        <v>0</v>
      </c>
      <c r="G158" s="1391"/>
      <c r="H158" s="1391">
        <v>0</v>
      </c>
      <c r="I158" s="1391"/>
      <c r="J158" s="1401">
        <v>0</v>
      </c>
      <c r="K158" s="1402"/>
      <c r="L158" s="1403">
        <f>+SUM(F158:K158)</f>
        <v>0</v>
      </c>
      <c r="M158" s="1404"/>
    </row>
    <row r="159" spans="3:13" ht="17.25" customHeight="1">
      <c r="C159" s="1405" t="s">
        <v>1452</v>
      </c>
      <c r="D159" s="1405"/>
      <c r="E159" s="1405"/>
      <c r="F159" s="1398">
        <f>+SUM(F156:G158)</f>
        <v>0</v>
      </c>
      <c r="G159" s="1398"/>
      <c r="H159" s="1398">
        <f>+SUM(H156:I158)</f>
        <v>0</v>
      </c>
      <c r="I159" s="1398"/>
      <c r="J159" s="1398">
        <f>+SUM(J156:K158)</f>
        <v>0</v>
      </c>
      <c r="K159" s="1398"/>
      <c r="L159" s="1398">
        <f>+SUM(L156:M158)</f>
        <v>0</v>
      </c>
      <c r="M159" s="1398"/>
    </row>
    <row r="160" spans="3:13">
      <c r="C160" s="753"/>
      <c r="D160" s="753"/>
    </row>
    <row r="161" spans="3:19" s="752" customFormat="1">
      <c r="C161" s="754" t="s">
        <v>1461</v>
      </c>
      <c r="D161" s="762"/>
      <c r="E161" s="809"/>
      <c r="F161" s="809"/>
      <c r="G161" s="809"/>
      <c r="H161" s="809"/>
      <c r="I161" s="809"/>
      <c r="J161" s="809"/>
      <c r="K161" s="809"/>
      <c r="L161" s="809"/>
      <c r="M161" s="810"/>
    </row>
    <row r="162" spans="3:19" s="752" customFormat="1">
      <c r="C162" s="763" t="s">
        <v>1462</v>
      </c>
      <c r="D162" s="763"/>
    </row>
    <row r="163" spans="3:19" ht="25.5">
      <c r="C163" s="778" t="s">
        <v>1463</v>
      </c>
      <c r="D163" s="1286" t="s">
        <v>1464</v>
      </c>
      <c r="E163" s="1286"/>
      <c r="F163" s="1286"/>
      <c r="G163" s="1286"/>
      <c r="H163" s="1286"/>
      <c r="I163" s="1406" t="s">
        <v>1465</v>
      </c>
      <c r="J163" s="1406"/>
      <c r="K163" s="1406"/>
      <c r="L163" s="1406"/>
      <c r="M163" s="759" t="s">
        <v>1466</v>
      </c>
    </row>
    <row r="164" spans="3:19">
      <c r="C164" s="1367"/>
      <c r="D164" s="1407" t="s">
        <v>1439</v>
      </c>
      <c r="E164" s="1407"/>
      <c r="F164" s="1407"/>
      <c r="G164" s="1407"/>
      <c r="H164" s="1408"/>
      <c r="I164" s="1409" t="str">
        <f>Master!B34</f>
        <v>Director 1</v>
      </c>
      <c r="J164" s="1409"/>
      <c r="K164" s="1410" t="str">
        <f>Master!B36</f>
        <v>Director 2</v>
      </c>
      <c r="L164" s="1410"/>
      <c r="M164" s="811"/>
    </row>
    <row r="165" spans="3:19">
      <c r="C165" s="1370"/>
      <c r="D165" s="1411" t="s">
        <v>1161</v>
      </c>
      <c r="E165" s="1411"/>
      <c r="F165" s="1411"/>
      <c r="G165" s="1411"/>
      <c r="H165" s="1412"/>
      <c r="I165" s="1413" t="s">
        <v>1163</v>
      </c>
      <c r="J165" s="1413"/>
      <c r="K165" s="1413" t="s">
        <v>1163</v>
      </c>
      <c r="L165" s="1413"/>
      <c r="M165" s="813"/>
    </row>
    <row r="166" spans="3:19">
      <c r="C166" s="1365">
        <v>1</v>
      </c>
      <c r="D166" s="1424" t="s">
        <v>1467</v>
      </c>
      <c r="E166" s="1425"/>
      <c r="F166" s="1425"/>
      <c r="G166" s="1425"/>
      <c r="H166" s="1425"/>
      <c r="I166" s="1425"/>
      <c r="J166" s="1425"/>
      <c r="K166" s="1425"/>
      <c r="L166" s="1425"/>
      <c r="M166" s="1426"/>
    </row>
    <row r="167" spans="3:19">
      <c r="C167" s="1423"/>
      <c r="D167" s="1427" t="s">
        <v>1468</v>
      </c>
      <c r="E167" s="1428"/>
      <c r="F167" s="1428"/>
      <c r="G167" s="1428"/>
      <c r="H167" s="1429"/>
      <c r="I167" s="1414">
        <v>0</v>
      </c>
      <c r="J167" s="1415"/>
      <c r="K167" s="1414">
        <v>0</v>
      </c>
      <c r="L167" s="1415"/>
      <c r="M167" s="814">
        <f>+SUM(I167:L167)</f>
        <v>0</v>
      </c>
    </row>
    <row r="168" spans="3:19">
      <c r="C168" s="1423"/>
      <c r="D168" s="1430" t="s">
        <v>1469</v>
      </c>
      <c r="E168" s="1431"/>
      <c r="F168" s="1432"/>
      <c r="G168" s="1432"/>
      <c r="H168" s="1433"/>
      <c r="I168" s="1419">
        <v>0</v>
      </c>
      <c r="J168" s="1420"/>
      <c r="K168" s="1419">
        <v>0</v>
      </c>
      <c r="L168" s="1420"/>
      <c r="M168" s="815">
        <f>+SUM(I168:L168)</f>
        <v>0</v>
      </c>
    </row>
    <row r="169" spans="3:19" ht="16.5" customHeight="1">
      <c r="C169" s="1423"/>
      <c r="D169" s="1427" t="s">
        <v>1470</v>
      </c>
      <c r="E169" s="1428"/>
      <c r="F169" s="1428"/>
      <c r="G169" s="1428"/>
      <c r="H169" s="1429"/>
      <c r="I169" s="1414">
        <v>0</v>
      </c>
      <c r="J169" s="1415"/>
      <c r="K169" s="1414">
        <v>0</v>
      </c>
      <c r="L169" s="1415"/>
      <c r="M169" s="814">
        <f>+SUM(I169:L169)</f>
        <v>0</v>
      </c>
    </row>
    <row r="170" spans="3:19">
      <c r="C170" s="778">
        <v>2</v>
      </c>
      <c r="D170" s="1416" t="s">
        <v>1471</v>
      </c>
      <c r="E170" s="1417"/>
      <c r="F170" s="1417"/>
      <c r="G170" s="1417"/>
      <c r="H170" s="1418"/>
      <c r="I170" s="1419">
        <v>0</v>
      </c>
      <c r="J170" s="1420"/>
      <c r="K170" s="1419">
        <v>0</v>
      </c>
      <c r="L170" s="1420"/>
      <c r="M170" s="815">
        <f t="shared" ref="M170:M174" si="43">+SUM(I170:L170)</f>
        <v>0</v>
      </c>
    </row>
    <row r="171" spans="3:19" ht="18.75" customHeight="1">
      <c r="C171" s="778">
        <v>3</v>
      </c>
      <c r="D171" s="1416" t="s">
        <v>1472</v>
      </c>
      <c r="E171" s="1417"/>
      <c r="F171" s="1421"/>
      <c r="G171" s="1421"/>
      <c r="H171" s="1422"/>
      <c r="I171" s="1419">
        <v>0</v>
      </c>
      <c r="J171" s="1420"/>
      <c r="K171" s="1419">
        <v>0</v>
      </c>
      <c r="L171" s="1420"/>
      <c r="M171" s="815">
        <f>+SUM(I171:L171)</f>
        <v>0</v>
      </c>
    </row>
    <row r="172" spans="3:19">
      <c r="C172" s="1406">
        <v>4</v>
      </c>
      <c r="D172" s="1439" t="s">
        <v>1473</v>
      </c>
      <c r="E172" s="1440"/>
      <c r="F172" s="1440"/>
      <c r="G172" s="1440"/>
      <c r="H172" s="1441"/>
      <c r="I172" s="1419">
        <v>0</v>
      </c>
      <c r="J172" s="1420"/>
      <c r="K172" s="1419">
        <v>0</v>
      </c>
      <c r="L172" s="1420"/>
      <c r="M172" s="815">
        <f t="shared" si="43"/>
        <v>0</v>
      </c>
    </row>
    <row r="173" spans="3:19">
      <c r="C173" s="1406"/>
      <c r="D173" s="1442" t="s">
        <v>1474</v>
      </c>
      <c r="E173" s="1443"/>
      <c r="F173" s="1443"/>
      <c r="G173" s="1443"/>
      <c r="H173" s="1444"/>
      <c r="I173" s="1419">
        <v>0</v>
      </c>
      <c r="J173" s="1420"/>
      <c r="K173" s="1419">
        <v>0</v>
      </c>
      <c r="L173" s="1420"/>
      <c r="M173" s="815">
        <f t="shared" si="43"/>
        <v>0</v>
      </c>
    </row>
    <row r="174" spans="3:19">
      <c r="C174" s="778">
        <v>5</v>
      </c>
      <c r="D174" s="1424" t="s">
        <v>1475</v>
      </c>
      <c r="E174" s="1425"/>
      <c r="F174" s="1269"/>
      <c r="G174" s="1269"/>
      <c r="H174" s="1270"/>
      <c r="I174" s="1419">
        <v>0</v>
      </c>
      <c r="J174" s="1420"/>
      <c r="K174" s="1419">
        <v>0</v>
      </c>
      <c r="L174" s="1420"/>
      <c r="M174" s="815">
        <f t="shared" si="43"/>
        <v>0</v>
      </c>
    </row>
    <row r="175" spans="3:19" s="764" customFormat="1">
      <c r="C175" s="1434" t="s">
        <v>1476</v>
      </c>
      <c r="D175" s="1435"/>
      <c r="E175" s="1435"/>
      <c r="F175" s="1435"/>
      <c r="G175" s="1435"/>
      <c r="H175" s="1436"/>
      <c r="I175" s="1437">
        <f>+SUM(I167:J174)</f>
        <v>0</v>
      </c>
      <c r="J175" s="1438"/>
      <c r="K175" s="1437">
        <f>+SUM(K167:L174)</f>
        <v>0</v>
      </c>
      <c r="L175" s="1438"/>
      <c r="M175" s="816">
        <f>+SUM(M167:M174)</f>
        <v>0</v>
      </c>
      <c r="S175" s="749"/>
    </row>
    <row r="176" spans="3:19">
      <c r="C176" s="1445" t="s">
        <v>1477</v>
      </c>
      <c r="D176" s="1446"/>
      <c r="E176" s="1446"/>
      <c r="F176" s="1446"/>
      <c r="G176" s="1446"/>
      <c r="H176" s="1447"/>
      <c r="I176" s="1448"/>
      <c r="J176" s="1449"/>
      <c r="K176" s="1450"/>
      <c r="L176" s="1451"/>
      <c r="M176" s="815"/>
    </row>
    <row r="178" spans="3:13" s="752" customFormat="1">
      <c r="C178" s="763" t="s">
        <v>1478</v>
      </c>
    </row>
    <row r="179" spans="3:13" ht="32.25" customHeight="1">
      <c r="C179" s="778" t="s">
        <v>1463</v>
      </c>
      <c r="D179" s="1290" t="s">
        <v>1464</v>
      </c>
      <c r="E179" s="1291"/>
      <c r="F179" s="1292"/>
      <c r="G179" s="1445" t="s">
        <v>1479</v>
      </c>
      <c r="H179" s="1446"/>
      <c r="I179" s="1446"/>
      <c r="J179" s="1446"/>
      <c r="K179" s="1446"/>
      <c r="L179" s="1447"/>
      <c r="M179" s="759" t="s">
        <v>1466</v>
      </c>
    </row>
    <row r="180" spans="3:13" ht="16.5" customHeight="1">
      <c r="C180" s="1406">
        <v>1</v>
      </c>
      <c r="D180" s="1452" t="s">
        <v>1480</v>
      </c>
      <c r="E180" s="1453"/>
      <c r="F180" s="1453"/>
      <c r="G180" s="1419">
        <v>0</v>
      </c>
      <c r="H180" s="1420"/>
      <c r="I180" s="1419">
        <v>0</v>
      </c>
      <c r="J180" s="1420"/>
      <c r="K180" s="1419">
        <v>0</v>
      </c>
      <c r="L180" s="1420"/>
      <c r="M180" s="817"/>
    </row>
    <row r="181" spans="3:13">
      <c r="C181" s="1406"/>
      <c r="D181" s="1430" t="s">
        <v>1481</v>
      </c>
      <c r="E181" s="1431"/>
      <c r="F181" s="1433"/>
      <c r="G181" s="1419">
        <v>0</v>
      </c>
      <c r="H181" s="1420"/>
      <c r="I181" s="1419">
        <v>0</v>
      </c>
      <c r="J181" s="1420"/>
      <c r="K181" s="1419">
        <v>0</v>
      </c>
      <c r="L181" s="1420"/>
      <c r="M181" s="815">
        <f>+SUM(G181:L181)</f>
        <v>0</v>
      </c>
    </row>
    <row r="182" spans="3:13">
      <c r="C182" s="1406"/>
      <c r="D182" s="1430" t="s">
        <v>1482</v>
      </c>
      <c r="E182" s="1431"/>
      <c r="F182" s="1433"/>
      <c r="G182" s="1419">
        <v>0</v>
      </c>
      <c r="H182" s="1420"/>
      <c r="I182" s="1419">
        <v>0</v>
      </c>
      <c r="J182" s="1420"/>
      <c r="K182" s="1419">
        <v>0</v>
      </c>
      <c r="L182" s="1420"/>
      <c r="M182" s="815">
        <f>+SUM(G182:L182)</f>
        <v>0</v>
      </c>
    </row>
    <row r="183" spans="3:13">
      <c r="C183" s="1406"/>
      <c r="D183" s="1430" t="s">
        <v>1475</v>
      </c>
      <c r="E183" s="1431"/>
      <c r="F183" s="1433"/>
      <c r="G183" s="1419">
        <v>0</v>
      </c>
      <c r="H183" s="1420"/>
      <c r="I183" s="1419">
        <v>0</v>
      </c>
      <c r="J183" s="1420"/>
      <c r="K183" s="1419">
        <v>0</v>
      </c>
      <c r="L183" s="1420"/>
      <c r="M183" s="815">
        <f>+SUM(G183:L183)</f>
        <v>0</v>
      </c>
    </row>
    <row r="184" spans="3:13">
      <c r="C184" s="1406"/>
      <c r="D184" s="1452" t="s">
        <v>1483</v>
      </c>
      <c r="E184" s="1453"/>
      <c r="F184" s="1454"/>
      <c r="G184" s="1455">
        <f>+SUM(G181:H183)</f>
        <v>0</v>
      </c>
      <c r="H184" s="1456"/>
      <c r="I184" s="1455">
        <f t="shared" ref="I184" si="44">+SUM(I181:J183)</f>
        <v>0</v>
      </c>
      <c r="J184" s="1456"/>
      <c r="K184" s="1455">
        <f t="shared" ref="K184" si="45">+SUM(K181:L183)</f>
        <v>0</v>
      </c>
      <c r="L184" s="1456"/>
      <c r="M184" s="816">
        <f>SUM(M181:M183)</f>
        <v>0</v>
      </c>
    </row>
    <row r="185" spans="3:13" ht="16.5" customHeight="1">
      <c r="C185" s="1365">
        <v>2</v>
      </c>
      <c r="D185" s="1452" t="s">
        <v>1484</v>
      </c>
      <c r="E185" s="1453"/>
      <c r="F185" s="1454"/>
      <c r="G185" s="1419">
        <v>0</v>
      </c>
      <c r="H185" s="1420"/>
      <c r="I185" s="1419">
        <v>0</v>
      </c>
      <c r="J185" s="1420"/>
      <c r="K185" s="1419">
        <v>0</v>
      </c>
      <c r="L185" s="1420"/>
      <c r="M185" s="815">
        <f t="shared" ref="M185:M188" si="46">+SUM(G185:L185)</f>
        <v>0</v>
      </c>
    </row>
    <row r="186" spans="3:13">
      <c r="C186" s="1423"/>
      <c r="D186" s="1430" t="s">
        <v>1481</v>
      </c>
      <c r="E186" s="1431"/>
      <c r="F186" s="1433"/>
      <c r="G186" s="1419">
        <v>0</v>
      </c>
      <c r="H186" s="1420"/>
      <c r="I186" s="1419">
        <v>0</v>
      </c>
      <c r="J186" s="1420"/>
      <c r="K186" s="1419">
        <v>0</v>
      </c>
      <c r="L186" s="1420"/>
      <c r="M186" s="815">
        <f t="shared" si="46"/>
        <v>0</v>
      </c>
    </row>
    <row r="187" spans="3:13">
      <c r="C187" s="1423"/>
      <c r="D187" s="1430" t="s">
        <v>1482</v>
      </c>
      <c r="E187" s="1431"/>
      <c r="F187" s="1433"/>
      <c r="G187" s="1419">
        <v>0</v>
      </c>
      <c r="H187" s="1420"/>
      <c r="I187" s="1419">
        <v>0</v>
      </c>
      <c r="J187" s="1420"/>
      <c r="K187" s="1419">
        <v>0</v>
      </c>
      <c r="L187" s="1420"/>
      <c r="M187" s="815">
        <f t="shared" si="46"/>
        <v>0</v>
      </c>
    </row>
    <row r="188" spans="3:13">
      <c r="C188" s="1423"/>
      <c r="D188" s="1430" t="s">
        <v>1475</v>
      </c>
      <c r="E188" s="1431"/>
      <c r="F188" s="1433"/>
      <c r="G188" s="1419">
        <v>0</v>
      </c>
      <c r="H188" s="1420"/>
      <c r="I188" s="1419">
        <v>0</v>
      </c>
      <c r="J188" s="1420"/>
      <c r="K188" s="1419">
        <v>0</v>
      </c>
      <c r="L188" s="1420"/>
      <c r="M188" s="815">
        <f t="shared" si="46"/>
        <v>0</v>
      </c>
    </row>
    <row r="189" spans="3:13" s="764" customFormat="1">
      <c r="C189" s="1366"/>
      <c r="D189" s="1452" t="s">
        <v>1485</v>
      </c>
      <c r="E189" s="1453"/>
      <c r="F189" s="1454"/>
      <c r="G189" s="1455">
        <f>+SUM(G185:H188)</f>
        <v>0</v>
      </c>
      <c r="H189" s="1456"/>
      <c r="I189" s="1455">
        <f t="shared" ref="I189" si="47">+SUM(I185:J188)</f>
        <v>0</v>
      </c>
      <c r="J189" s="1456"/>
      <c r="K189" s="1455">
        <f t="shared" ref="K189" si="48">+SUM(K185:L188)</f>
        <v>0</v>
      </c>
      <c r="L189" s="1456"/>
      <c r="M189" s="816">
        <f>SUM(M185:M188)</f>
        <v>0</v>
      </c>
    </row>
    <row r="190" spans="3:13" s="764" customFormat="1">
      <c r="C190" s="1457" t="s">
        <v>1486</v>
      </c>
      <c r="D190" s="1458"/>
      <c r="E190" s="1458"/>
      <c r="F190" s="1459"/>
      <c r="G190" s="1455">
        <f>+G189+G184</f>
        <v>0</v>
      </c>
      <c r="H190" s="1456"/>
      <c r="I190" s="1455">
        <f>+I189+I184</f>
        <v>0</v>
      </c>
      <c r="J190" s="1456"/>
      <c r="K190" s="1455">
        <f>+K189+K184</f>
        <v>0</v>
      </c>
      <c r="L190" s="1456"/>
      <c r="M190" s="816">
        <f>+M189+M184</f>
        <v>0</v>
      </c>
    </row>
    <row r="191" spans="3:13" s="764" customFormat="1" ht="16.5" customHeight="1">
      <c r="C191" s="1457" t="s">
        <v>1487</v>
      </c>
      <c r="D191" s="1458"/>
      <c r="E191" s="1458"/>
      <c r="F191" s="1459"/>
      <c r="G191" s="1455"/>
      <c r="H191" s="1456"/>
      <c r="I191" s="1455"/>
      <c r="J191" s="1456"/>
      <c r="K191" s="1437"/>
      <c r="L191" s="1438"/>
      <c r="M191" s="816">
        <f>M175+M190</f>
        <v>0</v>
      </c>
    </row>
    <row r="192" spans="3:13" ht="16.5" customHeight="1">
      <c r="C192" s="1290" t="s">
        <v>1488</v>
      </c>
      <c r="D192" s="1291"/>
      <c r="E192" s="1291"/>
      <c r="F192" s="1292"/>
      <c r="G192" s="1448"/>
      <c r="H192" s="1449"/>
      <c r="I192" s="1448"/>
      <c r="J192" s="1449"/>
      <c r="K192" s="1450"/>
      <c r="L192" s="1451"/>
      <c r="M192" s="815"/>
    </row>
    <row r="194" spans="3:13" s="752" customFormat="1" ht="17.25" customHeight="1">
      <c r="C194" s="764" t="s">
        <v>1489</v>
      </c>
      <c r="D194" s="818"/>
      <c r="E194" s="749"/>
      <c r="F194" s="749"/>
      <c r="G194" s="749"/>
      <c r="H194" s="749"/>
      <c r="I194" s="749"/>
      <c r="J194" s="749"/>
    </row>
    <row r="195" spans="3:13" ht="25.5">
      <c r="C195" s="778" t="s">
        <v>1463</v>
      </c>
      <c r="D195" s="1290" t="s">
        <v>1464</v>
      </c>
      <c r="E195" s="1291"/>
      <c r="F195" s="1291"/>
      <c r="G195" s="1291"/>
      <c r="H195" s="1291"/>
      <c r="I195" s="1291"/>
      <c r="J195" s="1446" t="s">
        <v>1490</v>
      </c>
      <c r="K195" s="1446"/>
      <c r="L195" s="1447"/>
      <c r="M195" s="759" t="s">
        <v>1466</v>
      </c>
    </row>
    <row r="196" spans="3:13">
      <c r="C196" s="776"/>
      <c r="D196" s="1367" t="s">
        <v>1439</v>
      </c>
      <c r="E196" s="1368"/>
      <c r="F196" s="1368"/>
      <c r="G196" s="1368"/>
      <c r="H196" s="1368"/>
      <c r="I196" s="1369"/>
      <c r="J196" s="819" t="s">
        <v>1270</v>
      </c>
      <c r="K196" s="819" t="s">
        <v>1270</v>
      </c>
      <c r="L196" s="820" t="s">
        <v>1270</v>
      </c>
      <c r="M196" s="811"/>
    </row>
    <row r="197" spans="3:13">
      <c r="C197" s="777"/>
      <c r="D197" s="1370" t="s">
        <v>1161</v>
      </c>
      <c r="E197" s="1371"/>
      <c r="F197" s="1371"/>
      <c r="G197" s="1371"/>
      <c r="H197" s="1371"/>
      <c r="I197" s="1372"/>
      <c r="J197" s="812" t="s">
        <v>1491</v>
      </c>
      <c r="K197" s="812" t="s">
        <v>1492</v>
      </c>
      <c r="L197" s="821" t="s">
        <v>1493</v>
      </c>
      <c r="M197" s="813"/>
    </row>
    <row r="198" spans="3:13">
      <c r="C198" s="1365">
        <v>1</v>
      </c>
      <c r="D198" s="1424" t="s">
        <v>1467</v>
      </c>
      <c r="E198" s="1425"/>
      <c r="F198" s="1425"/>
      <c r="G198" s="1425"/>
      <c r="H198" s="1425"/>
      <c r="I198" s="1425"/>
      <c r="J198" s="1425"/>
      <c r="K198" s="1425"/>
      <c r="L198" s="1425"/>
      <c r="M198" s="1426"/>
    </row>
    <row r="199" spans="3:13" ht="16.5" customHeight="1">
      <c r="C199" s="1423"/>
      <c r="D199" s="1427" t="s">
        <v>1468</v>
      </c>
      <c r="E199" s="1428"/>
      <c r="F199" s="1428"/>
      <c r="G199" s="1428"/>
      <c r="H199" s="1428"/>
      <c r="I199" s="1428"/>
      <c r="J199" s="822">
        <v>0</v>
      </c>
      <c r="K199" s="822">
        <v>0</v>
      </c>
      <c r="L199" s="822">
        <v>0</v>
      </c>
      <c r="M199" s="814">
        <f>SUM(J199:L199)</f>
        <v>0</v>
      </c>
    </row>
    <row r="200" spans="3:13" ht="16.5" customHeight="1">
      <c r="C200" s="1423"/>
      <c r="D200" s="1430" t="s">
        <v>1469</v>
      </c>
      <c r="E200" s="1431"/>
      <c r="F200" s="1431"/>
      <c r="G200" s="1431"/>
      <c r="H200" s="1431"/>
      <c r="I200" s="1431"/>
      <c r="J200" s="822">
        <v>0</v>
      </c>
      <c r="K200" s="822">
        <v>0</v>
      </c>
      <c r="L200" s="822">
        <v>0</v>
      </c>
      <c r="M200" s="814">
        <f t="shared" ref="M200:M208" si="49">SUM(J200:L200)</f>
        <v>0</v>
      </c>
    </row>
    <row r="201" spans="3:13" ht="16.5" customHeight="1">
      <c r="C201" s="1423"/>
      <c r="D201" s="1427" t="s">
        <v>1470</v>
      </c>
      <c r="E201" s="1428"/>
      <c r="F201" s="1428"/>
      <c r="G201" s="1428"/>
      <c r="H201" s="1428"/>
      <c r="I201" s="1428"/>
      <c r="J201" s="822">
        <v>0</v>
      </c>
      <c r="K201" s="822">
        <v>0</v>
      </c>
      <c r="L201" s="822">
        <v>0</v>
      </c>
      <c r="M201" s="814">
        <f t="shared" si="49"/>
        <v>0</v>
      </c>
    </row>
    <row r="202" spans="3:13">
      <c r="C202" s="778">
        <v>2</v>
      </c>
      <c r="D202" s="1416" t="s">
        <v>1471</v>
      </c>
      <c r="E202" s="1417"/>
      <c r="F202" s="1417"/>
      <c r="G202" s="1417"/>
      <c r="H202" s="1417"/>
      <c r="I202" s="1417"/>
      <c r="J202" s="822">
        <v>0</v>
      </c>
      <c r="K202" s="822">
        <v>0</v>
      </c>
      <c r="L202" s="822">
        <v>0</v>
      </c>
      <c r="M202" s="814">
        <f t="shared" si="49"/>
        <v>0</v>
      </c>
    </row>
    <row r="203" spans="3:13" ht="18.75" customHeight="1">
      <c r="C203" s="778">
        <v>3</v>
      </c>
      <c r="D203" s="1416" t="s">
        <v>1472</v>
      </c>
      <c r="E203" s="1417"/>
      <c r="F203" s="1417"/>
      <c r="G203" s="1417"/>
      <c r="H203" s="1417"/>
      <c r="I203" s="1417"/>
      <c r="J203" s="822">
        <v>0</v>
      </c>
      <c r="K203" s="822">
        <v>0</v>
      </c>
      <c r="L203" s="822">
        <v>0</v>
      </c>
      <c r="M203" s="814">
        <f t="shared" si="49"/>
        <v>0</v>
      </c>
    </row>
    <row r="204" spans="3:13">
      <c r="C204" s="1406">
        <v>4</v>
      </c>
      <c r="D204" s="1439" t="s">
        <v>1482</v>
      </c>
      <c r="E204" s="1440"/>
      <c r="F204" s="1440"/>
      <c r="G204" s="1440"/>
      <c r="H204" s="1440"/>
      <c r="I204" s="1440"/>
      <c r="J204" s="822">
        <v>0</v>
      </c>
      <c r="K204" s="822">
        <v>0</v>
      </c>
      <c r="L204" s="822">
        <v>0</v>
      </c>
      <c r="M204" s="814">
        <f t="shared" si="49"/>
        <v>0</v>
      </c>
    </row>
    <row r="205" spans="3:13">
      <c r="C205" s="1406"/>
      <c r="D205" s="1462" t="s">
        <v>1494</v>
      </c>
      <c r="E205" s="1463"/>
      <c r="F205" s="1463"/>
      <c r="G205" s="1463"/>
      <c r="H205" s="1463"/>
      <c r="I205" s="1463"/>
      <c r="J205" s="822">
        <v>0</v>
      </c>
      <c r="K205" s="822">
        <v>0</v>
      </c>
      <c r="L205" s="822">
        <v>0</v>
      </c>
      <c r="M205" s="814">
        <f t="shared" si="49"/>
        <v>0</v>
      </c>
    </row>
    <row r="206" spans="3:13">
      <c r="C206" s="1406"/>
      <c r="D206" s="1464" t="s">
        <v>1474</v>
      </c>
      <c r="E206" s="1465"/>
      <c r="F206" s="1465"/>
      <c r="G206" s="1465"/>
      <c r="H206" s="1465"/>
      <c r="I206" s="1465"/>
      <c r="J206" s="822">
        <v>0</v>
      </c>
      <c r="K206" s="822">
        <v>0</v>
      </c>
      <c r="L206" s="822">
        <v>0</v>
      </c>
      <c r="M206" s="814">
        <f t="shared" si="49"/>
        <v>0</v>
      </c>
    </row>
    <row r="207" spans="3:13">
      <c r="C207" s="778">
        <v>5</v>
      </c>
      <c r="D207" s="1424" t="s">
        <v>1475</v>
      </c>
      <c r="E207" s="1425"/>
      <c r="F207" s="1425"/>
      <c r="G207" s="1425"/>
      <c r="H207" s="1425"/>
      <c r="I207" s="1425"/>
      <c r="J207" s="822">
        <v>0</v>
      </c>
      <c r="K207" s="822">
        <v>0</v>
      </c>
      <c r="L207" s="822">
        <v>0</v>
      </c>
      <c r="M207" s="814">
        <f t="shared" si="49"/>
        <v>0</v>
      </c>
    </row>
    <row r="208" spans="3:13" s="764" customFormat="1">
      <c r="C208" s="1434" t="s">
        <v>88</v>
      </c>
      <c r="D208" s="1435"/>
      <c r="E208" s="1435"/>
      <c r="F208" s="1435"/>
      <c r="G208" s="1435"/>
      <c r="H208" s="1435"/>
      <c r="I208" s="1436"/>
      <c r="J208" s="816">
        <f>SUM(J199:J207)</f>
        <v>0</v>
      </c>
      <c r="K208" s="816">
        <f>SUM(K199:K207)</f>
        <v>0</v>
      </c>
      <c r="L208" s="816">
        <f>SUM(L199:L207)</f>
        <v>0</v>
      </c>
      <c r="M208" s="814">
        <f t="shared" si="49"/>
        <v>0</v>
      </c>
    </row>
    <row r="210" spans="3:13" s="752" customFormat="1">
      <c r="C210" s="754" t="s">
        <v>1495</v>
      </c>
      <c r="D210" s="762"/>
      <c r="E210" s="809"/>
      <c r="F210" s="809"/>
      <c r="G210" s="809"/>
      <c r="H210" s="809"/>
      <c r="I210" s="809"/>
      <c r="J210" s="809"/>
      <c r="K210" s="809"/>
      <c r="L210" s="809"/>
      <c r="M210" s="810"/>
    </row>
    <row r="211" spans="3:13">
      <c r="C211" s="1460" t="s">
        <v>1496</v>
      </c>
      <c r="D211" s="1460"/>
      <c r="E211" s="1461" t="s">
        <v>1497</v>
      </c>
      <c r="F211" s="1461" t="s">
        <v>1498</v>
      </c>
      <c r="G211" s="1461"/>
      <c r="H211" s="1461" t="s">
        <v>1499</v>
      </c>
      <c r="I211" s="1461"/>
      <c r="J211" s="1461" t="s">
        <v>1500</v>
      </c>
      <c r="K211" s="1461"/>
      <c r="L211" s="1461" t="s">
        <v>1501</v>
      </c>
      <c r="M211" s="1461"/>
    </row>
    <row r="212" spans="3:13">
      <c r="C212" s="1460"/>
      <c r="D212" s="1460"/>
      <c r="E212" s="1461"/>
      <c r="F212" s="1461"/>
      <c r="G212" s="1461"/>
      <c r="H212" s="1461"/>
      <c r="I212" s="1461"/>
      <c r="J212" s="1461"/>
      <c r="K212" s="1461"/>
      <c r="L212" s="1461"/>
      <c r="M212" s="1461"/>
    </row>
    <row r="213" spans="3:13">
      <c r="C213" s="1460"/>
      <c r="D213" s="1460"/>
      <c r="E213" s="1461"/>
      <c r="F213" s="1461"/>
      <c r="G213" s="1461"/>
      <c r="H213" s="1461"/>
      <c r="I213" s="1461"/>
      <c r="J213" s="1461"/>
      <c r="K213" s="1461"/>
      <c r="L213" s="1461"/>
      <c r="M213" s="1461"/>
    </row>
    <row r="214" spans="3:13">
      <c r="C214" s="1460"/>
      <c r="D214" s="1460"/>
      <c r="E214" s="1461"/>
      <c r="F214" s="1461"/>
      <c r="G214" s="1461"/>
      <c r="H214" s="1461"/>
      <c r="I214" s="1461"/>
      <c r="J214" s="1461"/>
      <c r="K214" s="1461"/>
      <c r="L214" s="1461"/>
      <c r="M214" s="1461"/>
    </row>
    <row r="215" spans="3:13">
      <c r="C215" s="1466" t="s">
        <v>1502</v>
      </c>
      <c r="D215" s="1467"/>
      <c r="E215" s="1467"/>
      <c r="F215" s="1467"/>
      <c r="G215" s="1467"/>
      <c r="H215" s="1467"/>
      <c r="I215" s="1467"/>
      <c r="J215" s="1467"/>
      <c r="K215" s="1467"/>
      <c r="L215" s="1467"/>
      <c r="M215" s="1468"/>
    </row>
    <row r="216" spans="3:13">
      <c r="C216" s="823" t="s">
        <v>1503</v>
      </c>
      <c r="D216" s="823"/>
      <c r="E216" s="823"/>
      <c r="F216" s="1457"/>
      <c r="G216" s="1459"/>
      <c r="H216" s="1445"/>
      <c r="I216" s="1447"/>
      <c r="J216" s="1293"/>
      <c r="K216" s="1294"/>
      <c r="L216" s="1293"/>
      <c r="M216" s="1294"/>
    </row>
    <row r="217" spans="3:13">
      <c r="C217" s="823" t="s">
        <v>1504</v>
      </c>
      <c r="D217" s="823"/>
      <c r="E217" s="823"/>
      <c r="F217" s="1457"/>
      <c r="G217" s="1459"/>
      <c r="H217" s="1445"/>
      <c r="I217" s="1447"/>
      <c r="J217" s="1293"/>
      <c r="K217" s="1294"/>
      <c r="L217" s="1293"/>
      <c r="M217" s="1294"/>
    </row>
    <row r="218" spans="3:13">
      <c r="C218" s="823" t="s">
        <v>1505</v>
      </c>
      <c r="D218" s="823"/>
      <c r="E218" s="823"/>
      <c r="F218" s="1457"/>
      <c r="G218" s="1459"/>
      <c r="H218" s="1445"/>
      <c r="I218" s="1447"/>
      <c r="J218" s="1293"/>
      <c r="K218" s="1294"/>
      <c r="L218" s="1293"/>
      <c r="M218" s="1294"/>
    </row>
    <row r="219" spans="3:13">
      <c r="C219" s="1466" t="s">
        <v>1506</v>
      </c>
      <c r="D219" s="1467"/>
      <c r="E219" s="1467"/>
      <c r="F219" s="1467"/>
      <c r="G219" s="1467"/>
      <c r="H219" s="1467"/>
      <c r="I219" s="1467"/>
      <c r="J219" s="1467"/>
      <c r="K219" s="1467"/>
      <c r="L219" s="1467"/>
      <c r="M219" s="1468"/>
    </row>
    <row r="220" spans="3:13">
      <c r="C220" s="823" t="s">
        <v>1503</v>
      </c>
      <c r="D220" s="823"/>
      <c r="E220" s="823"/>
      <c r="F220" s="1457"/>
      <c r="G220" s="1459"/>
      <c r="H220" s="1445"/>
      <c r="I220" s="1447"/>
      <c r="J220" s="1293"/>
      <c r="K220" s="1294"/>
      <c r="L220" s="1293"/>
      <c r="M220" s="1294"/>
    </row>
    <row r="221" spans="3:13">
      <c r="C221" s="823" t="s">
        <v>1504</v>
      </c>
      <c r="D221" s="823"/>
      <c r="E221" s="823"/>
      <c r="F221" s="1457"/>
      <c r="G221" s="1459"/>
      <c r="H221" s="1445"/>
      <c r="I221" s="1447"/>
      <c r="J221" s="1293"/>
      <c r="K221" s="1294"/>
      <c r="L221" s="1293"/>
      <c r="M221" s="1294"/>
    </row>
    <row r="222" spans="3:13">
      <c r="C222" s="823" t="s">
        <v>1505</v>
      </c>
      <c r="D222" s="823"/>
      <c r="E222" s="823"/>
      <c r="F222" s="1457"/>
      <c r="G222" s="1459"/>
      <c r="H222" s="1445"/>
      <c r="I222" s="1447"/>
      <c r="J222" s="1293"/>
      <c r="K222" s="1294"/>
      <c r="L222" s="1293"/>
      <c r="M222" s="1294"/>
    </row>
    <row r="223" spans="3:13">
      <c r="C223" s="1466" t="s">
        <v>1507</v>
      </c>
      <c r="D223" s="1467"/>
      <c r="E223" s="1467"/>
      <c r="F223" s="1467"/>
      <c r="G223" s="1467"/>
      <c r="H223" s="1467"/>
      <c r="I223" s="1467"/>
      <c r="J223" s="1467"/>
      <c r="K223" s="1467"/>
      <c r="L223" s="1467"/>
      <c r="M223" s="1468"/>
    </row>
    <row r="224" spans="3:13">
      <c r="C224" s="823" t="s">
        <v>1503</v>
      </c>
      <c r="D224" s="823"/>
      <c r="E224" s="823"/>
      <c r="F224" s="1457"/>
      <c r="G224" s="1459"/>
      <c r="H224" s="1445"/>
      <c r="I224" s="1447"/>
      <c r="J224" s="1293"/>
      <c r="K224" s="1294"/>
      <c r="L224" s="1293"/>
      <c r="M224" s="1294"/>
    </row>
    <row r="225" spans="3:13">
      <c r="C225" s="823" t="s">
        <v>1504</v>
      </c>
      <c r="D225" s="823"/>
      <c r="E225" s="823"/>
      <c r="F225" s="1457"/>
      <c r="G225" s="1459"/>
      <c r="H225" s="1445"/>
      <c r="I225" s="1447"/>
      <c r="J225" s="1293"/>
      <c r="K225" s="1294"/>
      <c r="L225" s="1293"/>
      <c r="M225" s="1294"/>
    </row>
    <row r="226" spans="3:13">
      <c r="C226" s="823" t="s">
        <v>1505</v>
      </c>
      <c r="D226" s="823"/>
      <c r="E226" s="823"/>
      <c r="F226" s="1457"/>
      <c r="G226" s="1459"/>
      <c r="H226" s="1445"/>
      <c r="I226" s="1447"/>
      <c r="J226" s="1293"/>
      <c r="K226" s="1294"/>
      <c r="L226" s="1293"/>
      <c r="M226" s="1294"/>
    </row>
  </sheetData>
  <mergeCells count="465">
    <mergeCell ref="F225:G225"/>
    <mergeCell ref="H225:I225"/>
    <mergeCell ref="J225:K225"/>
    <mergeCell ref="L225:M225"/>
    <mergeCell ref="F226:G226"/>
    <mergeCell ref="H226:I226"/>
    <mergeCell ref="J226:K226"/>
    <mergeCell ref="L226:M226"/>
    <mergeCell ref="F222:G222"/>
    <mergeCell ref="H222:I222"/>
    <mergeCell ref="J222:K222"/>
    <mergeCell ref="L222:M222"/>
    <mergeCell ref="C223:M223"/>
    <mergeCell ref="F224:G224"/>
    <mergeCell ref="H224:I224"/>
    <mergeCell ref="J224:K224"/>
    <mergeCell ref="L224:M224"/>
    <mergeCell ref="C219:M219"/>
    <mergeCell ref="F220:G220"/>
    <mergeCell ref="H220:I220"/>
    <mergeCell ref="J220:K220"/>
    <mergeCell ref="L220:M220"/>
    <mergeCell ref="F221:G221"/>
    <mergeCell ref="H221:I221"/>
    <mergeCell ref="J221:K221"/>
    <mergeCell ref="L221:M221"/>
    <mergeCell ref="F217:G217"/>
    <mergeCell ref="H217:I217"/>
    <mergeCell ref="J217:K217"/>
    <mergeCell ref="L217:M217"/>
    <mergeCell ref="F218:G218"/>
    <mergeCell ref="H218:I218"/>
    <mergeCell ref="J218:K218"/>
    <mergeCell ref="L218:M218"/>
    <mergeCell ref="J211:K214"/>
    <mergeCell ref="L211:M214"/>
    <mergeCell ref="C215:M215"/>
    <mergeCell ref="F216:G216"/>
    <mergeCell ref="H216:I216"/>
    <mergeCell ref="J216:K216"/>
    <mergeCell ref="L216:M216"/>
    <mergeCell ref="D207:I207"/>
    <mergeCell ref="C208:I208"/>
    <mergeCell ref="C211:D214"/>
    <mergeCell ref="E211:E214"/>
    <mergeCell ref="F211:G214"/>
    <mergeCell ref="H211:I214"/>
    <mergeCell ref="D202:I202"/>
    <mergeCell ref="D203:I203"/>
    <mergeCell ref="C204:C206"/>
    <mergeCell ref="D204:I204"/>
    <mergeCell ref="D205:I205"/>
    <mergeCell ref="D206:I206"/>
    <mergeCell ref="D195:I195"/>
    <mergeCell ref="J195:L195"/>
    <mergeCell ref="D196:I196"/>
    <mergeCell ref="D197:I197"/>
    <mergeCell ref="C198:C201"/>
    <mergeCell ref="D198:M198"/>
    <mergeCell ref="D199:I199"/>
    <mergeCell ref="D200:I200"/>
    <mergeCell ref="D201:I201"/>
    <mergeCell ref="C191:F191"/>
    <mergeCell ref="G191:H191"/>
    <mergeCell ref="I191:J191"/>
    <mergeCell ref="K191:L191"/>
    <mergeCell ref="C192:F192"/>
    <mergeCell ref="G192:H192"/>
    <mergeCell ref="I192:J192"/>
    <mergeCell ref="K192:L192"/>
    <mergeCell ref="D189:F189"/>
    <mergeCell ref="G189:H189"/>
    <mergeCell ref="I189:J189"/>
    <mergeCell ref="K189:L189"/>
    <mergeCell ref="C190:F190"/>
    <mergeCell ref="G190:H190"/>
    <mergeCell ref="I190:J190"/>
    <mergeCell ref="K190:L190"/>
    <mergeCell ref="C185:C189"/>
    <mergeCell ref="D185:F185"/>
    <mergeCell ref="G185:H185"/>
    <mergeCell ref="I185:J185"/>
    <mergeCell ref="K185:L185"/>
    <mergeCell ref="D186:F186"/>
    <mergeCell ref="G186:H186"/>
    <mergeCell ref="I186:J186"/>
    <mergeCell ref="K186:L186"/>
    <mergeCell ref="D187:F187"/>
    <mergeCell ref="I182:J182"/>
    <mergeCell ref="K182:L182"/>
    <mergeCell ref="G187:H187"/>
    <mergeCell ref="I187:J187"/>
    <mergeCell ref="K187:L187"/>
    <mergeCell ref="D188:F188"/>
    <mergeCell ref="G188:H188"/>
    <mergeCell ref="I188:J188"/>
    <mergeCell ref="K188:L188"/>
    <mergeCell ref="C176:H176"/>
    <mergeCell ref="I176:J176"/>
    <mergeCell ref="K176:L176"/>
    <mergeCell ref="D179:F179"/>
    <mergeCell ref="G179:L179"/>
    <mergeCell ref="C180:C184"/>
    <mergeCell ref="D180:F180"/>
    <mergeCell ref="G180:H180"/>
    <mergeCell ref="I180:J180"/>
    <mergeCell ref="K180:L180"/>
    <mergeCell ref="D183:F183"/>
    <mergeCell ref="G183:H183"/>
    <mergeCell ref="I183:J183"/>
    <mergeCell ref="K183:L183"/>
    <mergeCell ref="D184:F184"/>
    <mergeCell ref="G184:H184"/>
    <mergeCell ref="I184:J184"/>
    <mergeCell ref="K184:L184"/>
    <mergeCell ref="D181:F181"/>
    <mergeCell ref="G181:H181"/>
    <mergeCell ref="I181:J181"/>
    <mergeCell ref="K181:L181"/>
    <mergeCell ref="D182:F182"/>
    <mergeCell ref="G182:H182"/>
    <mergeCell ref="D174:H174"/>
    <mergeCell ref="I174:J174"/>
    <mergeCell ref="K174:L174"/>
    <mergeCell ref="C175:H175"/>
    <mergeCell ref="I175:J175"/>
    <mergeCell ref="K175:L175"/>
    <mergeCell ref="C172:C173"/>
    <mergeCell ref="D172:H172"/>
    <mergeCell ref="I172:J172"/>
    <mergeCell ref="K172:L172"/>
    <mergeCell ref="D173:H173"/>
    <mergeCell ref="I173:J173"/>
    <mergeCell ref="K173:L173"/>
    <mergeCell ref="K169:L169"/>
    <mergeCell ref="D170:H170"/>
    <mergeCell ref="I170:J170"/>
    <mergeCell ref="K170:L170"/>
    <mergeCell ref="D171:H171"/>
    <mergeCell ref="I171:J171"/>
    <mergeCell ref="K171:L171"/>
    <mergeCell ref="C166:C169"/>
    <mergeCell ref="D166:M166"/>
    <mergeCell ref="D167:H167"/>
    <mergeCell ref="I167:J167"/>
    <mergeCell ref="K167:L167"/>
    <mergeCell ref="D168:H168"/>
    <mergeCell ref="I168:J168"/>
    <mergeCell ref="K168:L168"/>
    <mergeCell ref="D169:H169"/>
    <mergeCell ref="I169:J169"/>
    <mergeCell ref="D163:H163"/>
    <mergeCell ref="I163:L163"/>
    <mergeCell ref="C164:C165"/>
    <mergeCell ref="D164:H164"/>
    <mergeCell ref="I164:J164"/>
    <mergeCell ref="K164:L164"/>
    <mergeCell ref="D165:H165"/>
    <mergeCell ref="I165:J165"/>
    <mergeCell ref="K165:L165"/>
    <mergeCell ref="C158:E158"/>
    <mergeCell ref="F158:G158"/>
    <mergeCell ref="H158:I158"/>
    <mergeCell ref="J158:K158"/>
    <mergeCell ref="L158:M158"/>
    <mergeCell ref="C159:E159"/>
    <mergeCell ref="F159:G159"/>
    <mergeCell ref="H159:I159"/>
    <mergeCell ref="J159:K159"/>
    <mergeCell ref="L159:M159"/>
    <mergeCell ref="C156:E156"/>
    <mergeCell ref="F156:G156"/>
    <mergeCell ref="H156:I156"/>
    <mergeCell ref="J156:K156"/>
    <mergeCell ref="L156:M156"/>
    <mergeCell ref="C157:E157"/>
    <mergeCell ref="F157:G157"/>
    <mergeCell ref="H157:I157"/>
    <mergeCell ref="J157:K157"/>
    <mergeCell ref="L157:M157"/>
    <mergeCell ref="C154:E154"/>
    <mergeCell ref="F154:G154"/>
    <mergeCell ref="H154:I154"/>
    <mergeCell ref="J154:K154"/>
    <mergeCell ref="L154:M154"/>
    <mergeCell ref="C155:M155"/>
    <mergeCell ref="C152:E152"/>
    <mergeCell ref="F152:G152"/>
    <mergeCell ref="H152:I152"/>
    <mergeCell ref="J152:K152"/>
    <mergeCell ref="L152:M152"/>
    <mergeCell ref="C153:E153"/>
    <mergeCell ref="F153:G153"/>
    <mergeCell ref="H153:I153"/>
    <mergeCell ref="J153:K153"/>
    <mergeCell ref="L153:M153"/>
    <mergeCell ref="C150:E150"/>
    <mergeCell ref="F150:G150"/>
    <mergeCell ref="H150:I150"/>
    <mergeCell ref="J150:K150"/>
    <mergeCell ref="L150:M150"/>
    <mergeCell ref="C151:M151"/>
    <mergeCell ref="C148:E148"/>
    <mergeCell ref="F148:G148"/>
    <mergeCell ref="H148:I148"/>
    <mergeCell ref="J148:K148"/>
    <mergeCell ref="L148:M148"/>
    <mergeCell ref="C149:E149"/>
    <mergeCell ref="F149:G149"/>
    <mergeCell ref="H149:I149"/>
    <mergeCell ref="J149:K149"/>
    <mergeCell ref="L149:M149"/>
    <mergeCell ref="C146:M146"/>
    <mergeCell ref="C147:E147"/>
    <mergeCell ref="F147:G147"/>
    <mergeCell ref="H147:I147"/>
    <mergeCell ref="J147:K147"/>
    <mergeCell ref="L147:M147"/>
    <mergeCell ref="C142:M142"/>
    <mergeCell ref="C143:K143"/>
    <mergeCell ref="C144:E145"/>
    <mergeCell ref="F144:G145"/>
    <mergeCell ref="H144:I145"/>
    <mergeCell ref="J144:K145"/>
    <mergeCell ref="L144:M145"/>
    <mergeCell ref="D138:E138"/>
    <mergeCell ref="H138:I138"/>
    <mergeCell ref="K138:L138"/>
    <mergeCell ref="D139:E139"/>
    <mergeCell ref="H139:I139"/>
    <mergeCell ref="K139:L139"/>
    <mergeCell ref="D135:E135"/>
    <mergeCell ref="H135:I135"/>
    <mergeCell ref="K135:L135"/>
    <mergeCell ref="D136:M136"/>
    <mergeCell ref="D137:E137"/>
    <mergeCell ref="H137:I137"/>
    <mergeCell ref="K137:L137"/>
    <mergeCell ref="D132:M132"/>
    <mergeCell ref="D133:E133"/>
    <mergeCell ref="H133:I133"/>
    <mergeCell ref="K133:L133"/>
    <mergeCell ref="D134:E134"/>
    <mergeCell ref="H134:I134"/>
    <mergeCell ref="K134:L134"/>
    <mergeCell ref="C128:C131"/>
    <mergeCell ref="D128:E131"/>
    <mergeCell ref="F128:F131"/>
    <mergeCell ref="G128:G131"/>
    <mergeCell ref="H128:J129"/>
    <mergeCell ref="K128:M129"/>
    <mergeCell ref="H130:I131"/>
    <mergeCell ref="J130:J131"/>
    <mergeCell ref="K130:L131"/>
    <mergeCell ref="M130:M131"/>
    <mergeCell ref="D124:E124"/>
    <mergeCell ref="H124:I124"/>
    <mergeCell ref="K124:L124"/>
    <mergeCell ref="D125:E125"/>
    <mergeCell ref="H125:I125"/>
    <mergeCell ref="K125:L125"/>
    <mergeCell ref="H121:I121"/>
    <mergeCell ref="K121:L121"/>
    <mergeCell ref="D122:E122"/>
    <mergeCell ref="D123:E123"/>
    <mergeCell ref="H123:I123"/>
    <mergeCell ref="K123:L123"/>
    <mergeCell ref="D119:E119"/>
    <mergeCell ref="H119:I119"/>
    <mergeCell ref="K119:L119"/>
    <mergeCell ref="D120:E120"/>
    <mergeCell ref="H120:I120"/>
    <mergeCell ref="K120:L120"/>
    <mergeCell ref="J115:J116"/>
    <mergeCell ref="K115:L116"/>
    <mergeCell ref="M115:M116"/>
    <mergeCell ref="D117:E117"/>
    <mergeCell ref="D118:E118"/>
    <mergeCell ref="H118:I118"/>
    <mergeCell ref="K118:L118"/>
    <mergeCell ref="D110:E110"/>
    <mergeCell ref="H110:I110"/>
    <mergeCell ref="K110:L110"/>
    <mergeCell ref="C113:C116"/>
    <mergeCell ref="D113:E116"/>
    <mergeCell ref="F113:F116"/>
    <mergeCell ref="G113:G116"/>
    <mergeCell ref="H113:J114"/>
    <mergeCell ref="K113:M114"/>
    <mergeCell ref="H115:I116"/>
    <mergeCell ref="D108:E108"/>
    <mergeCell ref="H108:I108"/>
    <mergeCell ref="K108:L108"/>
    <mergeCell ref="D109:E109"/>
    <mergeCell ref="H109:I109"/>
    <mergeCell ref="K109:L109"/>
    <mergeCell ref="H104:J105"/>
    <mergeCell ref="K104:M105"/>
    <mergeCell ref="H106:I107"/>
    <mergeCell ref="J106:J107"/>
    <mergeCell ref="K106:L107"/>
    <mergeCell ref="M106:M107"/>
    <mergeCell ref="D100:F100"/>
    <mergeCell ref="D101:F101"/>
    <mergeCell ref="C104:C107"/>
    <mergeCell ref="D104:E107"/>
    <mergeCell ref="F104:F107"/>
    <mergeCell ref="G104:G107"/>
    <mergeCell ref="L92:L94"/>
    <mergeCell ref="M92:M94"/>
    <mergeCell ref="C95:D95"/>
    <mergeCell ref="C98:C99"/>
    <mergeCell ref="D98:F99"/>
    <mergeCell ref="G98:I98"/>
    <mergeCell ref="J98:L98"/>
    <mergeCell ref="M98:M99"/>
    <mergeCell ref="F92:F94"/>
    <mergeCell ref="G92:G94"/>
    <mergeCell ref="H92:H94"/>
    <mergeCell ref="I92:I94"/>
    <mergeCell ref="J92:J94"/>
    <mergeCell ref="K92:K94"/>
    <mergeCell ref="C88:D88"/>
    <mergeCell ref="C89:D89"/>
    <mergeCell ref="C90:D90"/>
    <mergeCell ref="C91:D91"/>
    <mergeCell ref="C92:D94"/>
    <mergeCell ref="E92:E94"/>
    <mergeCell ref="J84:J85"/>
    <mergeCell ref="K84:K85"/>
    <mergeCell ref="L84:L85"/>
    <mergeCell ref="M84:M85"/>
    <mergeCell ref="C86:D86"/>
    <mergeCell ref="C87:D87"/>
    <mergeCell ref="C84:D85"/>
    <mergeCell ref="E84:E85"/>
    <mergeCell ref="F84:F85"/>
    <mergeCell ref="G84:G85"/>
    <mergeCell ref="H84:H85"/>
    <mergeCell ref="I84:I85"/>
    <mergeCell ref="J78:J81"/>
    <mergeCell ref="K78:K81"/>
    <mergeCell ref="L78:L81"/>
    <mergeCell ref="M78:M81"/>
    <mergeCell ref="C82:M82"/>
    <mergeCell ref="C83:D83"/>
    <mergeCell ref="J74:J77"/>
    <mergeCell ref="K74:K77"/>
    <mergeCell ref="L74:L77"/>
    <mergeCell ref="M74:M77"/>
    <mergeCell ref="C78:D81"/>
    <mergeCell ref="E78:E81"/>
    <mergeCell ref="F78:F81"/>
    <mergeCell ref="G78:G81"/>
    <mergeCell ref="H78:H81"/>
    <mergeCell ref="I78:I81"/>
    <mergeCell ref="C70:M70"/>
    <mergeCell ref="C71:D71"/>
    <mergeCell ref="C72:D72"/>
    <mergeCell ref="C73:M73"/>
    <mergeCell ref="C74:D77"/>
    <mergeCell ref="E74:E77"/>
    <mergeCell ref="F74:F77"/>
    <mergeCell ref="G74:G77"/>
    <mergeCell ref="H74:H77"/>
    <mergeCell ref="I74:I77"/>
    <mergeCell ref="K65:K66"/>
    <mergeCell ref="L65:L66"/>
    <mergeCell ref="M65:M66"/>
    <mergeCell ref="C67:D67"/>
    <mergeCell ref="C68:D68"/>
    <mergeCell ref="C69:M69"/>
    <mergeCell ref="M61:M62"/>
    <mergeCell ref="C63:D63"/>
    <mergeCell ref="C64:D64"/>
    <mergeCell ref="C65:D66"/>
    <mergeCell ref="E65:E66"/>
    <mergeCell ref="F65:F66"/>
    <mergeCell ref="G65:G66"/>
    <mergeCell ref="H65:H66"/>
    <mergeCell ref="I65:I66"/>
    <mergeCell ref="J65:J66"/>
    <mergeCell ref="G61:G62"/>
    <mergeCell ref="H61:H62"/>
    <mergeCell ref="I61:I62"/>
    <mergeCell ref="J61:J62"/>
    <mergeCell ref="K61:K62"/>
    <mergeCell ref="L61:L62"/>
    <mergeCell ref="C58:D58"/>
    <mergeCell ref="C59:D59"/>
    <mergeCell ref="C60:D60"/>
    <mergeCell ref="C61:D62"/>
    <mergeCell ref="E61:E62"/>
    <mergeCell ref="F61:F62"/>
    <mergeCell ref="C52:D52"/>
    <mergeCell ref="C53:D53"/>
    <mergeCell ref="C54:M54"/>
    <mergeCell ref="C55:M55"/>
    <mergeCell ref="C56:M56"/>
    <mergeCell ref="C57:D57"/>
    <mergeCell ref="C46:D46"/>
    <mergeCell ref="C47:M47"/>
    <mergeCell ref="C48:D48"/>
    <mergeCell ref="C49:D49"/>
    <mergeCell ref="C50:D50"/>
    <mergeCell ref="C51:D51"/>
    <mergeCell ref="C40:D40"/>
    <mergeCell ref="C41:D41"/>
    <mergeCell ref="C42:D42"/>
    <mergeCell ref="C43:D43"/>
    <mergeCell ref="C44:D44"/>
    <mergeCell ref="C45:D45"/>
    <mergeCell ref="C35:D37"/>
    <mergeCell ref="E35:H36"/>
    <mergeCell ref="I35:L36"/>
    <mergeCell ref="M35:M37"/>
    <mergeCell ref="C38:M38"/>
    <mergeCell ref="C39:M39"/>
    <mergeCell ref="D30:G30"/>
    <mergeCell ref="H30:I30"/>
    <mergeCell ref="J30:K30"/>
    <mergeCell ref="C32:M32"/>
    <mergeCell ref="C33:M33"/>
    <mergeCell ref="C34:M34"/>
    <mergeCell ref="D28:G28"/>
    <mergeCell ref="H28:I28"/>
    <mergeCell ref="J28:K28"/>
    <mergeCell ref="D29:G29"/>
    <mergeCell ref="H29:I29"/>
    <mergeCell ref="J29:K29"/>
    <mergeCell ref="D22:I22"/>
    <mergeCell ref="J22:K22"/>
    <mergeCell ref="L22:M22"/>
    <mergeCell ref="C24:M24"/>
    <mergeCell ref="C25:C27"/>
    <mergeCell ref="D25:G27"/>
    <mergeCell ref="H25:I27"/>
    <mergeCell ref="J25:K27"/>
    <mergeCell ref="L25:L27"/>
    <mergeCell ref="M25:M27"/>
    <mergeCell ref="C18:M18"/>
    <mergeCell ref="C19:M19"/>
    <mergeCell ref="C20:C21"/>
    <mergeCell ref="D20:I21"/>
    <mergeCell ref="J20:K21"/>
    <mergeCell ref="L20:M21"/>
    <mergeCell ref="D12:G13"/>
    <mergeCell ref="H12:M13"/>
    <mergeCell ref="D14:G14"/>
    <mergeCell ref="H14:M14"/>
    <mergeCell ref="D15:G16"/>
    <mergeCell ref="H15:M16"/>
    <mergeCell ref="D9:G9"/>
    <mergeCell ref="H9:M9"/>
    <mergeCell ref="D10:G10"/>
    <mergeCell ref="H10:M10"/>
    <mergeCell ref="D11:G11"/>
    <mergeCell ref="H11:M11"/>
    <mergeCell ref="C2:M2"/>
    <mergeCell ref="C3:M3"/>
    <mergeCell ref="C4:M4"/>
    <mergeCell ref="C5:M5"/>
    <mergeCell ref="C7:M7"/>
    <mergeCell ref="D8:G8"/>
    <mergeCell ref="H8:M8"/>
  </mergeCells>
  <dataValidations disablePrompts="1" count="2">
    <dataValidation type="list" allowBlank="1" showInputMessage="1" showErrorMessage="1" sqref="G109 G138 G134" xr:uid="{00000000-0002-0000-1400-000000000000}">
      <formula1>"Transfer, Allotment"</formula1>
    </dataValidation>
    <dataValidation type="list" allowBlank="1" showInputMessage="1" showErrorMessage="1" sqref="G119:G125" xr:uid="{00000000-0002-0000-1400-000001000000}">
      <formula1>"Allot, Bonus, Transfer"</formula1>
    </dataValidation>
  </dataValidations>
  <pageMargins left="0.70866141732283505" right="0.70866141732283505" top="0.74803149606299202" bottom="0.74803149606299202" header="0.31496062992126" footer="0.31496062992126"/>
  <pageSetup paperSize="9" scale="62" fitToHeight="0" orientation="portrait" blackAndWhite="1" r:id="rId1"/>
  <rowBreaks count="3" manualBreakCount="3">
    <brk id="96" min="1" max="13" man="1"/>
    <brk id="141" min="1" max="13" man="1"/>
    <brk id="187" min="1" max="1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C1:N20"/>
  <sheetViews>
    <sheetView showGridLines="0" view="pageBreakPreview" topLeftCell="A2" zoomScale="90" zoomScaleSheetLayoutView="90" workbookViewId="0">
      <selection activeCell="C9" sqref="B9:M10"/>
    </sheetView>
  </sheetViews>
  <sheetFormatPr defaultColWidth="9.140625" defaultRowHeight="14.25"/>
  <cols>
    <col min="1" max="1" width="9.140625" style="749"/>
    <col min="2" max="2" width="2.28515625" style="749" customWidth="1"/>
    <col min="3" max="3" width="4" style="749" customWidth="1"/>
    <col min="4" max="4" width="5.5703125" style="749" customWidth="1"/>
    <col min="5" max="11" width="19.28515625" style="749" customWidth="1"/>
    <col min="12" max="12" width="2" style="749" customWidth="1"/>
    <col min="13" max="13" width="5.7109375" style="749" customWidth="1"/>
    <col min="14" max="16384" width="9.140625" style="749"/>
  </cols>
  <sheetData>
    <row r="1" spans="3:14">
      <c r="K1" s="824" t="s">
        <v>1508</v>
      </c>
      <c r="N1" s="825" t="s">
        <v>1509</v>
      </c>
    </row>
    <row r="2" spans="3:14">
      <c r="C2" s="1471" t="s">
        <v>1510</v>
      </c>
      <c r="D2" s="1471"/>
      <c r="E2" s="1471"/>
      <c r="F2" s="1471"/>
      <c r="G2" s="1471"/>
      <c r="H2" s="1471"/>
      <c r="I2" s="1471"/>
      <c r="J2" s="1471"/>
      <c r="K2" s="1471"/>
      <c r="N2" s="749" t="s">
        <v>1511</v>
      </c>
    </row>
    <row r="3" spans="3:14">
      <c r="C3" s="1472" t="s">
        <v>1512</v>
      </c>
      <c r="D3" s="1472"/>
      <c r="E3" s="1472"/>
      <c r="F3" s="1472"/>
      <c r="G3" s="1472"/>
      <c r="H3" s="1472"/>
      <c r="I3" s="1472"/>
      <c r="J3" s="1472"/>
      <c r="K3" s="1472"/>
      <c r="N3" s="683" t="s">
        <v>1513</v>
      </c>
    </row>
    <row r="4" spans="3:14">
      <c r="C4" s="1472"/>
      <c r="D4" s="1472"/>
      <c r="E4" s="1472"/>
      <c r="F4" s="1472"/>
      <c r="G4" s="1472"/>
      <c r="H4" s="1472"/>
      <c r="I4" s="1472"/>
      <c r="J4" s="1472"/>
      <c r="K4" s="1472"/>
      <c r="N4" s="683" t="s">
        <v>1514</v>
      </c>
    </row>
    <row r="5" spans="3:14">
      <c r="C5" s="1473" t="s">
        <v>1515</v>
      </c>
      <c r="D5" s="1473"/>
      <c r="E5" s="1473"/>
      <c r="F5" s="1473"/>
      <c r="G5" s="1473"/>
      <c r="H5" s="1473"/>
      <c r="I5" s="1473"/>
      <c r="J5" s="1473"/>
      <c r="K5" s="1473"/>
      <c r="N5" s="683" t="s">
        <v>1516</v>
      </c>
    </row>
    <row r="6" spans="3:14">
      <c r="N6" s="683" t="s">
        <v>1517</v>
      </c>
    </row>
    <row r="7" spans="3:14">
      <c r="C7" s="826" t="s">
        <v>1029</v>
      </c>
      <c r="D7" s="1474" t="s">
        <v>1518</v>
      </c>
      <c r="E7" s="1474"/>
      <c r="F7" s="1474"/>
      <c r="G7" s="1474"/>
      <c r="H7" s="1474"/>
      <c r="I7" s="1474"/>
      <c r="J7" s="1474"/>
      <c r="K7" s="1474"/>
      <c r="N7" s="683" t="s">
        <v>1519</v>
      </c>
    </row>
    <row r="8" spans="3:14" ht="34.5" customHeight="1">
      <c r="C8" s="827"/>
      <c r="D8" s="1475" t="str">
        <f>"There were no contracts or arrangements or transactions entered into during the year ended "&amp;TEXT(Master!B5,"dd mmmm yyyy")&amp;", which were not at arms length basis."</f>
        <v>There were no contracts or arrangements or transactions entered into during the year ended 31 March 2023, which were not at arms length basis.</v>
      </c>
      <c r="E8" s="1476"/>
      <c r="F8" s="1476"/>
      <c r="G8" s="1476"/>
      <c r="H8" s="1476"/>
      <c r="I8" s="1476"/>
      <c r="J8" s="1476"/>
      <c r="K8" s="1476"/>
      <c r="N8" s="683" t="s">
        <v>1520</v>
      </c>
    </row>
    <row r="9" spans="3:14">
      <c r="C9" s="827"/>
      <c r="D9" s="828"/>
      <c r="E9" s="829"/>
      <c r="F9" s="829"/>
      <c r="G9" s="829"/>
      <c r="H9" s="829"/>
      <c r="I9" s="829"/>
      <c r="J9" s="829"/>
      <c r="K9" s="829"/>
      <c r="N9" s="683" t="s">
        <v>1521</v>
      </c>
    </row>
    <row r="10" spans="3:14">
      <c r="C10" s="826" t="s">
        <v>1031</v>
      </c>
      <c r="D10" s="1474" t="s">
        <v>1522</v>
      </c>
      <c r="E10" s="1474"/>
      <c r="F10" s="1474"/>
      <c r="G10" s="1474"/>
      <c r="H10" s="1474"/>
      <c r="I10" s="1474"/>
      <c r="J10" s="1474"/>
      <c r="K10" s="1474"/>
    </row>
    <row r="11" spans="3:14" ht="32.25" customHeight="1">
      <c r="C11" s="827"/>
      <c r="D11" s="1469" t="str">
        <f>"The details of material contracts or arrangements or transactions entered into during the year ended "&amp;TEXT(Master!B5,"dd mmmm yyyy")&amp;", which were at arms length basis."</f>
        <v>The details of material contracts or arrangements or transactions entered into during the year ended 31 March 2023, which were at arms length basis.</v>
      </c>
      <c r="E11" s="1470"/>
      <c r="F11" s="1470"/>
      <c r="G11" s="1470"/>
      <c r="H11" s="1470"/>
      <c r="I11" s="1470"/>
      <c r="J11" s="1470"/>
      <c r="K11" s="1470"/>
    </row>
    <row r="12" spans="3:14">
      <c r="D12" s="827"/>
      <c r="E12" s="827"/>
      <c r="F12" s="827"/>
      <c r="G12" s="827"/>
      <c r="H12" s="827"/>
      <c r="I12" s="827"/>
      <c r="J12" s="827"/>
      <c r="K12" s="827"/>
    </row>
    <row r="13" spans="3:14" s="830" customFormat="1" ht="102" customHeight="1">
      <c r="D13" s="831" t="s">
        <v>441</v>
      </c>
      <c r="E13" s="831" t="s">
        <v>1523</v>
      </c>
      <c r="F13" s="831" t="s">
        <v>1524</v>
      </c>
      <c r="G13" s="831" t="s">
        <v>1525</v>
      </c>
      <c r="H13" s="831" t="s">
        <v>1526</v>
      </c>
      <c r="I13" s="832" t="s">
        <v>1527</v>
      </c>
      <c r="J13" s="832" t="s">
        <v>1528</v>
      </c>
      <c r="K13" s="832" t="s">
        <v>1529</v>
      </c>
    </row>
    <row r="14" spans="3:14" ht="37.5" customHeight="1">
      <c r="D14" s="833">
        <v>1</v>
      </c>
      <c r="E14" s="833"/>
      <c r="F14" s="833"/>
      <c r="G14" s="834"/>
      <c r="H14" s="833"/>
      <c r="I14" s="833" t="s">
        <v>1270</v>
      </c>
      <c r="J14" s="833"/>
      <c r="K14" s="833" t="s">
        <v>1168</v>
      </c>
    </row>
    <row r="15" spans="3:14" ht="37.5" customHeight="1">
      <c r="D15" s="833">
        <v>2</v>
      </c>
      <c r="E15" s="833"/>
      <c r="F15" s="833"/>
      <c r="G15" s="834"/>
      <c r="H15" s="833"/>
      <c r="I15" s="833" t="s">
        <v>1270</v>
      </c>
      <c r="J15" s="833"/>
      <c r="K15" s="833" t="s">
        <v>1168</v>
      </c>
    </row>
    <row r="16" spans="3:14" ht="37.5" customHeight="1">
      <c r="D16" s="833">
        <v>3</v>
      </c>
      <c r="E16" s="833"/>
      <c r="F16" s="833"/>
      <c r="G16" s="834"/>
      <c r="H16" s="833"/>
      <c r="I16" s="833" t="s">
        <v>1270</v>
      </c>
      <c r="J16" s="833"/>
      <c r="K16" s="833" t="s">
        <v>1168</v>
      </c>
    </row>
    <row r="17" spans="4:11" ht="37.5" customHeight="1">
      <c r="D17" s="833">
        <v>4</v>
      </c>
      <c r="E17" s="833"/>
      <c r="F17" s="833"/>
      <c r="G17" s="834"/>
      <c r="H17" s="833"/>
      <c r="I17" s="833" t="s">
        <v>1270</v>
      </c>
      <c r="J17" s="833"/>
      <c r="K17" s="833" t="s">
        <v>1168</v>
      </c>
    </row>
    <row r="18" spans="4:11" ht="37.5" customHeight="1">
      <c r="D18" s="833">
        <v>5</v>
      </c>
      <c r="E18" s="833"/>
      <c r="F18" s="833"/>
      <c r="G18" s="834"/>
      <c r="H18" s="833"/>
      <c r="I18" s="833" t="s">
        <v>1270</v>
      </c>
      <c r="J18" s="833"/>
      <c r="K18" s="833" t="s">
        <v>1168</v>
      </c>
    </row>
    <row r="19" spans="4:11">
      <c r="D19" s="827"/>
      <c r="E19" s="827"/>
      <c r="F19" s="827"/>
      <c r="G19" s="827"/>
      <c r="H19" s="827"/>
      <c r="I19" s="827"/>
      <c r="J19" s="827"/>
      <c r="K19" s="827"/>
    </row>
    <row r="20" spans="4:11">
      <c r="D20" s="827"/>
      <c r="E20" s="827"/>
      <c r="F20" s="827"/>
      <c r="G20" s="827"/>
      <c r="H20" s="827"/>
      <c r="I20" s="827"/>
      <c r="J20" s="827"/>
      <c r="K20" s="827"/>
    </row>
  </sheetData>
  <mergeCells count="7">
    <mergeCell ref="D11:K11"/>
    <mergeCell ref="C2:K2"/>
    <mergeCell ref="C3:K4"/>
    <mergeCell ref="C5:K5"/>
    <mergeCell ref="D7:K7"/>
    <mergeCell ref="D8:K8"/>
    <mergeCell ref="D10:K10"/>
  </mergeCells>
  <pageMargins left="0.70866141732283505" right="0.70866141732283505" top="0.74803149606299202" bottom="0.74803149606299202" header="0.31496062992126" footer="0.31496062992126"/>
  <pageSetup paperSize="9" scale="90" orientation="landscape"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AC28"/>
  <sheetViews>
    <sheetView showGridLines="0" view="pageBreakPreview" topLeftCell="A5" zoomScaleSheetLayoutView="100" workbookViewId="0">
      <selection activeCell="D10" sqref="D10:K10"/>
    </sheetView>
  </sheetViews>
  <sheetFormatPr defaultColWidth="9.140625" defaultRowHeight="14.25"/>
  <cols>
    <col min="1" max="1" width="9.140625" style="740"/>
    <col min="2" max="2" width="2.7109375" style="740" customWidth="1"/>
    <col min="3" max="3" width="6.28515625" style="924" customWidth="1"/>
    <col min="4" max="4" width="3.5703125" style="924" customWidth="1"/>
    <col min="5" max="5" width="14.28515625" style="924" customWidth="1"/>
    <col min="6" max="6" width="13.85546875" style="924" customWidth="1"/>
    <col min="7" max="7" width="24.28515625" style="924" customWidth="1"/>
    <col min="8" max="8" width="24" style="924" customWidth="1"/>
    <col min="9" max="9" width="2.85546875" style="924" customWidth="1"/>
    <col min="10" max="10" width="2.42578125" style="740" customWidth="1"/>
    <col min="11" max="11" width="5.7109375" style="740" customWidth="1"/>
    <col min="12" max="13" width="3.7109375" style="740" customWidth="1"/>
    <col min="14" max="14" width="2.42578125" style="740" customWidth="1"/>
    <col min="15" max="16" width="17.140625" style="740" customWidth="1"/>
    <col min="17" max="18" width="24.85546875" style="740" customWidth="1"/>
    <col min="19" max="19" width="3.42578125" style="740" customWidth="1"/>
    <col min="20" max="22" width="5.140625" style="740" customWidth="1"/>
    <col min="23" max="23" width="2.42578125" style="740" customWidth="1"/>
    <col min="24" max="25" width="17.140625" style="740" customWidth="1"/>
    <col min="26" max="27" width="24.85546875" style="740" customWidth="1"/>
    <col min="28" max="28" width="3.42578125" style="740" customWidth="1"/>
    <col min="29" max="29" width="10" style="740" customWidth="1"/>
    <col min="30" max="16384" width="9.140625" style="740"/>
  </cols>
  <sheetData>
    <row r="1" spans="2:29">
      <c r="B1" s="924"/>
      <c r="C1" s="1183" t="str">
        <f>Master!B10</f>
        <v>ABC PRIVATE LIMITED</v>
      </c>
      <c r="D1" s="1183"/>
      <c r="E1" s="1183"/>
      <c r="F1" s="1183"/>
      <c r="G1" s="1183"/>
      <c r="H1" s="1183"/>
      <c r="I1" s="1183"/>
      <c r="J1" s="924"/>
    </row>
    <row r="2" spans="2:29" ht="16.5" customHeight="1">
      <c r="B2" s="924"/>
      <c r="C2" s="1478" t="str">
        <f>Master!B11</f>
        <v>B-2, XXXXXXXXXXXX XXXXXXXXXXX0034</v>
      </c>
      <c r="D2" s="1478"/>
      <c r="E2" s="1478"/>
      <c r="F2" s="1478"/>
      <c r="G2" s="1478"/>
      <c r="H2" s="1478"/>
      <c r="I2" s="1478"/>
      <c r="J2" s="924"/>
    </row>
    <row r="3" spans="2:29" ht="16.5" customHeight="1">
      <c r="B3" s="924"/>
      <c r="C3" s="1478" t="str">
        <f>"CIN: "&amp;Master!B12&amp;""</f>
        <v>CIN: U7XXXXXXXXXXXXXXXXX52</v>
      </c>
      <c r="D3" s="1478"/>
      <c r="E3" s="1478"/>
      <c r="F3" s="1478"/>
      <c r="G3" s="1478"/>
      <c r="H3" s="1478"/>
      <c r="I3" s="1478"/>
      <c r="J3" s="924"/>
    </row>
    <row r="4" spans="2:29">
      <c r="B4" s="924"/>
      <c r="C4" s="685"/>
      <c r="D4" s="685"/>
      <c r="E4" s="685"/>
      <c r="F4" s="685"/>
      <c r="G4" s="685"/>
      <c r="H4" s="685"/>
      <c r="I4" s="685"/>
      <c r="J4" s="924"/>
    </row>
    <row r="5" spans="2:29">
      <c r="B5" s="924"/>
      <c r="C5" s="1479" t="s">
        <v>1530</v>
      </c>
      <c r="D5" s="1479"/>
      <c r="E5" s="1479"/>
      <c r="F5" s="1479"/>
      <c r="G5" s="1479"/>
      <c r="H5" s="1479"/>
      <c r="I5" s="1479"/>
      <c r="J5" s="924"/>
    </row>
    <row r="6" spans="2:29">
      <c r="B6" s="924"/>
      <c r="J6" s="924"/>
    </row>
    <row r="7" spans="2:29" ht="45.75" customHeight="1">
      <c r="B7" s="924"/>
      <c r="C7" s="1191" t="str">
        <f>"Notice is hereby given that the "&amp;Master!B40&amp;"st Annual General Meeting of the Shareholders of the Company will be held on "&amp;Master!D41&amp;", "&amp;Master!C41&amp;" at "&amp;TEXT(Master!B42, "hh:mm AM/PM")&amp;" at "&amp;Master!B11&amp;", to transact the following business:"</f>
        <v>Notice is hereby given that the 18st Annual General Meeting of the Shareholders of the Company will be held on Saturday, 30-Sep-2023 at 03:30 PM at B-2, XXXXXXXXXXXX XXXXXXXXXXX0034, to transact the following business:</v>
      </c>
      <c r="D7" s="1191"/>
      <c r="E7" s="1191"/>
      <c r="F7" s="1191"/>
      <c r="G7" s="1191"/>
      <c r="H7" s="1191"/>
      <c r="I7" s="1191"/>
      <c r="J7" s="924"/>
    </row>
    <row r="8" spans="2:29">
      <c r="B8" s="924"/>
      <c r="J8" s="924"/>
    </row>
    <row r="9" spans="2:29">
      <c r="B9" s="924"/>
      <c r="C9" s="1477" t="s">
        <v>1531</v>
      </c>
      <c r="D9" s="1477"/>
      <c r="E9" s="1477"/>
      <c r="F9" s="1477"/>
      <c r="G9" s="1477"/>
      <c r="H9" s="1477"/>
      <c r="I9" s="1477"/>
      <c r="J9" s="924"/>
    </row>
    <row r="10" spans="2:29" ht="54" customHeight="1">
      <c r="B10" s="924"/>
      <c r="C10" s="962" t="s">
        <v>1029</v>
      </c>
      <c r="D10" s="1191" t="str">
        <f>CONCATENATE("To receive, consider and adopt the Audited Balance Sheet as on 31st March, "&amp;YEAR(Master!B5)&amp;" and Profit &amp; Loss Account for the"," period ended on 31st March, "&amp;YEAR(Master!B5)&amp;" together with the Notes attached thereto along with the Reports of the Board of Directors and Auditors thereon.")</f>
        <v>To receive, consider and adopt the Audited Balance Sheet as on 31st March, 2023 and Profit &amp; Loss Account for the period ended on 31st March, 2023 together with the Notes attached thereto along with the Reports of the Board of Directors and Auditors thereon.</v>
      </c>
      <c r="E10" s="1191"/>
      <c r="F10" s="1191"/>
      <c r="G10" s="1191"/>
      <c r="H10" s="1191"/>
      <c r="I10" s="1191"/>
      <c r="J10" s="924"/>
    </row>
    <row r="11" spans="2:29">
      <c r="B11" s="924"/>
      <c r="C11" s="962"/>
      <c r="D11" s="926"/>
      <c r="E11" s="926"/>
      <c r="F11" s="926"/>
      <c r="G11" s="926"/>
      <c r="H11" s="926"/>
      <c r="I11" s="926"/>
      <c r="J11" s="924"/>
    </row>
    <row r="12" spans="2:29" ht="27.75" customHeight="1">
      <c r="B12" s="924"/>
      <c r="C12" s="962" t="s">
        <v>1031</v>
      </c>
      <c r="D12" s="1191" t="s">
        <v>1532</v>
      </c>
      <c r="E12" s="1191"/>
      <c r="F12" s="1191"/>
      <c r="G12" s="1191"/>
      <c r="H12" s="1191"/>
      <c r="I12" s="1191"/>
      <c r="J12" s="924"/>
      <c r="N12" s="1254" t="s">
        <v>1532</v>
      </c>
      <c r="O12" s="1254"/>
      <c r="P12" s="1254"/>
      <c r="Q12" s="1254"/>
      <c r="R12" s="1254"/>
      <c r="S12" s="1254"/>
      <c r="W12" s="1254" t="s">
        <v>1532</v>
      </c>
      <c r="X12" s="1254"/>
      <c r="Y12" s="1254"/>
      <c r="Z12" s="1254"/>
      <c r="AA12" s="1254"/>
      <c r="AB12" s="1254"/>
      <c r="AC12" s="741"/>
    </row>
    <row r="13" spans="2:29" ht="15" customHeight="1">
      <c r="B13" s="924"/>
      <c r="C13" s="962"/>
      <c r="D13" s="926"/>
      <c r="E13" s="920" t="s">
        <v>1533</v>
      </c>
      <c r="F13" s="963"/>
      <c r="G13" s="963"/>
      <c r="H13" s="963"/>
      <c r="I13" s="926"/>
      <c r="J13" s="924"/>
      <c r="N13" s="741"/>
      <c r="O13" s="709" t="str">
        <f>"Appointment of "&amp;Master!B34&amp;" as "&amp;Master!G34&amp;" of the Company"</f>
        <v>Appointment of Director 1 as  of the Company</v>
      </c>
      <c r="P13" s="709"/>
      <c r="Q13" s="709"/>
      <c r="R13" s="709"/>
      <c r="S13" s="741"/>
      <c r="W13" s="741"/>
      <c r="X13" s="709" t="str">
        <f>"Appointment of "&amp;Master!B36&amp;" as "&amp;Master!G36&amp;" of the Company"</f>
        <v>Appointment of Director 2 as Non-Executive Director of the Company</v>
      </c>
      <c r="Y13" s="709"/>
      <c r="Z13" s="709"/>
      <c r="AA13" s="709"/>
      <c r="AB13" s="741"/>
      <c r="AC13" s="741"/>
    </row>
    <row r="14" spans="2:29" ht="130.5" customHeight="1">
      <c r="B14" s="924"/>
      <c r="E14" s="1191" t="s">
        <v>1534</v>
      </c>
      <c r="F14" s="1191"/>
      <c r="G14" s="1191"/>
      <c r="H14" s="1191"/>
      <c r="J14" s="924"/>
      <c r="O14" s="1254" t="str">
        <f>CONCATENATE("RESOLVED THAT pursuant to the provisions of Section 149, 152, 160 and all other applicable provisions of the Companies Act, 2013 (the Act) and the Companies (Appointment and Qualification of Directors) Rules, 2014 (including any statutory modification(s)", "or re-enactment thereof for the time being in force), Articles of Association of the Company and other applicable laws, "&amp;Master!B34&amp;" (having DIN:"&amp;Master!B35&amp;"), who was appointed as Additional Director of the Company w.e.f. "&amp;TEXT(Master!E34, "dd-mmm-yyyy")&amp;", by the Board of Directors of the Company,"," and who holds office only upto the date of the ensuing Annual General Meeting of the Company be and is hereby appointed as "&amp;Master!G34&amp;" of the Company.")</f>
        <v>RESOLVED THAT pursuant to the provisions of Section 149, 152, 160 and all other applicable provisions of the Companies Act, 2013 (the Act) and the Companies (Appointment and Qualification of Directors) Rules, 2014 (including any statutory modification(s)or re-enactment thereof for the time being in force), Articles of Association of the Company and other applicable laws, Director 1 (having DIN:00XXXX70), who was appointed as Additional Director of the Company w.e.f. 00-Jan-1900, by the Board of Directors of the Company, and who holds office only upto the date of the ensuing Annual General Meeting of the Company be and is hereby appointed as  of the Company.</v>
      </c>
      <c r="P14" s="1254"/>
      <c r="Q14" s="1254"/>
      <c r="R14" s="1254"/>
      <c r="X14" s="1254" t="str">
        <f>CONCATENATE("RESOLVED THAT pursuant to the provisions of Section 149, 152, 160 and all other applicable provisions of the Companies Act, 2013 (the Act) and the Companies (Appointment and Qualification of Directors) Rules, 2014 (including any statutory modification(s)", "or re-enactment thereof for the time being in force), Articles of Association of the Company and other applicable laws, "&amp;Master!B36&amp;" (having DIN:"&amp;Master!B37&amp;"), who was appointed as Additional Director of the Company w.e.f. "&amp;TEXT(Master!E36, "dd-mmm-yyyy")&amp;", by the Board of Directors of the Company,"," and who holds office only upto the date of the ensuing Annual General Meeting of the Company be and is hereby appointed as "&amp;Master!G36&amp;" of the Company.")</f>
        <v>RESOLVED THAT pursuant to the provisions of Section 149, 152, 160 and all other applicable provisions of the Companies Act, 2013 (the Act) and the Companies (Appointment and Qualification of Directors) Rules, 2014 (including any statutory modification(s)or re-enactment thereof for the time being in force), Articles of Association of the Company and other applicable laws, Director 2 (having DIN:00XXXX70), who was appointed as Additional Director of the Company w.e.f. 25-Mar-2019, by the Board of Directors of the Company, and who holds office only upto the date of the ensuing Annual General Meeting of the Company be and is hereby appointed as Non-Executive Director of the Company.</v>
      </c>
      <c r="Y14" s="1254"/>
      <c r="Z14" s="1254"/>
      <c r="AA14" s="1254"/>
    </row>
    <row r="15" spans="2:29">
      <c r="B15" s="924"/>
      <c r="J15" s="924"/>
    </row>
    <row r="16" spans="2:29">
      <c r="B16" s="924"/>
      <c r="J16" s="924"/>
    </row>
    <row r="17" spans="2:10">
      <c r="B17" s="924"/>
      <c r="C17" s="964" t="s">
        <v>1535</v>
      </c>
      <c r="D17" s="965"/>
      <c r="E17" s="965"/>
      <c r="F17" s="965"/>
      <c r="J17" s="924"/>
    </row>
    <row r="18" spans="2:10">
      <c r="B18" s="924"/>
      <c r="C18" s="966" t="str">
        <f>$C$1</f>
        <v>ABC PRIVATE LIMITED</v>
      </c>
      <c r="D18" s="967"/>
      <c r="E18" s="967"/>
      <c r="F18" s="965"/>
      <c r="J18" s="924"/>
    </row>
    <row r="19" spans="2:10">
      <c r="B19" s="924"/>
      <c r="C19" s="964"/>
      <c r="D19" s="965"/>
      <c r="E19" s="965"/>
      <c r="F19" s="965"/>
      <c r="J19" s="924"/>
    </row>
    <row r="20" spans="2:10">
      <c r="B20" s="924"/>
      <c r="C20" s="964"/>
      <c r="D20" s="965"/>
      <c r="E20" s="965"/>
      <c r="F20" s="965"/>
      <c r="J20" s="924"/>
    </row>
    <row r="21" spans="2:10">
      <c r="B21" s="924"/>
      <c r="C21" s="964"/>
      <c r="D21" s="965"/>
      <c r="E21" s="965"/>
      <c r="F21" s="965"/>
      <c r="J21" s="924"/>
    </row>
    <row r="22" spans="2:10">
      <c r="B22" s="924"/>
      <c r="C22" s="964"/>
      <c r="D22" s="965"/>
      <c r="E22" s="965"/>
      <c r="F22" s="965"/>
      <c r="J22" s="924"/>
    </row>
    <row r="23" spans="2:10">
      <c r="B23" s="924"/>
      <c r="C23" s="968" t="str">
        <f>Master!$B$34</f>
        <v>Director 1</v>
      </c>
      <c r="D23" s="968"/>
      <c r="E23" s="969"/>
      <c r="F23" s="970" t="str">
        <f>Master!$B$36</f>
        <v>Director 2</v>
      </c>
      <c r="J23" s="924"/>
    </row>
    <row r="24" spans="2:10">
      <c r="B24" s="924"/>
      <c r="C24" s="971" t="str">
        <f>"DIN: "&amp;Master!$B$35&amp;""</f>
        <v>DIN: 00XXXX70</v>
      </c>
      <c r="D24" s="971"/>
      <c r="E24" s="972"/>
      <c r="F24" s="973" t="str">
        <f>"DIN: "&amp;Master!$B$37&amp;""</f>
        <v>DIN: 00XXXX70</v>
      </c>
      <c r="J24" s="924"/>
    </row>
    <row r="25" spans="2:10">
      <c r="B25" s="924"/>
      <c r="C25" s="971" t="s">
        <v>1536</v>
      </c>
      <c r="D25" s="971"/>
      <c r="E25" s="972"/>
      <c r="F25" s="973" t="s">
        <v>1536</v>
      </c>
      <c r="J25" s="924"/>
    </row>
    <row r="26" spans="2:10">
      <c r="B26" s="924"/>
      <c r="C26" s="972"/>
      <c r="D26" s="972"/>
      <c r="E26" s="972"/>
      <c r="F26" s="973"/>
      <c r="J26" s="924"/>
    </row>
    <row r="27" spans="2:10">
      <c r="B27" s="924"/>
      <c r="C27" s="971" t="e">
        <f>"Place: "&amp;Master!#REF!&amp;""</f>
        <v>#REF!</v>
      </c>
      <c r="J27" s="924"/>
    </row>
    <row r="28" spans="2:10">
      <c r="B28" s="924"/>
      <c r="C28" s="972" t="e">
        <f>"Date : "&amp;Master!#REF!&amp;""</f>
        <v>#REF!</v>
      </c>
      <c r="J28" s="924"/>
    </row>
  </sheetData>
  <mergeCells count="13">
    <mergeCell ref="D10:I10"/>
    <mergeCell ref="D12:I12"/>
    <mergeCell ref="N12:S12"/>
    <mergeCell ref="W12:AB12"/>
    <mergeCell ref="E14:H14"/>
    <mergeCell ref="O14:R14"/>
    <mergeCell ref="X14:AA14"/>
    <mergeCell ref="C9:I9"/>
    <mergeCell ref="C1:I1"/>
    <mergeCell ref="C2:I2"/>
    <mergeCell ref="C3:I3"/>
    <mergeCell ref="C5:I5"/>
    <mergeCell ref="C7:I7"/>
  </mergeCells>
  <pageMargins left="0.70866141732283505" right="0.70866141732283505" top="0.74803149606299202" bottom="0.74803149606299202" header="0.31496062992126" footer="0.31496062992126"/>
  <pageSetup paperSize="9" scale="92"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C1:AB24"/>
  <sheetViews>
    <sheetView showGridLines="0" view="pageBreakPreview" topLeftCell="A2" zoomScaleSheetLayoutView="100" workbookViewId="0">
      <selection activeCell="D10" sqref="D10:K10"/>
    </sheetView>
  </sheetViews>
  <sheetFormatPr defaultColWidth="9.140625" defaultRowHeight="14.25"/>
  <cols>
    <col min="1" max="1" width="9.140625" style="740"/>
    <col min="2" max="2" width="2.7109375" style="740" customWidth="1"/>
    <col min="3" max="4" width="0.85546875" style="740" customWidth="1"/>
    <col min="5" max="5" width="20.7109375" style="740" customWidth="1"/>
    <col min="6" max="6" width="13.85546875" style="740" customWidth="1"/>
    <col min="7" max="7" width="24.28515625" style="740" customWidth="1"/>
    <col min="8" max="8" width="24" style="740" customWidth="1"/>
    <col min="9" max="9" width="2.5703125" style="740" customWidth="1"/>
    <col min="10" max="10" width="2.42578125" style="740" customWidth="1"/>
    <col min="11" max="11" width="9.140625" style="740"/>
    <col min="12" max="12" width="2.7109375" style="740" customWidth="1"/>
    <col min="13" max="14" width="0.85546875" style="740" customWidth="1"/>
    <col min="15" max="15" width="15.5703125" style="740" customWidth="1"/>
    <col min="16" max="16" width="13.85546875" style="740" customWidth="1"/>
    <col min="17" max="17" width="24.28515625" style="740" customWidth="1"/>
    <col min="18" max="18" width="24" style="740" customWidth="1"/>
    <col min="19" max="19" width="2.5703125" style="740" customWidth="1"/>
    <col min="20" max="20" width="2.42578125" style="740" customWidth="1"/>
    <col min="21" max="21" width="9.140625" style="740"/>
    <col min="22" max="23" width="0.85546875" style="740" customWidth="1"/>
    <col min="24" max="24" width="21.7109375" style="740" customWidth="1"/>
    <col min="25" max="25" width="13.140625" style="740" customWidth="1"/>
    <col min="26" max="26" width="24.28515625" style="740" customWidth="1"/>
    <col min="27" max="27" width="24" style="740" customWidth="1"/>
    <col min="28" max="28" width="2.5703125" style="740" customWidth="1"/>
    <col min="29" max="29" width="2.42578125" style="740" customWidth="1"/>
    <col min="30" max="16384" width="9.140625" style="740"/>
  </cols>
  <sheetData>
    <row r="1" spans="3:28">
      <c r="C1" s="1480" t="str">
        <f>Master!B10</f>
        <v>ABC PRIVATE LIMITED</v>
      </c>
      <c r="D1" s="1480"/>
      <c r="E1" s="1480"/>
      <c r="F1" s="1480"/>
      <c r="G1" s="1480"/>
      <c r="H1" s="1480"/>
      <c r="I1" s="1480"/>
      <c r="M1" s="1480" t="str">
        <f>C1</f>
        <v>ABC PRIVATE LIMITED</v>
      </c>
      <c r="N1" s="1480"/>
      <c r="O1" s="1480"/>
      <c r="P1" s="1480"/>
      <c r="Q1" s="1480"/>
      <c r="R1" s="1480"/>
      <c r="S1" s="1480"/>
      <c r="V1" s="1480" t="str">
        <f>M1</f>
        <v>ABC PRIVATE LIMITED</v>
      </c>
      <c r="W1" s="1480"/>
      <c r="X1" s="1480"/>
      <c r="Y1" s="1480"/>
      <c r="Z1" s="1480"/>
      <c r="AA1" s="1480"/>
      <c r="AB1" s="1480"/>
    </row>
    <row r="2" spans="3:28" ht="16.5" customHeight="1">
      <c r="C2" s="1481" t="str">
        <f>Master!B11</f>
        <v>B-2, XXXXXXXXXXXX XXXXXXXXXXX0034</v>
      </c>
      <c r="D2" s="1481"/>
      <c r="E2" s="1481"/>
      <c r="F2" s="1481"/>
      <c r="G2" s="1481"/>
      <c r="H2" s="1481"/>
      <c r="I2" s="1481"/>
      <c r="M2" s="1481" t="str">
        <f>C2</f>
        <v>B-2, XXXXXXXXXXXX XXXXXXXXXXX0034</v>
      </c>
      <c r="N2" s="1481"/>
      <c r="O2" s="1481"/>
      <c r="P2" s="1481"/>
      <c r="Q2" s="1481"/>
      <c r="R2" s="1481"/>
      <c r="S2" s="1481"/>
      <c r="V2" s="1481" t="str">
        <f>M2</f>
        <v>B-2, XXXXXXXXXXXX XXXXXXXXXXX0034</v>
      </c>
      <c r="W2" s="1481"/>
      <c r="X2" s="1481"/>
      <c r="Y2" s="1481"/>
      <c r="Z2" s="1481"/>
      <c r="AA2" s="1481"/>
      <c r="AB2" s="1481"/>
    </row>
    <row r="3" spans="3:28" ht="16.5" customHeight="1">
      <c r="C3" s="1481" t="str">
        <f>"CIN: "&amp;Master!B12&amp;""</f>
        <v>CIN: U7XXXXXXXXXXXXXXXXX52</v>
      </c>
      <c r="D3" s="1481"/>
      <c r="E3" s="1481"/>
      <c r="F3" s="1481"/>
      <c r="G3" s="1481"/>
      <c r="H3" s="1481"/>
      <c r="I3" s="1481"/>
      <c r="M3" s="1481" t="str">
        <f>C3</f>
        <v>CIN: U7XXXXXXXXXXXXXXXXX52</v>
      </c>
      <c r="N3" s="1481"/>
      <c r="O3" s="1481"/>
      <c r="P3" s="1481"/>
      <c r="Q3" s="1481"/>
      <c r="R3" s="1481"/>
      <c r="S3" s="1481"/>
      <c r="V3" s="1481" t="str">
        <f>M3</f>
        <v>CIN: U7XXXXXXXXXXXXXXXXX52</v>
      </c>
      <c r="W3" s="1481"/>
      <c r="X3" s="1481"/>
      <c r="Y3" s="1481"/>
      <c r="Z3" s="1481"/>
      <c r="AA3" s="1481"/>
      <c r="AB3" s="1481"/>
    </row>
    <row r="4" spans="3:28" ht="16.5" customHeight="1">
      <c r="C4" s="835"/>
      <c r="D4" s="835"/>
      <c r="E4" s="835"/>
      <c r="F4" s="835"/>
      <c r="G4" s="835"/>
      <c r="H4" s="835"/>
      <c r="I4" s="835"/>
      <c r="M4" s="835"/>
      <c r="N4" s="835"/>
      <c r="O4" s="835"/>
      <c r="P4" s="835"/>
      <c r="Q4" s="835"/>
      <c r="R4" s="835"/>
      <c r="S4" s="835"/>
      <c r="V4" s="835"/>
      <c r="W4" s="835"/>
      <c r="X4" s="835"/>
      <c r="Y4" s="835"/>
      <c r="Z4" s="835"/>
      <c r="AA4" s="835"/>
      <c r="AB4" s="835"/>
    </row>
    <row r="5" spans="3:28">
      <c r="C5" s="727"/>
      <c r="D5" s="727"/>
      <c r="E5" s="727"/>
      <c r="F5" s="727"/>
      <c r="G5" s="727"/>
      <c r="H5" s="727"/>
      <c r="I5" s="727"/>
      <c r="M5" s="727"/>
      <c r="N5" s="727"/>
      <c r="O5" s="727"/>
      <c r="P5" s="727"/>
      <c r="Q5" s="727"/>
      <c r="R5" s="727"/>
      <c r="S5" s="727"/>
      <c r="V5" s="727"/>
      <c r="W5" s="727"/>
      <c r="X5" s="727"/>
      <c r="Y5" s="727"/>
      <c r="Z5" s="727"/>
      <c r="AA5" s="727"/>
      <c r="AB5" s="727"/>
    </row>
    <row r="6" spans="3:28" ht="58.5" customHeight="1">
      <c r="C6" s="1482" t="str">
        <f>"CERTIFIED TRUE COPY OF THE RESOLUTION PASSED AT THE ANNUAL MEETING OF THE SHAREHOLDERS OF THE COMPANY HELD ON "&amp;UPPER(Master!D41)&amp;", "&amp;UPPER(Master!C41)&amp;" AT "&amp;UPPER(Master!B11)&amp;" AT "&amp;Master!C42&amp;""</f>
        <v>CERTIFIED TRUE COPY OF THE RESOLUTION PASSED AT THE ANNUAL MEETING OF THE SHAREHOLDERS OF THE COMPANY HELD ON SATURDAY, 30-SEP-2023 AT B-2, XXXXXXXXXXXX XXXXXXXXXXX0034 AT 03:30 PM</v>
      </c>
      <c r="D6" s="1482"/>
      <c r="E6" s="1482"/>
      <c r="F6" s="1482"/>
      <c r="G6" s="1482"/>
      <c r="H6" s="1482"/>
      <c r="I6" s="1482"/>
      <c r="M6" s="1482" t="str">
        <f>C6</f>
        <v>CERTIFIED TRUE COPY OF THE RESOLUTION PASSED AT THE ANNUAL MEETING OF THE SHAREHOLDERS OF THE COMPANY HELD ON SATURDAY, 30-SEP-2023 AT B-2, XXXXXXXXXXXX XXXXXXXXXXX0034 AT 03:30 PM</v>
      </c>
      <c r="N6" s="1482"/>
      <c r="O6" s="1482"/>
      <c r="P6" s="1482"/>
      <c r="Q6" s="1482"/>
      <c r="R6" s="1482"/>
      <c r="S6" s="1482"/>
      <c r="V6" s="1482" t="str">
        <f>M6</f>
        <v>CERTIFIED TRUE COPY OF THE RESOLUTION PASSED AT THE ANNUAL MEETING OF THE SHAREHOLDERS OF THE COMPANY HELD ON SATURDAY, 30-SEP-2023 AT B-2, XXXXXXXXXXXX XXXXXXXXXXX0034 AT 03:30 PM</v>
      </c>
      <c r="W6" s="1482"/>
      <c r="X6" s="1482"/>
      <c r="Y6" s="1482"/>
      <c r="Z6" s="1482"/>
      <c r="AA6" s="1482"/>
      <c r="AB6" s="1482"/>
    </row>
    <row r="9" spans="3:28">
      <c r="E9" s="709" t="str">
        <f>AGM.Notice!E13</f>
        <v>Appointment of Statutory Auditors of the Company</v>
      </c>
      <c r="F9" s="725"/>
      <c r="G9" s="725"/>
      <c r="H9" s="725"/>
      <c r="I9" s="725"/>
      <c r="O9" s="746" t="str">
        <f>AGM.Notice!O13</f>
        <v>Appointment of Director 1 as  of the Company</v>
      </c>
      <c r="P9" s="725"/>
      <c r="Q9" s="725"/>
      <c r="R9" s="725"/>
      <c r="S9" s="725"/>
      <c r="X9" s="746" t="str">
        <f>AGM.Notice!X13</f>
        <v>Appointment of Director 2 as Non-Executive Director of the Company</v>
      </c>
      <c r="Y9" s="725"/>
      <c r="Z9" s="725"/>
      <c r="AA9" s="725"/>
      <c r="AB9" s="725"/>
    </row>
    <row r="10" spans="3:28">
      <c r="E10" s="709"/>
      <c r="F10" s="725"/>
      <c r="G10" s="725"/>
      <c r="H10" s="725"/>
      <c r="I10" s="725"/>
      <c r="O10" s="709"/>
      <c r="P10" s="725"/>
      <c r="Q10" s="725"/>
      <c r="R10" s="725"/>
      <c r="S10" s="725"/>
      <c r="X10" s="709"/>
      <c r="Y10" s="725"/>
      <c r="Z10" s="725"/>
      <c r="AA10" s="725"/>
      <c r="AB10" s="725"/>
    </row>
    <row r="11" spans="3:28" ht="139.5" customHeight="1">
      <c r="C11" s="847"/>
      <c r="D11" s="847"/>
      <c r="E11" s="1254" t="str">
        <f>AGM.Notice!E14:H14</f>
        <v>RESOLVED THAT pursuant to the provisions of the Companies Act, 2013 (the Act) read with the Companies (Audit and Auditors) Rules, 2014 (including any statutory modification(s)or re-enactment thereof for the time being in force), M/s Auditor Firm &amp; Co., Chartered Accountants, having ICAI Firm Registration No. 03XXXXXN, be and is hereby appointed as the Auditors of the company, for a term of 5 year(s) for the period from 01-Apr-2023 to 31-Mar-2028 and to hold office until the conclusion of the Annual General Meeting to be held in the year 2028, and in this regard the Board of Directors/Committee of the Board be and are hereby authorised to fix their remuneration plus travelling and other out of pocket expenses incurred by them.</v>
      </c>
      <c r="F11" s="1254"/>
      <c r="G11" s="1254"/>
      <c r="H11" s="1254"/>
      <c r="I11" s="847"/>
      <c r="M11" s="847"/>
      <c r="N11" s="847"/>
      <c r="O11" s="1254" t="str">
        <f>AGM.Notice!O14:R14</f>
        <v>RESOLVED THAT pursuant to the provisions of Section 149, 152, 160 and all other applicable provisions of the Companies Act, 2013 (the Act) and the Companies (Appointment and Qualification of Directors) Rules, 2014 (including any statutory modification(s)or re-enactment thereof for the time being in force), Articles of Association of the Company and other applicable laws, Director 1 (having DIN:00XXXX70), who was appointed as Additional Director of the Company w.e.f. 00-Jan-1900, by the Board of Directors of the Company, and who holds office only upto the date of the ensuing Annual General Meeting of the Company be and is hereby appointed as  of the Company.</v>
      </c>
      <c r="P11" s="1254"/>
      <c r="Q11" s="1254"/>
      <c r="R11" s="1254"/>
      <c r="S11" s="847"/>
      <c r="V11" s="847"/>
      <c r="W11" s="847"/>
      <c r="X11" s="1254" t="str">
        <f>AGM.Notice!X14:AA14</f>
        <v>RESOLVED THAT pursuant to the provisions of Section 149, 152, 160 and all other applicable provisions of the Companies Act, 2013 (the Act) and the Companies (Appointment and Qualification of Directors) Rules, 2014 (including any statutory modification(s)or re-enactment thereof for the time being in force), Articles of Association of the Company and other applicable laws, Director 2 (having DIN:00XXXX70), who was appointed as Additional Director of the Company w.e.f. 25-Mar-2019, by the Board of Directors of the Company, and who holds office only upto the date of the ensuing Annual General Meeting of the Company be and is hereby appointed as Non-Executive Director of the Company.</v>
      </c>
      <c r="Y11" s="1254"/>
      <c r="Z11" s="1254"/>
      <c r="AA11" s="1254"/>
      <c r="AB11" s="847"/>
    </row>
    <row r="13" spans="3:28">
      <c r="C13" s="837" t="s">
        <v>1535</v>
      </c>
      <c r="D13" s="838"/>
      <c r="E13" s="838"/>
      <c r="F13" s="838"/>
      <c r="M13" s="837" t="s">
        <v>1537</v>
      </c>
      <c r="N13" s="838"/>
      <c r="O13" s="838"/>
      <c r="P13" s="838"/>
      <c r="V13" s="837" t="s">
        <v>1537</v>
      </c>
      <c r="W13" s="838"/>
      <c r="X13" s="838"/>
      <c r="Y13" s="838"/>
    </row>
    <row r="14" spans="3:28">
      <c r="C14" s="839" t="str">
        <f>$C$1</f>
        <v>ABC PRIVATE LIMITED</v>
      </c>
      <c r="D14" s="840"/>
      <c r="E14" s="840"/>
      <c r="F14" s="838"/>
      <c r="M14" s="839" t="str">
        <f>C14</f>
        <v>ABC PRIVATE LIMITED</v>
      </c>
      <c r="N14" s="840"/>
      <c r="O14" s="840"/>
      <c r="P14" s="838"/>
      <c r="V14" s="839" t="str">
        <f>M14</f>
        <v>ABC PRIVATE LIMITED</v>
      </c>
      <c r="W14" s="840"/>
      <c r="X14" s="840"/>
      <c r="Y14" s="838"/>
    </row>
    <row r="15" spans="3:28">
      <c r="C15" s="837"/>
      <c r="D15" s="838"/>
      <c r="E15" s="838"/>
      <c r="F15" s="838"/>
      <c r="M15" s="837"/>
      <c r="N15" s="838"/>
      <c r="O15" s="838"/>
      <c r="P15" s="838"/>
      <c r="V15" s="837"/>
      <c r="W15" s="838"/>
      <c r="X15" s="838"/>
      <c r="Y15" s="838"/>
    </row>
    <row r="16" spans="3:28">
      <c r="C16" s="837"/>
      <c r="D16" s="838"/>
      <c r="E16" s="838"/>
      <c r="F16" s="838"/>
      <c r="M16" s="837"/>
      <c r="N16" s="838"/>
      <c r="O16" s="838"/>
      <c r="P16" s="838"/>
      <c r="V16" s="837"/>
      <c r="W16" s="838"/>
      <c r="X16" s="838"/>
      <c r="Y16" s="838"/>
    </row>
    <row r="17" spans="3:25">
      <c r="C17" s="837"/>
      <c r="D17" s="838"/>
      <c r="E17" s="838"/>
      <c r="F17" s="838"/>
      <c r="M17" s="837"/>
      <c r="N17" s="838"/>
      <c r="O17" s="838"/>
      <c r="P17" s="838"/>
      <c r="V17" s="837"/>
      <c r="W17" s="838"/>
      <c r="X17" s="838"/>
      <c r="Y17" s="838"/>
    </row>
    <row r="18" spans="3:25">
      <c r="C18" s="837"/>
      <c r="D18" s="838"/>
      <c r="E18" s="838"/>
      <c r="F18" s="838"/>
      <c r="M18" s="837"/>
      <c r="N18" s="838"/>
      <c r="O18" s="838"/>
      <c r="P18" s="838"/>
      <c r="V18" s="837"/>
      <c r="W18" s="838"/>
      <c r="X18" s="838"/>
      <c r="Y18" s="838"/>
    </row>
    <row r="19" spans="3:25">
      <c r="C19" s="841" t="str">
        <f>Master!$B$34</f>
        <v>Director 1</v>
      </c>
      <c r="D19" s="841"/>
      <c r="E19" s="842"/>
      <c r="F19" s="843" t="str">
        <f>Master!$B$36</f>
        <v>Director 2</v>
      </c>
      <c r="M19" s="841" t="str">
        <f>C19</f>
        <v>Director 1</v>
      </c>
      <c r="N19" s="841"/>
      <c r="O19" s="842"/>
      <c r="P19" s="841" t="str">
        <f>F19</f>
        <v>Director 2</v>
      </c>
      <c r="V19" s="841" t="str">
        <f>M19</f>
        <v>Director 1</v>
      </c>
      <c r="W19" s="841"/>
      <c r="X19" s="842"/>
      <c r="Y19" s="841" t="str">
        <f>P19</f>
        <v>Director 2</v>
      </c>
    </row>
    <row r="20" spans="3:25">
      <c r="C20" s="844" t="str">
        <f>"DIN: "&amp;Master!$B$35&amp;""</f>
        <v>DIN: 00XXXX70</v>
      </c>
      <c r="D20" s="844"/>
      <c r="E20" s="845"/>
      <c r="F20" s="846" t="str">
        <f>"DIN: "&amp;Master!$B$37&amp;""</f>
        <v>DIN: 00XXXX70</v>
      </c>
      <c r="M20" s="848" t="str">
        <f>C20</f>
        <v>DIN: 00XXXX70</v>
      </c>
      <c r="N20" s="844"/>
      <c r="O20" s="845"/>
      <c r="P20" s="848" t="str">
        <f>F20</f>
        <v>DIN: 00XXXX70</v>
      </c>
      <c r="V20" s="848" t="str">
        <f>M20</f>
        <v>DIN: 00XXXX70</v>
      </c>
      <c r="W20" s="844"/>
      <c r="X20" s="845"/>
      <c r="Y20" s="848" t="str">
        <f>P20</f>
        <v>DIN: 00XXXX70</v>
      </c>
    </row>
    <row r="21" spans="3:25">
      <c r="C21" s="844" t="s">
        <v>1536</v>
      </c>
      <c r="D21" s="844"/>
      <c r="E21" s="845"/>
      <c r="F21" s="846" t="s">
        <v>1536</v>
      </c>
      <c r="M21" s="848" t="str">
        <f>C21</f>
        <v>(Director)</v>
      </c>
      <c r="N21" s="844"/>
      <c r="O21" s="845"/>
      <c r="P21" s="848" t="str">
        <f>F21</f>
        <v>(Director)</v>
      </c>
      <c r="V21" s="848" t="str">
        <f>M21</f>
        <v>(Director)</v>
      </c>
      <c r="W21" s="844"/>
      <c r="X21" s="845"/>
      <c r="Y21" s="848" t="str">
        <f>P21</f>
        <v>(Director)</v>
      </c>
    </row>
    <row r="22" spans="3:25">
      <c r="C22" s="845"/>
      <c r="D22" s="845"/>
      <c r="E22" s="845"/>
      <c r="F22" s="846"/>
      <c r="M22" s="845"/>
      <c r="N22" s="845"/>
      <c r="O22" s="845"/>
      <c r="P22" s="846"/>
      <c r="V22" s="848"/>
      <c r="W22" s="845"/>
      <c r="X22" s="845"/>
      <c r="Y22" s="846"/>
    </row>
    <row r="23" spans="3:25">
      <c r="C23" s="844" t="e">
        <f>"Place: "&amp;Master!#REF!&amp;""</f>
        <v>#REF!</v>
      </c>
      <c r="M23" s="844" t="e">
        <f>C23</f>
        <v>#REF!</v>
      </c>
      <c r="V23" s="848" t="e">
        <f>M23</f>
        <v>#REF!</v>
      </c>
    </row>
    <row r="24" spans="3:25">
      <c r="C24" s="845" t="str">
        <f>"Date : "&amp;Master!$C$41&amp;""</f>
        <v>Date : 30-Sep-2023</v>
      </c>
      <c r="M24" s="844" t="str">
        <f>C24</f>
        <v>Date : 30-Sep-2023</v>
      </c>
      <c r="V24" s="848" t="str">
        <f>M24</f>
        <v>Date : 30-Sep-2023</v>
      </c>
    </row>
  </sheetData>
  <mergeCells count="15">
    <mergeCell ref="E11:H11"/>
    <mergeCell ref="O11:R11"/>
    <mergeCell ref="X11:AA11"/>
    <mergeCell ref="C3:I3"/>
    <mergeCell ref="M3:S3"/>
    <mergeCell ref="V3:AB3"/>
    <mergeCell ref="C6:I6"/>
    <mergeCell ref="M6:S6"/>
    <mergeCell ref="V6:AB6"/>
    <mergeCell ref="C1:I1"/>
    <mergeCell ref="M1:S1"/>
    <mergeCell ref="V1:AB1"/>
    <mergeCell ref="C2:I2"/>
    <mergeCell ref="M2:S2"/>
    <mergeCell ref="V2:AB2"/>
  </mergeCells>
  <pageMargins left="0.70866141732283505" right="0.70866141732283505" top="0.74803149606299202" bottom="0.74803149606299202" header="0.31496062992126" footer="0.31496062992126"/>
  <pageSetup paperSize="9" scale="99"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C1:I68"/>
  <sheetViews>
    <sheetView showGridLines="0" view="pageBreakPreview" zoomScaleSheetLayoutView="100" workbookViewId="0">
      <selection activeCell="D10" sqref="D10:K10"/>
    </sheetView>
  </sheetViews>
  <sheetFormatPr defaultColWidth="9.140625" defaultRowHeight="14.25"/>
  <cols>
    <col min="1" max="1" width="9.140625" style="740"/>
    <col min="2" max="2" width="2.28515625" style="740" customWidth="1"/>
    <col min="3" max="3" width="5.28515625" style="740" customWidth="1"/>
    <col min="4" max="4" width="11.28515625" style="740" customWidth="1"/>
    <col min="5" max="6" width="11.140625" style="740" customWidth="1"/>
    <col min="7" max="7" width="17" style="740" customWidth="1"/>
    <col min="8" max="8" width="15.85546875" style="740" customWidth="1"/>
    <col min="9" max="9" width="14.140625" style="740" customWidth="1"/>
    <col min="10" max="10" width="2.28515625" style="740" customWidth="1"/>
    <col min="11" max="11" width="9.140625" style="740"/>
    <col min="12" max="12" width="2.28515625" style="740" customWidth="1"/>
    <col min="13" max="13" width="5.28515625" style="740" customWidth="1"/>
    <col min="14" max="14" width="11.28515625" style="740" customWidth="1"/>
    <col min="15" max="16" width="11.140625" style="740" customWidth="1"/>
    <col min="17" max="17" width="17" style="740" customWidth="1"/>
    <col min="18" max="18" width="15.85546875" style="740" customWidth="1"/>
    <col min="19" max="19" width="14.140625" style="740" customWidth="1"/>
    <col min="20" max="20" width="2.28515625" style="740" customWidth="1"/>
    <col min="21" max="16384" width="9.140625" style="740"/>
  </cols>
  <sheetData>
    <row r="1" spans="3:9">
      <c r="C1" s="1480" t="str">
        <f>Master!B10</f>
        <v>ABC PRIVATE LIMITED</v>
      </c>
      <c r="D1" s="1480"/>
      <c r="E1" s="1480"/>
      <c r="F1" s="1480"/>
      <c r="G1" s="1480"/>
      <c r="H1" s="1480"/>
      <c r="I1" s="1480"/>
    </row>
    <row r="2" spans="3:9" ht="16.5" customHeight="1">
      <c r="C2" s="1481" t="str">
        <f>Master!B11</f>
        <v>B-2, XXXXXXXXXXXX XXXXXXXXXXX0034</v>
      </c>
      <c r="D2" s="1481"/>
      <c r="E2" s="1481"/>
      <c r="F2" s="1481"/>
      <c r="G2" s="1481"/>
      <c r="H2" s="1481"/>
      <c r="I2" s="1481"/>
    </row>
    <row r="3" spans="3:9" ht="16.5" customHeight="1">
      <c r="C3" s="1481" t="str">
        <f>"CIN: "&amp;Master!B12&amp;""</f>
        <v>CIN: U7XXXXXXXXXXXXXXXXX52</v>
      </c>
      <c r="D3" s="1481"/>
      <c r="E3" s="1481"/>
      <c r="F3" s="1481"/>
      <c r="G3" s="1481"/>
      <c r="H3" s="1481"/>
      <c r="I3" s="1481"/>
    </row>
    <row r="4" spans="3:9">
      <c r="C4" s="727"/>
      <c r="D4" s="727"/>
      <c r="E4" s="727"/>
      <c r="F4" s="727"/>
      <c r="G4" s="727"/>
      <c r="H4" s="727"/>
      <c r="I4" s="727"/>
    </row>
    <row r="5" spans="3:9">
      <c r="C5" s="709"/>
      <c r="D5" s="709"/>
      <c r="E5" s="709"/>
      <c r="F5" s="709"/>
      <c r="G5" s="709"/>
      <c r="H5" s="1484" t="str">
        <f>"Date: "&amp;Master!C41&amp;""</f>
        <v>Date: 30-Sep-2023</v>
      </c>
      <c r="I5" s="1484"/>
    </row>
    <row r="7" spans="3:9">
      <c r="C7" s="847" t="s">
        <v>1020</v>
      </c>
      <c r="D7" s="847"/>
      <c r="E7" s="847"/>
      <c r="F7" s="847"/>
      <c r="G7" s="847"/>
      <c r="H7" s="847"/>
      <c r="I7" s="847"/>
    </row>
    <row r="8" spans="3:9">
      <c r="C8" s="847"/>
      <c r="D8" s="732" t="str">
        <f>Master!$B$54</f>
        <v>A XXXXXXXXXXXociates</v>
      </c>
      <c r="E8" s="847"/>
      <c r="F8" s="847"/>
      <c r="G8" s="847"/>
      <c r="H8" s="847"/>
      <c r="I8" s="847"/>
    </row>
    <row r="9" spans="3:9">
      <c r="C9" s="847"/>
      <c r="D9" s="725" t="s">
        <v>1021</v>
      </c>
      <c r="E9" s="847"/>
      <c r="F9" s="847"/>
      <c r="G9" s="847"/>
      <c r="H9" s="847"/>
      <c r="I9" s="847"/>
    </row>
    <row r="10" spans="3:9" ht="15" customHeight="1">
      <c r="C10" s="847"/>
      <c r="D10" s="1485" t="str">
        <f>Master!$B$55</f>
        <v>UG A-1XXXXXXXXXXXXXXXXXXXXXXXXXXXXXX,Haryana-131023</v>
      </c>
      <c r="E10" s="1485"/>
      <c r="F10" s="1485"/>
      <c r="G10" s="847"/>
      <c r="H10" s="847"/>
      <c r="I10" s="847"/>
    </row>
    <row r="11" spans="3:9">
      <c r="C11" s="847"/>
      <c r="D11" s="1485"/>
      <c r="E11" s="1485"/>
      <c r="F11" s="1485"/>
      <c r="G11" s="847"/>
      <c r="H11" s="847"/>
      <c r="I11" s="847"/>
    </row>
    <row r="12" spans="3:9">
      <c r="C12" s="847"/>
      <c r="D12" s="725"/>
      <c r="E12" s="847"/>
      <c r="F12" s="847"/>
      <c r="G12" s="847"/>
      <c r="H12" s="847"/>
      <c r="I12" s="847"/>
    </row>
    <row r="13" spans="3:9">
      <c r="C13" s="746" t="s">
        <v>1023</v>
      </c>
      <c r="D13" s="1483" t="s">
        <v>1538</v>
      </c>
      <c r="E13" s="1483"/>
      <c r="F13" s="1483"/>
      <c r="G13" s="1483"/>
      <c r="H13" s="1483"/>
      <c r="I13" s="1483"/>
    </row>
    <row r="15" spans="3:9">
      <c r="C15" s="725" t="s">
        <v>1539</v>
      </c>
      <c r="D15" s="725"/>
      <c r="E15" s="725"/>
      <c r="F15" s="725"/>
      <c r="G15" s="725"/>
      <c r="H15" s="725"/>
      <c r="I15" s="725"/>
    </row>
    <row r="16" spans="3:9">
      <c r="C16" s="725"/>
      <c r="D16" s="725"/>
      <c r="E16" s="725"/>
      <c r="F16" s="725"/>
      <c r="G16" s="725"/>
      <c r="H16" s="725"/>
      <c r="I16" s="725"/>
    </row>
    <row r="17" spans="3:9" ht="50.25" customHeight="1">
      <c r="C17" s="1254" t="str">
        <f>"We are pleased to inform you that your firm M/s "&amp;D8&amp;" has been appointed as the Statutory Auditors of the company under the Companies Act, 2013, for a term of "&amp;Master!B46&amp;" year(s) for the period from "&amp;Master!C46&amp;" to "&amp;Master!D46&amp;"."</f>
        <v>We are pleased to inform you that your firm M/s A XXXXXXXXXXXociates has been appointed as the Statutory Auditors of the company under the Companies Act, 2013, for a term of 5 year(s) for the period from 01-Apr-2023 to 31-Mar-2028.</v>
      </c>
      <c r="D17" s="1254"/>
      <c r="E17" s="1254"/>
      <c r="F17" s="1254"/>
      <c r="G17" s="1254"/>
      <c r="H17" s="1254"/>
      <c r="I17" s="1254"/>
    </row>
    <row r="18" spans="3:9">
      <c r="C18" s="725"/>
      <c r="D18" s="725"/>
      <c r="E18" s="725"/>
      <c r="F18" s="725"/>
      <c r="G18" s="725"/>
      <c r="H18" s="725"/>
      <c r="I18" s="725"/>
    </row>
    <row r="19" spans="3:9">
      <c r="C19" s="725" t="s">
        <v>1540</v>
      </c>
      <c r="D19" s="725"/>
      <c r="E19" s="725"/>
      <c r="F19" s="725"/>
      <c r="G19" s="725"/>
      <c r="H19" s="725"/>
      <c r="I19" s="725"/>
    </row>
    <row r="20" spans="3:9">
      <c r="C20" s="725"/>
      <c r="D20" s="725"/>
      <c r="E20" s="725"/>
      <c r="F20" s="725"/>
      <c r="G20" s="725"/>
      <c r="H20" s="725"/>
      <c r="I20" s="725"/>
    </row>
    <row r="21" spans="3:9">
      <c r="C21" s="725"/>
      <c r="D21" s="725"/>
      <c r="E21" s="725"/>
      <c r="F21" s="725"/>
      <c r="G21" s="725"/>
      <c r="H21" s="725"/>
      <c r="I21" s="725"/>
    </row>
    <row r="22" spans="3:9">
      <c r="C22" s="837" t="s">
        <v>1535</v>
      </c>
      <c r="D22" s="838"/>
      <c r="E22" s="838"/>
      <c r="F22" s="838"/>
    </row>
    <row r="23" spans="3:9">
      <c r="C23" s="839" t="str">
        <f>$C$1</f>
        <v>ABC PRIVATE LIMITED</v>
      </c>
      <c r="D23" s="840"/>
      <c r="E23" s="840"/>
      <c r="F23" s="838"/>
    </row>
    <row r="24" spans="3:9">
      <c r="C24" s="837"/>
      <c r="D24" s="838"/>
      <c r="E24" s="838"/>
      <c r="F24" s="838"/>
    </row>
    <row r="25" spans="3:9">
      <c r="C25" s="837"/>
      <c r="D25" s="838"/>
      <c r="E25" s="838"/>
      <c r="F25" s="838"/>
    </row>
    <row r="26" spans="3:9">
      <c r="C26" s="837"/>
      <c r="D26" s="838"/>
      <c r="E26" s="838"/>
      <c r="F26" s="838"/>
    </row>
    <row r="27" spans="3:9">
      <c r="C27" s="837"/>
      <c r="D27" s="838"/>
      <c r="E27" s="838"/>
      <c r="F27" s="838"/>
    </row>
    <row r="28" spans="3:9">
      <c r="C28" s="841" t="str">
        <f>Master!$B$34</f>
        <v>Director 1</v>
      </c>
      <c r="D28" s="841"/>
      <c r="E28" s="842"/>
      <c r="F28" s="843" t="str">
        <f>Master!$B$36</f>
        <v>Director 2</v>
      </c>
    </row>
    <row r="29" spans="3:9">
      <c r="C29" s="844" t="str">
        <f>"DIN: "&amp;Master!$B$35&amp;""</f>
        <v>DIN: 00XXXX70</v>
      </c>
      <c r="D29" s="844"/>
      <c r="E29" s="845"/>
      <c r="F29" s="846" t="str">
        <f>"DIN: "&amp;Master!$B$37&amp;""</f>
        <v>DIN: 00XXXX70</v>
      </c>
    </row>
    <row r="30" spans="3:9">
      <c r="C30" s="844" t="s">
        <v>1536</v>
      </c>
      <c r="D30" s="844"/>
      <c r="E30" s="845"/>
      <c r="F30" s="846" t="s">
        <v>1536</v>
      </c>
    </row>
    <row r="31" spans="3:9">
      <c r="C31" s="845"/>
      <c r="D31" s="845"/>
      <c r="E31" s="845"/>
      <c r="F31" s="846"/>
    </row>
    <row r="32" spans="3:9">
      <c r="C32" s="844" t="e">
        <f>"Place: "&amp;Master!#REF!&amp;""</f>
        <v>#REF!</v>
      </c>
    </row>
    <row r="33" spans="3:9">
      <c r="C33" s="845" t="str">
        <f>"Date : "&amp;Master!$C$41&amp;""</f>
        <v>Date : 30-Sep-2023</v>
      </c>
    </row>
    <row r="36" spans="3:9">
      <c r="C36" s="1480" t="str">
        <f>C1</f>
        <v>ABC PRIVATE LIMITED</v>
      </c>
      <c r="D36" s="1480"/>
      <c r="E36" s="1480"/>
      <c r="F36" s="1480"/>
      <c r="G36" s="1480"/>
      <c r="H36" s="1480"/>
      <c r="I36" s="1480"/>
    </row>
    <row r="37" spans="3:9">
      <c r="C37" s="1481" t="str">
        <f>C2</f>
        <v>B-2, XXXXXXXXXXXX XXXXXXXXXXX0034</v>
      </c>
      <c r="D37" s="1481"/>
      <c r="E37" s="1481"/>
      <c r="F37" s="1481"/>
      <c r="G37" s="1481"/>
      <c r="H37" s="1481"/>
      <c r="I37" s="1481"/>
    </row>
    <row r="38" spans="3:9">
      <c r="C38" s="1481" t="str">
        <f>C3</f>
        <v>CIN: U7XXXXXXXXXXXXXXXXX52</v>
      </c>
      <c r="D38" s="1481"/>
      <c r="E38" s="1481"/>
      <c r="F38" s="1481"/>
      <c r="G38" s="1481"/>
      <c r="H38" s="1481"/>
      <c r="I38" s="1481"/>
    </row>
    <row r="39" spans="3:9">
      <c r="C39" s="727"/>
      <c r="D39" s="727"/>
      <c r="E39" s="727"/>
      <c r="F39" s="727"/>
      <c r="G39" s="727"/>
      <c r="H39" s="727"/>
      <c r="I39" s="727"/>
    </row>
    <row r="40" spans="3:9">
      <c r="C40" s="709"/>
      <c r="D40" s="709"/>
      <c r="E40" s="709"/>
      <c r="F40" s="709"/>
      <c r="G40" s="709"/>
      <c r="H40" s="1484" t="str">
        <f>H5</f>
        <v>Date: 30-Sep-2023</v>
      </c>
      <c r="I40" s="1484"/>
    </row>
    <row r="42" spans="3:9">
      <c r="C42" s="847" t="s">
        <v>1020</v>
      </c>
      <c r="D42" s="847"/>
      <c r="E42" s="847"/>
      <c r="F42" s="847"/>
      <c r="G42" s="847"/>
      <c r="H42" s="847"/>
      <c r="I42" s="847"/>
    </row>
    <row r="43" spans="3:9">
      <c r="C43" s="847"/>
      <c r="D43" s="732" t="str">
        <f>Master!$B$54</f>
        <v>A XXXXXXXXXXXociates</v>
      </c>
      <c r="E43" s="847"/>
      <c r="F43" s="847"/>
      <c r="G43" s="847"/>
      <c r="H43" s="847"/>
      <c r="I43" s="847"/>
    </row>
    <row r="44" spans="3:9">
      <c r="C44" s="847"/>
      <c r="D44" s="725" t="s">
        <v>1021</v>
      </c>
      <c r="E44" s="847"/>
      <c r="F44" s="847"/>
      <c r="G44" s="847"/>
      <c r="H44" s="847"/>
      <c r="I44" s="847"/>
    </row>
    <row r="45" spans="3:9">
      <c r="C45" s="847"/>
      <c r="D45" s="1485" t="str">
        <f>Master!$B$55</f>
        <v>UG A-1XXXXXXXXXXXXXXXXXXXXXXXXXXXXXX,Haryana-131023</v>
      </c>
      <c r="E45" s="1485"/>
      <c r="F45" s="1485"/>
      <c r="G45" s="847"/>
      <c r="H45" s="847"/>
      <c r="I45" s="847"/>
    </row>
    <row r="46" spans="3:9">
      <c r="C46" s="847"/>
      <c r="D46" s="1485"/>
      <c r="E46" s="1485"/>
      <c r="F46" s="1485"/>
      <c r="G46" s="847"/>
      <c r="H46" s="847"/>
      <c r="I46" s="847"/>
    </row>
    <row r="47" spans="3:9">
      <c r="C47" s="847"/>
      <c r="D47" s="725"/>
      <c r="E47" s="847"/>
      <c r="F47" s="847"/>
      <c r="G47" s="847"/>
      <c r="H47" s="847"/>
      <c r="I47" s="847"/>
    </row>
    <row r="48" spans="3:9">
      <c r="C48" s="746" t="s">
        <v>1023</v>
      </c>
      <c r="D48" s="1483" t="s">
        <v>1541</v>
      </c>
      <c r="E48" s="1483"/>
      <c r="F48" s="1483"/>
      <c r="G48" s="1483"/>
      <c r="H48" s="1483"/>
      <c r="I48" s="1483"/>
    </row>
    <row r="50" spans="3:9">
      <c r="C50" s="725" t="s">
        <v>1539</v>
      </c>
      <c r="D50" s="725"/>
      <c r="E50" s="725"/>
      <c r="F50" s="725"/>
      <c r="G50" s="725"/>
      <c r="H50" s="725"/>
      <c r="I50" s="725"/>
    </row>
    <row r="51" spans="3:9">
      <c r="C51" s="725"/>
      <c r="D51" s="725"/>
      <c r="E51" s="725"/>
      <c r="F51" s="725"/>
      <c r="G51" s="725"/>
      <c r="H51" s="725"/>
      <c r="I51" s="725"/>
    </row>
    <row r="52" spans="3:9" ht="48.75" customHeight="1">
      <c r="C52" s="1254" t="str">
        <f>"We are pleased to inform you that your firm M/s "&amp;D43&amp;" (FRN:"&amp;Master!B58&amp;") has been appointed as the Tax Auditor of the company under the Income Tax Act, 1961, for the Financial Year "&amp;Master!C8&amp;"."</f>
        <v>We are pleased to inform you that your firm M/s A XXXXXXXXXXXociates (FRN:XXXXXXXXX) has been appointed as the Tax Auditor of the company under the Income Tax Act, 1961, for the Financial Year 2023-24.</v>
      </c>
      <c r="D52" s="1254"/>
      <c r="E52" s="1254"/>
      <c r="F52" s="1254"/>
      <c r="G52" s="1254"/>
      <c r="H52" s="1254"/>
      <c r="I52" s="1254"/>
    </row>
    <row r="53" spans="3:9">
      <c r="C53" s="725"/>
      <c r="D53" s="725"/>
      <c r="E53" s="725"/>
      <c r="F53" s="725"/>
      <c r="G53" s="725"/>
      <c r="H53" s="725"/>
      <c r="I53" s="725"/>
    </row>
    <row r="54" spans="3:9">
      <c r="C54" s="725" t="s">
        <v>1540</v>
      </c>
      <c r="D54" s="725"/>
      <c r="E54" s="725"/>
      <c r="F54" s="725"/>
      <c r="G54" s="725"/>
      <c r="H54" s="725"/>
      <c r="I54" s="725"/>
    </row>
    <row r="55" spans="3:9">
      <c r="C55" s="725"/>
      <c r="D55" s="725"/>
      <c r="E55" s="725"/>
      <c r="F55" s="725"/>
      <c r="G55" s="725"/>
      <c r="H55" s="725"/>
      <c r="I55" s="725"/>
    </row>
    <row r="56" spans="3:9">
      <c r="C56" s="725"/>
      <c r="D56" s="725"/>
      <c r="E56" s="725"/>
      <c r="F56" s="725"/>
      <c r="G56" s="725"/>
      <c r="H56" s="725"/>
      <c r="I56" s="725"/>
    </row>
    <row r="57" spans="3:9">
      <c r="C57" s="837" t="s">
        <v>1535</v>
      </c>
      <c r="D57" s="838"/>
      <c r="E57" s="838"/>
      <c r="F57" s="838"/>
    </row>
    <row r="58" spans="3:9">
      <c r="C58" s="839" t="str">
        <f>$C$1</f>
        <v>ABC PRIVATE LIMITED</v>
      </c>
      <c r="D58" s="840"/>
      <c r="E58" s="840"/>
      <c r="F58" s="838"/>
    </row>
    <row r="59" spans="3:9">
      <c r="C59" s="837"/>
      <c r="D59" s="838"/>
      <c r="E59" s="838"/>
      <c r="F59" s="838"/>
    </row>
    <row r="60" spans="3:9">
      <c r="C60" s="837"/>
      <c r="D60" s="838"/>
      <c r="E60" s="838"/>
      <c r="F60" s="838"/>
    </row>
    <row r="61" spans="3:9">
      <c r="C61" s="837"/>
      <c r="D61" s="838"/>
      <c r="E61" s="838"/>
      <c r="F61" s="838"/>
    </row>
    <row r="62" spans="3:9">
      <c r="C62" s="837"/>
      <c r="D62" s="838"/>
      <c r="E62" s="838"/>
      <c r="F62" s="838"/>
    </row>
    <row r="63" spans="3:9">
      <c r="C63" s="841" t="str">
        <f>Master!$B$34</f>
        <v>Director 1</v>
      </c>
      <c r="D63" s="841"/>
      <c r="E63" s="842"/>
      <c r="F63" s="843" t="str">
        <f>Master!$B$36</f>
        <v>Director 2</v>
      </c>
    </row>
    <row r="64" spans="3:9">
      <c r="C64" s="844" t="str">
        <f>"DIN: "&amp;Master!$B$35&amp;""</f>
        <v>DIN: 00XXXX70</v>
      </c>
      <c r="D64" s="844"/>
      <c r="E64" s="845"/>
      <c r="F64" s="846" t="str">
        <f>"DIN: "&amp;Master!$B$37&amp;""</f>
        <v>DIN: 00XXXX70</v>
      </c>
    </row>
    <row r="65" spans="3:6">
      <c r="C65" s="844" t="s">
        <v>1536</v>
      </c>
      <c r="D65" s="844"/>
      <c r="E65" s="845"/>
      <c r="F65" s="846" t="s">
        <v>1536</v>
      </c>
    </row>
    <row r="66" spans="3:6">
      <c r="C66" s="845"/>
      <c r="D66" s="845"/>
      <c r="E66" s="845"/>
      <c r="F66" s="846"/>
    </row>
    <row r="67" spans="3:6">
      <c r="C67" s="844" t="e">
        <f>"Place: "&amp;Master!#REF!&amp;""</f>
        <v>#REF!</v>
      </c>
    </row>
    <row r="68" spans="3:6">
      <c r="C68" s="845" t="str">
        <f>"Date : "&amp;Master!$C$41&amp;""</f>
        <v>Date : 30-Sep-2023</v>
      </c>
    </row>
  </sheetData>
  <mergeCells count="14">
    <mergeCell ref="D48:I48"/>
    <mergeCell ref="C52:I52"/>
    <mergeCell ref="C17:I17"/>
    <mergeCell ref="C36:I36"/>
    <mergeCell ref="C37:I37"/>
    <mergeCell ref="C38:I38"/>
    <mergeCell ref="H40:I40"/>
    <mergeCell ref="D45:F46"/>
    <mergeCell ref="D13:I13"/>
    <mergeCell ref="C1:I1"/>
    <mergeCell ref="C2:I2"/>
    <mergeCell ref="C3:I3"/>
    <mergeCell ref="H5:I5"/>
    <mergeCell ref="D10:F11"/>
  </mergeCells>
  <pageMargins left="0.70866141732283505" right="0.70866141732283505" top="0.74803149606299202" bottom="0.74803149606299202" header="0.31496062992126" footer="0.31496062992126"/>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S74"/>
  <sheetViews>
    <sheetView showGridLines="0" view="pageBreakPreview" zoomScaleSheetLayoutView="100" workbookViewId="0">
      <selection activeCell="D10" sqref="D10:K10"/>
    </sheetView>
  </sheetViews>
  <sheetFormatPr defaultColWidth="9.140625" defaultRowHeight="14.25"/>
  <cols>
    <col min="1" max="1" width="9.140625" style="740"/>
    <col min="2" max="3" width="5.7109375" style="740" customWidth="1"/>
    <col min="4" max="4" width="3.42578125" style="740" customWidth="1"/>
    <col min="5" max="5" width="15.42578125" style="740" customWidth="1"/>
    <col min="6" max="6" width="21.7109375" style="740" customWidth="1"/>
    <col min="7" max="7" width="23" style="740" customWidth="1"/>
    <col min="8" max="8" width="26.28515625" style="740" customWidth="1"/>
    <col min="9" max="9" width="12.7109375" style="740" customWidth="1"/>
    <col min="10" max="10" width="6.42578125" style="740" customWidth="1"/>
    <col min="11" max="16384" width="9.140625" style="740"/>
  </cols>
  <sheetData>
    <row r="2" spans="2:16" ht="22.5">
      <c r="B2" s="1486" t="s">
        <v>1542</v>
      </c>
      <c r="C2" s="1486"/>
      <c r="D2" s="1486"/>
      <c r="E2" s="1486"/>
      <c r="F2" s="1486"/>
      <c r="G2" s="1486"/>
      <c r="H2" s="1486"/>
      <c r="I2" s="1486"/>
      <c r="J2" s="1486"/>
    </row>
    <row r="4" spans="2:16" ht="18">
      <c r="B4" s="1487" t="str">
        <f>Master!B54</f>
        <v>A XXXXXXXXXXXociates</v>
      </c>
      <c r="C4" s="1487"/>
      <c r="D4" s="1487"/>
      <c r="E4" s="1487"/>
      <c r="F4" s="1487"/>
      <c r="G4" s="849"/>
      <c r="H4" s="1488" t="str">
        <f>""&amp;Master!B55&amp;"T: "&amp;Master!B56&amp;"E: "&amp;Master!B57&amp;""</f>
        <v>UG A-1XXXXXXXXXXXXXXXXXXXXXXXXXXXXXX,Haryana-131023T: +91 7988355606E: caakshay.agml@gmail.com</v>
      </c>
      <c r="I4" s="1488"/>
      <c r="J4" s="1488"/>
    </row>
    <row r="5" spans="2:16" ht="51" customHeight="1">
      <c r="B5" s="1489" t="s">
        <v>1021</v>
      </c>
      <c r="C5" s="1489"/>
      <c r="D5" s="1489"/>
      <c r="E5" s="1489"/>
      <c r="F5" s="1489"/>
      <c r="G5" s="849"/>
      <c r="H5" s="1488"/>
      <c r="I5" s="1488"/>
      <c r="J5" s="1488"/>
    </row>
    <row r="6" spans="2:16">
      <c r="C6" s="727"/>
      <c r="D6" s="727"/>
      <c r="E6" s="727"/>
      <c r="F6" s="727"/>
      <c r="G6" s="727"/>
      <c r="H6" s="727"/>
      <c r="I6" s="727"/>
    </row>
    <row r="7" spans="2:16" s="850" customFormat="1" ht="13.5">
      <c r="C7" s="851"/>
      <c r="D7" s="851"/>
      <c r="E7" s="851"/>
      <c r="F7" s="851"/>
      <c r="G7" s="851"/>
      <c r="H7" s="851"/>
      <c r="I7" s="851"/>
    </row>
    <row r="8" spans="2:16">
      <c r="C8" s="852" t="s">
        <v>1020</v>
      </c>
      <c r="D8" s="709"/>
      <c r="E8" s="709"/>
      <c r="F8" s="709"/>
      <c r="G8" s="709"/>
      <c r="H8" s="1484" t="str">
        <f>"Date: "&amp;TEXT(Master!F41, "dd-mmm-yyyy")&amp;""</f>
        <v>Date: 05-Oct-2023</v>
      </c>
      <c r="I8" s="1484"/>
    </row>
    <row r="9" spans="2:16">
      <c r="C9" s="847"/>
      <c r="D9" s="732" t="s">
        <v>1543</v>
      </c>
      <c r="E9" s="709"/>
      <c r="F9" s="709"/>
      <c r="G9" s="709"/>
      <c r="H9" s="709"/>
      <c r="I9" s="737"/>
    </row>
    <row r="10" spans="2:16">
      <c r="C10" s="847"/>
      <c r="D10" s="732" t="str">
        <f>Master!B10</f>
        <v>ABC PRIVATE LIMITED</v>
      </c>
      <c r="E10" s="847"/>
      <c r="F10" s="847"/>
      <c r="G10" s="847"/>
      <c r="H10" s="847"/>
      <c r="I10" s="847"/>
    </row>
    <row r="11" spans="2:16" ht="18" customHeight="1">
      <c r="C11" s="847"/>
      <c r="D11" s="1485" t="str">
        <f>Master!B11</f>
        <v>B-2, XXXXXXXXXXXX XXXXXXXXXXX0034</v>
      </c>
      <c r="E11" s="1485"/>
      <c r="F11" s="1485"/>
      <c r="G11" s="847"/>
      <c r="H11" s="847"/>
      <c r="I11" s="847"/>
    </row>
    <row r="12" spans="2:16" ht="18" customHeight="1">
      <c r="C12" s="847"/>
      <c r="D12" s="1485"/>
      <c r="E12" s="1485"/>
      <c r="F12" s="1485"/>
      <c r="G12" s="847"/>
      <c r="H12" s="847"/>
      <c r="I12" s="847"/>
    </row>
    <row r="13" spans="2:16">
      <c r="C13" s="847"/>
      <c r="D13" s="725"/>
      <c r="E13" s="847"/>
      <c r="F13" s="847"/>
      <c r="G13" s="847"/>
      <c r="H13" s="847"/>
      <c r="I13" s="847"/>
      <c r="P13" s="727"/>
    </row>
    <row r="14" spans="2:16" ht="48" customHeight="1">
      <c r="C14" s="739" t="s">
        <v>1023</v>
      </c>
      <c r="D14" s="1490" t="s">
        <v>1544</v>
      </c>
      <c r="E14" s="1490"/>
      <c r="F14" s="1490"/>
      <c r="G14" s="1490"/>
      <c r="H14" s="1490"/>
      <c r="I14" s="1490"/>
      <c r="J14" s="836"/>
    </row>
    <row r="16" spans="2:16">
      <c r="C16" s="1491" t="s">
        <v>1545</v>
      </c>
      <c r="D16" s="1491"/>
      <c r="E16" s="1491"/>
      <c r="F16" s="1491"/>
      <c r="G16" s="1491"/>
      <c r="H16" s="1491"/>
      <c r="I16" s="1491"/>
    </row>
    <row r="17" spans="3:19" ht="32.25" customHeight="1">
      <c r="C17" s="1254" t="s">
        <v>1546</v>
      </c>
      <c r="D17" s="1254"/>
      <c r="E17" s="1254"/>
      <c r="F17" s="1254"/>
      <c r="G17" s="1254"/>
      <c r="H17" s="1254"/>
      <c r="I17" s="1254"/>
      <c r="J17" s="741"/>
    </row>
    <row r="18" spans="3:19">
      <c r="C18" s="741"/>
      <c r="D18" s="741"/>
      <c r="E18" s="741"/>
      <c r="F18" s="741"/>
      <c r="G18" s="741"/>
      <c r="H18" s="741"/>
      <c r="I18" s="741"/>
      <c r="J18" s="741"/>
    </row>
    <row r="19" spans="3:19">
      <c r="C19" s="1490" t="s">
        <v>1547</v>
      </c>
      <c r="D19" s="1490"/>
      <c r="E19" s="1490"/>
      <c r="F19" s="1490"/>
      <c r="G19" s="1490"/>
      <c r="H19" s="1490"/>
      <c r="I19" s="1490"/>
    </row>
    <row r="20" spans="3:19" ht="58.5" customHeight="1">
      <c r="C20" s="1254" t="str">
        <f>CONCATENATE("You have requested that we audit the financial statements of "&amp;Master!B10&amp;", which shall comprise the Balance Sheet as at 31st March, "&amp;Master!F8&amp;", the Statement of Profit and Loss and the Cash Flow Statement (if applicable) for the year then ended"," and notes to the financial statements including a summary of significant accounting policies and other explanatory information.")</f>
        <v>You have requested that we audit the financial statements of ABC PRIVATE LIMITED, which shall comprise the Balance Sheet as at 31st March, 2024, the Statement of Profit and Loss and the Cash Flow Statement (if applicable) for the year then ended and notes to the financial statements including a summary of significant accounting policies and other explanatory information.</v>
      </c>
      <c r="D20" s="1254"/>
      <c r="E20" s="1254"/>
      <c r="F20" s="1254"/>
      <c r="G20" s="1254"/>
      <c r="H20" s="1254"/>
      <c r="I20" s="1254"/>
    </row>
    <row r="21" spans="3:19" ht="102" customHeight="1">
      <c r="C21" s="1254" t="s">
        <v>1548</v>
      </c>
      <c r="D21" s="1254"/>
      <c r="E21" s="1254"/>
      <c r="F21" s="1254"/>
      <c r="G21" s="1254"/>
      <c r="H21" s="1254"/>
      <c r="I21" s="1254"/>
    </row>
    <row r="22" spans="3:19">
      <c r="C22" s="741"/>
      <c r="D22" s="741"/>
      <c r="E22" s="741"/>
      <c r="F22" s="741"/>
      <c r="G22" s="741"/>
      <c r="H22" s="741"/>
      <c r="I22" s="741"/>
    </row>
    <row r="23" spans="3:19">
      <c r="C23" s="1490" t="s">
        <v>1549</v>
      </c>
      <c r="D23" s="1490"/>
      <c r="E23" s="1490"/>
      <c r="F23" s="1490"/>
      <c r="G23" s="1490"/>
      <c r="H23" s="1490"/>
      <c r="I23" s="1490"/>
    </row>
    <row r="24" spans="3:19" ht="59.25" customHeight="1">
      <c r="C24" s="1254" t="s">
        <v>1550</v>
      </c>
      <c r="D24" s="1254"/>
      <c r="E24" s="1254"/>
      <c r="F24" s="1254"/>
      <c r="G24" s="1254"/>
      <c r="H24" s="1254"/>
      <c r="I24" s="1254"/>
    </row>
    <row r="25" spans="3:19" ht="73.5" customHeight="1">
      <c r="C25" s="737" t="s">
        <v>1038</v>
      </c>
      <c r="D25" s="1254" t="s">
        <v>1551</v>
      </c>
      <c r="E25" s="1254"/>
      <c r="F25" s="1254"/>
      <c r="G25" s="1254"/>
      <c r="H25" s="1254"/>
      <c r="I25" s="1254"/>
      <c r="M25" s="1254"/>
      <c r="N25" s="1254"/>
      <c r="O25" s="1254"/>
      <c r="P25" s="1254"/>
      <c r="Q25" s="1254"/>
      <c r="R25" s="1254"/>
      <c r="S25" s="1254"/>
    </row>
    <row r="26" spans="3:19" ht="72.75" customHeight="1">
      <c r="C26" s="737" t="s">
        <v>1040</v>
      </c>
      <c r="D26" s="1254" t="s">
        <v>1552</v>
      </c>
      <c r="E26" s="1254"/>
      <c r="F26" s="1254"/>
      <c r="G26" s="1254"/>
      <c r="H26" s="1254"/>
      <c r="I26" s="1254"/>
      <c r="M26" s="1254"/>
      <c r="N26" s="1254"/>
      <c r="O26" s="1254"/>
      <c r="P26" s="1254"/>
      <c r="Q26" s="1254"/>
      <c r="R26" s="1254"/>
      <c r="S26" s="1254"/>
    </row>
    <row r="27" spans="3:19" ht="33" customHeight="1">
      <c r="C27" s="737" t="s">
        <v>1042</v>
      </c>
      <c r="D27" s="1254" t="s">
        <v>1553</v>
      </c>
      <c r="E27" s="1254"/>
      <c r="F27" s="1254"/>
      <c r="G27" s="1254"/>
      <c r="H27" s="1254"/>
      <c r="I27" s="1254"/>
      <c r="M27" s="1254"/>
      <c r="N27" s="1254"/>
      <c r="O27" s="1254"/>
      <c r="P27" s="1254"/>
      <c r="Q27" s="1254"/>
      <c r="R27" s="1254"/>
      <c r="S27" s="1254"/>
    </row>
    <row r="28" spans="3:19" ht="102.75" customHeight="1">
      <c r="C28" s="737" t="s">
        <v>1121</v>
      </c>
      <c r="D28" s="1254" t="s">
        <v>1554</v>
      </c>
      <c r="E28" s="1254"/>
      <c r="F28" s="1254"/>
      <c r="G28" s="1254"/>
      <c r="H28" s="1254"/>
      <c r="I28" s="1254"/>
      <c r="M28" s="1254"/>
      <c r="N28" s="1254"/>
      <c r="O28" s="1254"/>
      <c r="P28" s="1254"/>
      <c r="Q28" s="1254"/>
      <c r="R28" s="1254"/>
      <c r="S28" s="1254"/>
    </row>
    <row r="29" spans="3:19" ht="45" customHeight="1">
      <c r="C29" s="737" t="s">
        <v>1146</v>
      </c>
      <c r="D29" s="1254" t="s">
        <v>1555</v>
      </c>
      <c r="E29" s="1254"/>
      <c r="F29" s="1254"/>
      <c r="G29" s="1254"/>
      <c r="H29" s="1254"/>
      <c r="I29" s="1254"/>
      <c r="M29" s="1254"/>
      <c r="N29" s="1254"/>
      <c r="O29" s="1254"/>
      <c r="P29" s="1254"/>
      <c r="Q29" s="1254"/>
      <c r="R29" s="1254"/>
      <c r="S29" s="1254"/>
    </row>
    <row r="30" spans="3:19" ht="45" customHeight="1">
      <c r="C30" s="1254" t="s">
        <v>1556</v>
      </c>
      <c r="D30" s="1254"/>
      <c r="E30" s="1254"/>
      <c r="F30" s="1254"/>
      <c r="G30" s="1254"/>
      <c r="H30" s="1254"/>
      <c r="I30" s="1254"/>
    </row>
    <row r="31" spans="3:19">
      <c r="C31" s="741"/>
      <c r="D31" s="741"/>
      <c r="E31" s="741"/>
      <c r="F31" s="741"/>
      <c r="G31" s="741"/>
      <c r="H31" s="741"/>
      <c r="I31" s="741"/>
    </row>
    <row r="32" spans="3:19">
      <c r="C32" s="1490" t="s">
        <v>1557</v>
      </c>
      <c r="D32" s="1490"/>
      <c r="E32" s="1490"/>
      <c r="F32" s="1490"/>
      <c r="G32" s="1490"/>
      <c r="H32" s="1490"/>
      <c r="I32" s="1490"/>
    </row>
    <row r="33" spans="3:10" ht="33" customHeight="1">
      <c r="C33" s="1254" t="s">
        <v>1558</v>
      </c>
      <c r="D33" s="1254"/>
      <c r="E33" s="1254"/>
      <c r="F33" s="1254"/>
      <c r="G33" s="1254"/>
      <c r="H33" s="1254"/>
      <c r="I33" s="1254"/>
    </row>
    <row r="34" spans="3:10" ht="32.25" customHeight="1">
      <c r="C34" s="852" t="s">
        <v>1038</v>
      </c>
      <c r="D34" s="1254" t="s">
        <v>1559</v>
      </c>
      <c r="E34" s="1254"/>
      <c r="F34" s="1254"/>
      <c r="G34" s="1254"/>
      <c r="H34" s="1254"/>
      <c r="I34" s="1254"/>
    </row>
    <row r="35" spans="3:10" ht="17.25" customHeight="1">
      <c r="C35" s="852"/>
      <c r="D35" s="852" t="s">
        <v>1012</v>
      </c>
      <c r="E35" s="1254" t="s">
        <v>1560</v>
      </c>
      <c r="F35" s="1254"/>
      <c r="G35" s="1254"/>
      <c r="H35" s="1254"/>
      <c r="I35" s="1254"/>
    </row>
    <row r="36" spans="3:10" ht="50.25" customHeight="1">
      <c r="C36" s="852"/>
      <c r="D36" s="852" t="s">
        <v>1014</v>
      </c>
      <c r="E36" s="1254" t="s">
        <v>1561</v>
      </c>
      <c r="F36" s="1254"/>
      <c r="G36" s="1254"/>
      <c r="H36" s="1254"/>
      <c r="I36" s="1254"/>
    </row>
    <row r="37" spans="3:10" ht="45" customHeight="1">
      <c r="C37" s="852"/>
      <c r="D37" s="852" t="s">
        <v>1562</v>
      </c>
      <c r="E37" s="1254" t="s">
        <v>1563</v>
      </c>
      <c r="F37" s="1254"/>
      <c r="G37" s="1254"/>
      <c r="H37" s="1254"/>
      <c r="I37" s="1254"/>
    </row>
    <row r="38" spans="3:10" ht="33.75" customHeight="1">
      <c r="C38" s="852" t="s">
        <v>1040</v>
      </c>
      <c r="D38" s="1254" t="s">
        <v>1564</v>
      </c>
      <c r="E38" s="1254"/>
      <c r="F38" s="1254"/>
      <c r="G38" s="1254"/>
      <c r="H38" s="1254"/>
      <c r="I38" s="1254"/>
    </row>
    <row r="39" spans="3:10" ht="17.25" customHeight="1">
      <c r="C39" s="852" t="s">
        <v>1042</v>
      </c>
      <c r="D39" s="1254" t="s">
        <v>1565</v>
      </c>
      <c r="E39" s="1254"/>
      <c r="F39" s="1254"/>
      <c r="G39" s="1254"/>
      <c r="H39" s="1254"/>
      <c r="I39" s="1254"/>
    </row>
    <row r="40" spans="3:10" ht="58.5" customHeight="1">
      <c r="C40" s="741"/>
      <c r="D40" s="852" t="s">
        <v>1012</v>
      </c>
      <c r="E40" s="1254" t="s">
        <v>1566</v>
      </c>
      <c r="F40" s="1254"/>
      <c r="G40" s="1254"/>
      <c r="H40" s="1254"/>
      <c r="I40" s="1254"/>
    </row>
    <row r="41" spans="3:10" ht="16.5" customHeight="1">
      <c r="C41" s="741"/>
      <c r="D41" s="852" t="s">
        <v>1014</v>
      </c>
      <c r="E41" s="1254" t="s">
        <v>1567</v>
      </c>
      <c r="F41" s="1254"/>
      <c r="G41" s="1254"/>
      <c r="H41" s="1254"/>
      <c r="I41" s="1254"/>
    </row>
    <row r="42" spans="3:10" ht="45" customHeight="1">
      <c r="C42" s="741"/>
      <c r="D42" s="852" t="s">
        <v>1562</v>
      </c>
      <c r="E42" s="1254" t="s">
        <v>1568</v>
      </c>
      <c r="F42" s="1254"/>
      <c r="G42" s="1254"/>
      <c r="H42" s="1254"/>
      <c r="I42" s="1254"/>
    </row>
    <row r="43" spans="3:10">
      <c r="C43" s="741"/>
      <c r="D43" s="852"/>
      <c r="E43" s="741"/>
      <c r="F43" s="741"/>
      <c r="G43" s="741"/>
      <c r="H43" s="741"/>
      <c r="I43" s="741"/>
    </row>
    <row r="44" spans="3:10" s="733" customFormat="1" ht="34.5" customHeight="1">
      <c r="C44" s="1254" t="s">
        <v>1569</v>
      </c>
      <c r="D44" s="1254"/>
      <c r="E44" s="1254"/>
      <c r="F44" s="1254"/>
      <c r="G44" s="1254"/>
      <c r="H44" s="1254"/>
      <c r="I44" s="1254"/>
      <c r="J44" s="740"/>
    </row>
    <row r="45" spans="3:10" s="733" customFormat="1" ht="50.25" customHeight="1">
      <c r="C45" s="1254" t="s">
        <v>1570</v>
      </c>
      <c r="D45" s="1254"/>
      <c r="E45" s="1254"/>
      <c r="F45" s="1254"/>
      <c r="G45" s="1254"/>
      <c r="H45" s="1254"/>
      <c r="I45" s="1254"/>
      <c r="J45" s="740"/>
    </row>
    <row r="46" spans="3:10" s="733" customFormat="1" ht="20.25" customHeight="1">
      <c r="C46" s="1254" t="s">
        <v>1571</v>
      </c>
      <c r="D46" s="1254"/>
      <c r="E46" s="1254"/>
      <c r="F46" s="1254"/>
      <c r="G46" s="1254"/>
      <c r="H46" s="1254"/>
      <c r="I46" s="1254"/>
      <c r="J46" s="740"/>
    </row>
    <row r="47" spans="3:10" s="733" customFormat="1" ht="19.5" customHeight="1">
      <c r="C47" s="1254" t="s">
        <v>1572</v>
      </c>
      <c r="D47" s="1254"/>
      <c r="E47" s="1254"/>
      <c r="F47" s="1254"/>
      <c r="G47" s="1254"/>
      <c r="H47" s="1254"/>
      <c r="I47" s="1254"/>
      <c r="J47" s="740"/>
    </row>
    <row r="48" spans="3:10" s="733" customFormat="1" ht="33" customHeight="1">
      <c r="C48" s="1254" t="s">
        <v>1573</v>
      </c>
      <c r="D48" s="1254"/>
      <c r="E48" s="1254"/>
      <c r="F48" s="1254"/>
      <c r="G48" s="1254"/>
      <c r="H48" s="1254"/>
      <c r="I48" s="1254"/>
      <c r="J48" s="740"/>
    </row>
    <row r="49" spans="3:9">
      <c r="C49" s="725"/>
      <c r="D49" s="725"/>
      <c r="E49" s="725"/>
      <c r="F49" s="725"/>
      <c r="G49" s="725"/>
      <c r="H49" s="725"/>
      <c r="I49" s="725"/>
    </row>
    <row r="50" spans="3:9">
      <c r="D50" s="853"/>
      <c r="E50" s="853"/>
      <c r="F50" s="854"/>
      <c r="I50" s="855" t="str">
        <f>"For "&amp;$B$4&amp;""</f>
        <v>For A XXXXXXXXXXXociates</v>
      </c>
    </row>
    <row r="51" spans="3:9">
      <c r="D51" s="854"/>
      <c r="E51" s="854"/>
      <c r="F51" s="854"/>
      <c r="I51" s="856" t="str">
        <f>[111]BS!B59</f>
        <v>Chartered Accountants</v>
      </c>
    </row>
    <row r="52" spans="3:9">
      <c r="D52" s="854"/>
      <c r="E52" s="854"/>
      <c r="F52" s="854"/>
      <c r="I52" s="856" t="str">
        <f>[111]BS!B60</f>
        <v>Firm Regn No. 03XXXXXN</v>
      </c>
    </row>
    <row r="53" spans="3:9">
      <c r="D53" s="854"/>
      <c r="E53" s="854"/>
      <c r="F53" s="854"/>
      <c r="I53" s="856"/>
    </row>
    <row r="54" spans="3:9">
      <c r="D54" s="854"/>
      <c r="E54" s="854"/>
      <c r="F54" s="854"/>
      <c r="I54" s="856"/>
    </row>
    <row r="55" spans="3:9">
      <c r="D55" s="854"/>
      <c r="E55" s="854"/>
      <c r="F55" s="854"/>
      <c r="I55" s="856"/>
    </row>
    <row r="56" spans="3:9">
      <c r="D56" s="857"/>
      <c r="E56" s="858"/>
      <c r="F56" s="859"/>
      <c r="I56" s="860" t="str">
        <f>[111]BS!B65</f>
        <v>Auditor Name</v>
      </c>
    </row>
    <row r="57" spans="3:9">
      <c r="D57" s="725"/>
      <c r="E57" s="733"/>
      <c r="F57" s="861"/>
      <c r="I57" s="862" t="str">
        <f>[111]BS!B67</f>
        <v xml:space="preserve">M. No. </v>
      </c>
    </row>
    <row r="58" spans="3:9">
      <c r="D58" s="725"/>
      <c r="E58" s="733"/>
      <c r="F58" s="861"/>
      <c r="I58" s="862"/>
    </row>
    <row r="59" spans="3:9">
      <c r="D59" s="725"/>
      <c r="E59" s="733"/>
      <c r="F59" s="861"/>
      <c r="I59" s="862" t="str">
        <f>H8</f>
        <v>Date: 05-Oct-2023</v>
      </c>
    </row>
    <row r="60" spans="3:9">
      <c r="D60" s="725"/>
      <c r="E60" s="733"/>
      <c r="F60" s="861"/>
      <c r="I60" s="862" t="s">
        <v>1574</v>
      </c>
    </row>
    <row r="61" spans="3:9">
      <c r="C61" s="1493" t="s">
        <v>1575</v>
      </c>
      <c r="D61" s="1493"/>
      <c r="E61" s="1493"/>
      <c r="F61" s="1493"/>
      <c r="G61" s="1493"/>
      <c r="H61" s="1493"/>
      <c r="I61" s="1493"/>
    </row>
    <row r="63" spans="3:9">
      <c r="C63" s="1491" t="s">
        <v>1576</v>
      </c>
      <c r="D63" s="1491"/>
      <c r="E63" s="1491"/>
      <c r="F63" s="1491"/>
      <c r="G63" s="1491"/>
      <c r="H63" s="1491"/>
      <c r="I63" s="1491"/>
    </row>
    <row r="64" spans="3:9">
      <c r="C64" s="1492" t="str">
        <f>""&amp;Master!B10&amp;""</f>
        <v>ABC PRIVATE LIMITED</v>
      </c>
      <c r="D64" s="1492"/>
      <c r="E64" s="1492"/>
      <c r="F64" s="1492"/>
      <c r="G64" s="1492"/>
      <c r="H64" s="1492"/>
      <c r="I64" s="1492"/>
    </row>
    <row r="69" spans="3:6">
      <c r="C69" s="858" t="str">
        <f>[111]BS!F65</f>
        <v>Director 1</v>
      </c>
      <c r="F69" s="858" t="str">
        <f>[111]BS!H65</f>
        <v>Director 2</v>
      </c>
    </row>
    <row r="70" spans="3:6">
      <c r="C70" s="733" t="str">
        <f>[111]BS!F66</f>
        <v>DIN: 08XXXX41</v>
      </c>
      <c r="F70" s="733" t="str">
        <f>[111]BS!H66</f>
        <v>DIN: 087XXXX2</v>
      </c>
    </row>
    <row r="71" spans="3:6">
      <c r="C71" s="733" t="str">
        <f>[111]BS!F67</f>
        <v>(Director)</v>
      </c>
      <c r="F71" s="733" t="str">
        <f>[111]BS!H67</f>
        <v>(Director)</v>
      </c>
    </row>
    <row r="73" spans="3:6">
      <c r="C73" s="725" t="s">
        <v>1577</v>
      </c>
      <c r="D73" s="725"/>
      <c r="E73" s="725"/>
      <c r="F73" s="725"/>
    </row>
    <row r="74" spans="3:6">
      <c r="C74" s="725" t="s">
        <v>1578</v>
      </c>
      <c r="D74" s="725"/>
      <c r="E74" s="725"/>
      <c r="F74" s="725"/>
    </row>
  </sheetData>
  <mergeCells count="44">
    <mergeCell ref="C63:I63"/>
    <mergeCell ref="C64:I64"/>
    <mergeCell ref="C44:I44"/>
    <mergeCell ref="C45:I45"/>
    <mergeCell ref="C46:I46"/>
    <mergeCell ref="C47:I47"/>
    <mergeCell ref="C48:I48"/>
    <mergeCell ref="C61:I61"/>
    <mergeCell ref="E42:I42"/>
    <mergeCell ref="C30:I30"/>
    <mergeCell ref="C32:I32"/>
    <mergeCell ref="C33:I33"/>
    <mergeCell ref="D34:I34"/>
    <mergeCell ref="E35:I35"/>
    <mergeCell ref="E36:I36"/>
    <mergeCell ref="E37:I37"/>
    <mergeCell ref="D38:I38"/>
    <mergeCell ref="D39:I39"/>
    <mergeCell ref="E40:I40"/>
    <mergeCell ref="E41:I41"/>
    <mergeCell ref="D27:I27"/>
    <mergeCell ref="M27:S27"/>
    <mergeCell ref="D28:I28"/>
    <mergeCell ref="M28:S28"/>
    <mergeCell ref="D29:I29"/>
    <mergeCell ref="M29:S29"/>
    <mergeCell ref="C23:I23"/>
    <mergeCell ref="C24:I24"/>
    <mergeCell ref="D25:I25"/>
    <mergeCell ref="M25:S25"/>
    <mergeCell ref="D26:I26"/>
    <mergeCell ref="M26:S26"/>
    <mergeCell ref="C21:I21"/>
    <mergeCell ref="B2:J2"/>
    <mergeCell ref="B4:F4"/>
    <mergeCell ref="H4:J5"/>
    <mergeCell ref="B5:F5"/>
    <mergeCell ref="H8:I8"/>
    <mergeCell ref="D11:F12"/>
    <mergeCell ref="D14:I14"/>
    <mergeCell ref="C16:I16"/>
    <mergeCell ref="C17:I17"/>
    <mergeCell ref="C19:I19"/>
    <mergeCell ref="C20:I20"/>
  </mergeCells>
  <pageMargins left="0.70866141732283505" right="0.70866141732283505" top="0.74803149606299202" bottom="0.62" header="0.31496062992126" footer="0.31496062992126"/>
  <pageSetup paperSize="9" scale="72" fitToHeight="0" orientation="portrait" blackAndWhite="1" r:id="rId1"/>
  <rowBreaks count="1" manualBreakCount="1">
    <brk id="33" min="1"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J92"/>
  <sheetViews>
    <sheetView topLeftCell="B1" workbookViewId="0">
      <selection activeCell="D1" sqref="D1"/>
    </sheetView>
  </sheetViews>
  <sheetFormatPr defaultRowHeight="15"/>
  <cols>
    <col min="1" max="1" width="9.140625" style="185"/>
    <col min="2" max="2" width="32" customWidth="1"/>
    <col min="3" max="3" width="29.85546875" bestFit="1" customWidth="1"/>
    <col min="4" max="4" width="23.5703125" customWidth="1"/>
    <col min="5" max="5" width="32.140625" customWidth="1"/>
    <col min="6" max="6" width="26.140625" customWidth="1"/>
    <col min="7" max="7" width="13.28515625" bestFit="1" customWidth="1"/>
    <col min="8" max="8" width="17" bestFit="1" customWidth="1"/>
  </cols>
  <sheetData>
    <row r="1" spans="1:8">
      <c r="A1"/>
    </row>
    <row r="2" spans="1:8">
      <c r="A2"/>
    </row>
    <row r="3" spans="1:8" ht="19.5" thickBot="1">
      <c r="A3" s="196" t="s">
        <v>39</v>
      </c>
      <c r="B3" s="197" t="s">
        <v>305</v>
      </c>
    </row>
    <row r="4" spans="1:8" s="193" customFormat="1" ht="60" customHeight="1" thickBot="1">
      <c r="A4" s="190"/>
      <c r="B4" s="191" t="s">
        <v>306</v>
      </c>
      <c r="C4" s="192" t="s">
        <v>307</v>
      </c>
      <c r="D4" s="192" t="s">
        <v>308</v>
      </c>
      <c r="E4" s="192" t="s">
        <v>305</v>
      </c>
      <c r="F4" s="192" t="s">
        <v>309</v>
      </c>
      <c r="G4" s="192" t="s">
        <v>310</v>
      </c>
      <c r="H4" s="192" t="s">
        <v>311</v>
      </c>
    </row>
    <row r="5" spans="1:8">
      <c r="A5" s="184"/>
      <c r="B5" s="176"/>
      <c r="C5" s="177"/>
      <c r="E5" s="177"/>
      <c r="G5" s="177"/>
      <c r="H5" s="178"/>
    </row>
    <row r="6" spans="1:8">
      <c r="A6" s="184"/>
      <c r="B6" s="176"/>
      <c r="C6" s="179"/>
      <c r="E6" s="179"/>
      <c r="G6" s="179"/>
      <c r="H6" s="178"/>
    </row>
    <row r="7" spans="1:8">
      <c r="A7" s="184"/>
      <c r="B7" s="176"/>
      <c r="C7" s="179"/>
      <c r="E7" s="179"/>
      <c r="G7" s="179"/>
      <c r="H7" s="178"/>
    </row>
    <row r="8" spans="1:8" ht="15.75" thickBot="1">
      <c r="A8" s="184"/>
      <c r="B8" s="180"/>
      <c r="C8" s="181"/>
      <c r="D8" s="182"/>
      <c r="E8" s="181"/>
      <c r="F8" s="182"/>
      <c r="G8" s="181"/>
      <c r="H8" s="183"/>
    </row>
    <row r="9" spans="1:8">
      <c r="A9" s="184"/>
    </row>
    <row r="10" spans="1:8" ht="18.75">
      <c r="A10" s="196" t="s">
        <v>59</v>
      </c>
      <c r="B10" s="197" t="s">
        <v>312</v>
      </c>
    </row>
    <row r="11" spans="1:8">
      <c r="B11" s="186"/>
    </row>
    <row r="12" spans="1:8" ht="18.75">
      <c r="A12" s="196" t="s">
        <v>235</v>
      </c>
      <c r="B12" s="1494" t="s">
        <v>313</v>
      </c>
      <c r="C12" s="1494"/>
      <c r="D12" s="1494"/>
      <c r="E12" s="1494"/>
      <c r="F12" s="1494"/>
    </row>
    <row r="13" spans="1:8" ht="18.75">
      <c r="A13" s="196"/>
      <c r="B13" s="1494"/>
      <c r="C13" s="1494"/>
      <c r="D13" s="1494"/>
      <c r="E13" s="1494"/>
      <c r="F13" s="1494"/>
    </row>
    <row r="14" spans="1:8">
      <c r="A14" s="184"/>
      <c r="B14" s="186" t="s">
        <v>314</v>
      </c>
    </row>
    <row r="15" spans="1:8" ht="15.75" thickBot="1">
      <c r="A15" s="184"/>
      <c r="B15" s="186" t="s">
        <v>315</v>
      </c>
    </row>
    <row r="16" spans="1:8" s="194" customFormat="1" ht="66.75" thickBot="1">
      <c r="B16" s="191" t="s">
        <v>320</v>
      </c>
      <c r="C16" s="191" t="s">
        <v>321</v>
      </c>
      <c r="D16" s="195" t="s">
        <v>316</v>
      </c>
    </row>
    <row r="17" spans="1:7">
      <c r="A17"/>
      <c r="B17" s="174" t="s">
        <v>293</v>
      </c>
      <c r="C17" s="177"/>
      <c r="D17" s="189"/>
    </row>
    <row r="18" spans="1:7">
      <c r="A18"/>
      <c r="B18" s="188" t="s">
        <v>317</v>
      </c>
      <c r="C18" s="179"/>
      <c r="D18" s="178"/>
    </row>
    <row r="19" spans="1:7">
      <c r="A19"/>
      <c r="B19" s="188" t="s">
        <v>318</v>
      </c>
      <c r="C19" s="179"/>
      <c r="D19" s="178"/>
    </row>
    <row r="20" spans="1:7" ht="15.75" thickBot="1">
      <c r="A20"/>
      <c r="B20" s="175" t="s">
        <v>319</v>
      </c>
      <c r="C20" s="181"/>
      <c r="D20" s="183"/>
    </row>
    <row r="21" spans="1:7">
      <c r="A21"/>
    </row>
    <row r="22" spans="1:7" ht="18.75">
      <c r="A22" s="196" t="s">
        <v>244</v>
      </c>
      <c r="B22" s="197" t="s">
        <v>322</v>
      </c>
      <c r="C22" s="198"/>
    </row>
    <row r="23" spans="1:7" ht="17.25" thickBot="1">
      <c r="B23" s="187" t="s">
        <v>323</v>
      </c>
    </row>
    <row r="24" spans="1:7" ht="15.75" customHeight="1" thickBot="1">
      <c r="B24" s="1497" t="s">
        <v>324</v>
      </c>
      <c r="C24" s="1499" t="s">
        <v>325</v>
      </c>
      <c r="D24" s="1500"/>
      <c r="E24" s="1500"/>
      <c r="F24" s="1501"/>
      <c r="G24" s="1495" t="s">
        <v>88</v>
      </c>
    </row>
    <row r="25" spans="1:7" ht="15.75" thickBot="1">
      <c r="B25" s="1498"/>
      <c r="C25" s="201" t="s">
        <v>326</v>
      </c>
      <c r="D25" s="202" t="s">
        <v>330</v>
      </c>
      <c r="E25" s="199" t="s">
        <v>273</v>
      </c>
      <c r="F25" s="200" t="s">
        <v>327</v>
      </c>
      <c r="G25" s="1496"/>
    </row>
    <row r="26" spans="1:7">
      <c r="B26" s="211" t="s">
        <v>328</v>
      </c>
      <c r="C26" s="209"/>
      <c r="D26" s="209"/>
      <c r="E26" s="207"/>
      <c r="F26" s="203"/>
      <c r="G26" s="204"/>
    </row>
    <row r="27" spans="1:7" ht="15.75" thickBot="1">
      <c r="B27" s="212" t="s">
        <v>329</v>
      </c>
      <c r="C27" s="210"/>
      <c r="D27" s="210"/>
      <c r="E27" s="208"/>
      <c r="F27" s="205"/>
      <c r="G27" s="206"/>
    </row>
    <row r="29" spans="1:7" ht="17.25" thickBot="1">
      <c r="B29" s="187" t="s">
        <v>331</v>
      </c>
    </row>
    <row r="30" spans="1:7" ht="15.75" thickBot="1">
      <c r="B30" s="1497" t="s">
        <v>324</v>
      </c>
      <c r="C30" s="1499" t="s">
        <v>334</v>
      </c>
      <c r="D30" s="1500"/>
      <c r="E30" s="1500"/>
      <c r="F30" s="1501"/>
      <c r="G30" s="1495" t="s">
        <v>88</v>
      </c>
    </row>
    <row r="31" spans="1:7" ht="15.75" thickBot="1">
      <c r="B31" s="1498"/>
      <c r="C31" s="201" t="s">
        <v>326</v>
      </c>
      <c r="D31" s="202" t="s">
        <v>330</v>
      </c>
      <c r="E31" s="199" t="s">
        <v>273</v>
      </c>
      <c r="F31" s="200" t="s">
        <v>327</v>
      </c>
      <c r="G31" s="1496"/>
    </row>
    <row r="32" spans="1:7">
      <c r="B32" s="211" t="s">
        <v>332</v>
      </c>
      <c r="C32" s="209"/>
      <c r="D32" s="209"/>
      <c r="E32" s="207"/>
      <c r="F32" s="203"/>
      <c r="G32" s="204"/>
    </row>
    <row r="33" spans="1:7" ht="15.75" thickBot="1">
      <c r="B33" s="212" t="s">
        <v>333</v>
      </c>
      <c r="C33" s="210"/>
      <c r="D33" s="210"/>
      <c r="E33" s="208"/>
      <c r="F33" s="205"/>
      <c r="G33" s="206"/>
    </row>
    <row r="35" spans="1:7" ht="18.75">
      <c r="A35" s="196" t="s">
        <v>245</v>
      </c>
      <c r="B35" s="197" t="s">
        <v>335</v>
      </c>
    </row>
    <row r="36" spans="1:7" ht="17.25" thickBot="1">
      <c r="B36" s="187" t="s">
        <v>337</v>
      </c>
    </row>
    <row r="37" spans="1:7" ht="15.75" thickBot="1">
      <c r="B37" s="1497" t="s">
        <v>336</v>
      </c>
      <c r="C37" s="1499" t="s">
        <v>325</v>
      </c>
      <c r="D37" s="1500"/>
      <c r="E37" s="1500"/>
      <c r="F37" s="1501"/>
      <c r="G37" s="1495" t="s">
        <v>88</v>
      </c>
    </row>
    <row r="38" spans="1:7" ht="15.75" thickBot="1">
      <c r="B38" s="1498"/>
      <c r="C38" s="201" t="s">
        <v>326</v>
      </c>
      <c r="D38" s="202" t="s">
        <v>330</v>
      </c>
      <c r="E38" s="199" t="s">
        <v>273</v>
      </c>
      <c r="F38" s="200" t="s">
        <v>327</v>
      </c>
      <c r="G38" s="1496"/>
    </row>
    <row r="39" spans="1:7">
      <c r="B39" s="211" t="s">
        <v>332</v>
      </c>
      <c r="C39" s="209"/>
      <c r="D39" s="209"/>
      <c r="E39" s="207"/>
      <c r="F39" s="203"/>
      <c r="G39" s="204"/>
    </row>
    <row r="40" spans="1:7" ht="15.75" thickBot="1">
      <c r="B40" s="212" t="s">
        <v>333</v>
      </c>
      <c r="C40" s="210"/>
      <c r="D40" s="210"/>
      <c r="E40" s="208"/>
      <c r="F40" s="205"/>
      <c r="G40" s="206"/>
    </row>
    <row r="42" spans="1:7" ht="17.25" thickBot="1">
      <c r="B42" s="187" t="s">
        <v>338</v>
      </c>
    </row>
    <row r="43" spans="1:7" ht="15.75" thickBot="1">
      <c r="B43" s="1497" t="s">
        <v>336</v>
      </c>
      <c r="C43" s="1499" t="s">
        <v>334</v>
      </c>
      <c r="D43" s="1500"/>
      <c r="E43" s="1500"/>
      <c r="F43" s="1501"/>
      <c r="G43" s="1495" t="s">
        <v>88</v>
      </c>
    </row>
    <row r="44" spans="1:7" ht="15.75" thickBot="1">
      <c r="B44" s="1498"/>
      <c r="C44" s="201" t="s">
        <v>326</v>
      </c>
      <c r="D44" s="202" t="s">
        <v>330</v>
      </c>
      <c r="E44" s="199" t="s">
        <v>273</v>
      </c>
      <c r="F44" s="200" t="s">
        <v>327</v>
      </c>
      <c r="G44" s="1496"/>
    </row>
    <row r="45" spans="1:7">
      <c r="B45" s="211" t="s">
        <v>332</v>
      </c>
      <c r="C45" s="209"/>
      <c r="D45" s="209"/>
      <c r="E45" s="207"/>
      <c r="F45" s="203"/>
      <c r="G45" s="204"/>
    </row>
    <row r="46" spans="1:7" ht="15.75" thickBot="1">
      <c r="B46" s="212" t="s">
        <v>333</v>
      </c>
      <c r="C46" s="210"/>
      <c r="D46" s="210"/>
      <c r="E46" s="208"/>
      <c r="F46" s="205"/>
      <c r="G46" s="206"/>
    </row>
    <row r="48" spans="1:7" ht="20.25">
      <c r="A48" s="196" t="s">
        <v>246</v>
      </c>
      <c r="B48" s="213" t="s">
        <v>339</v>
      </c>
      <c r="C48" s="198"/>
    </row>
    <row r="50" spans="1:5" ht="20.25">
      <c r="A50" s="196" t="s">
        <v>249</v>
      </c>
      <c r="B50" s="213" t="s">
        <v>340</v>
      </c>
    </row>
    <row r="51" spans="1:5" ht="16.5">
      <c r="B51" s="187" t="s">
        <v>341</v>
      </c>
    </row>
    <row r="52" spans="1:5" ht="16.5">
      <c r="B52" s="187" t="s">
        <v>342</v>
      </c>
    </row>
    <row r="54" spans="1:5" ht="20.25">
      <c r="A54" s="196" t="s">
        <v>251</v>
      </c>
      <c r="B54" s="213" t="s">
        <v>343</v>
      </c>
    </row>
    <row r="55" spans="1:5">
      <c r="B55" t="s">
        <v>344</v>
      </c>
    </row>
    <row r="56" spans="1:5">
      <c r="B56" t="s">
        <v>345</v>
      </c>
    </row>
    <row r="58" spans="1:5" ht="20.25">
      <c r="A58" s="196" t="s">
        <v>253</v>
      </c>
      <c r="B58" s="213" t="s">
        <v>346</v>
      </c>
    </row>
    <row r="59" spans="1:5" ht="15.75" thickBot="1">
      <c r="B59" t="s">
        <v>347</v>
      </c>
    </row>
    <row r="60" spans="1:5" ht="46.5" customHeight="1" thickBot="1">
      <c r="B60" s="217" t="s">
        <v>348</v>
      </c>
      <c r="C60" s="218" t="s">
        <v>354</v>
      </c>
      <c r="D60" s="219" t="s">
        <v>349</v>
      </c>
      <c r="E60" s="220" t="s">
        <v>350</v>
      </c>
    </row>
    <row r="61" spans="1:5" ht="17.25" thickBot="1">
      <c r="B61" s="214"/>
      <c r="C61" s="215" t="s">
        <v>351</v>
      </c>
      <c r="D61" s="216"/>
      <c r="E61" s="216"/>
    </row>
    <row r="62" spans="1:5" ht="17.25" thickBot="1">
      <c r="B62" s="214"/>
      <c r="C62" s="215" t="s">
        <v>352</v>
      </c>
      <c r="D62" s="216"/>
      <c r="E62" s="216"/>
    </row>
    <row r="63" spans="1:5" ht="17.25" thickBot="1">
      <c r="B63" s="214"/>
      <c r="C63" s="215" t="s">
        <v>353</v>
      </c>
      <c r="D63" s="216"/>
      <c r="E63" s="216"/>
    </row>
    <row r="64" spans="1:5" ht="33.75" thickBot="1">
      <c r="B64" s="214"/>
      <c r="C64" s="222" t="s">
        <v>355</v>
      </c>
      <c r="D64" s="216"/>
      <c r="E64" s="216"/>
    </row>
    <row r="65" spans="1:10" ht="33.75" thickBot="1">
      <c r="B65" s="221"/>
      <c r="C65" s="223" t="s">
        <v>356</v>
      </c>
      <c r="D65" s="216"/>
      <c r="E65" s="216"/>
    </row>
    <row r="67" spans="1:10" ht="20.25">
      <c r="A67" s="196" t="s">
        <v>358</v>
      </c>
      <c r="B67" s="213" t="s">
        <v>357</v>
      </c>
    </row>
    <row r="68" spans="1:10">
      <c r="B68" t="s">
        <v>359</v>
      </c>
    </row>
    <row r="70" spans="1:10" ht="20.25">
      <c r="A70" s="196" t="s">
        <v>258</v>
      </c>
      <c r="B70" s="213" t="s">
        <v>360</v>
      </c>
    </row>
    <row r="71" spans="1:10">
      <c r="B71" t="s">
        <v>361</v>
      </c>
    </row>
    <row r="73" spans="1:10" ht="19.5" thickBot="1">
      <c r="A73" s="196" t="s">
        <v>258</v>
      </c>
      <c r="B73" s="197" t="s">
        <v>362</v>
      </c>
    </row>
    <row r="74" spans="1:10" ht="15.75" thickBot="1">
      <c r="B74" s="227" t="s">
        <v>362</v>
      </c>
      <c r="C74" s="232" t="s">
        <v>373</v>
      </c>
      <c r="D74" s="227" t="s">
        <v>374</v>
      </c>
      <c r="E74" s="232" t="s">
        <v>299</v>
      </c>
      <c r="F74" s="227" t="s">
        <v>364</v>
      </c>
      <c r="G74" s="228" t="s">
        <v>369</v>
      </c>
    </row>
    <row r="75" spans="1:10">
      <c r="B75" s="229" t="s">
        <v>363</v>
      </c>
      <c r="C75" s="233" t="s">
        <v>375</v>
      </c>
      <c r="D75" s="229" t="s">
        <v>376</v>
      </c>
      <c r="E75" s="236" t="e">
        <f>I75/J75</f>
        <v>#DIV/0!</v>
      </c>
      <c r="F75" s="243"/>
      <c r="G75" s="240" t="e">
        <f>E75-F75</f>
        <v>#DIV/0!</v>
      </c>
      <c r="I75" s="225"/>
      <c r="J75" s="225"/>
    </row>
    <row r="76" spans="1:10" ht="28.5">
      <c r="B76" s="230" t="s">
        <v>365</v>
      </c>
      <c r="C76" s="246" t="s">
        <v>389</v>
      </c>
      <c r="D76" s="247" t="s">
        <v>390</v>
      </c>
      <c r="E76" s="237">
        <v>0</v>
      </c>
      <c r="F76" s="244"/>
      <c r="G76" s="241">
        <f>E76-F76</f>
        <v>0</v>
      </c>
      <c r="H76" s="224"/>
      <c r="I76" s="226"/>
      <c r="J76" s="226"/>
    </row>
    <row r="77" spans="1:10" ht="28.5">
      <c r="B77" s="230" t="s">
        <v>366</v>
      </c>
      <c r="C77" s="246" t="s">
        <v>377</v>
      </c>
      <c r="D77" s="247" t="s">
        <v>378</v>
      </c>
      <c r="E77" s="237" t="e">
        <f t="shared" ref="E77:E84" si="0">I77/J77</f>
        <v>#DIV/0!</v>
      </c>
      <c r="F77" s="244"/>
      <c r="G77" s="241" t="e">
        <f t="shared" ref="G77:G84" si="1">E77-F77</f>
        <v>#DIV/0!</v>
      </c>
      <c r="I77" s="225"/>
      <c r="J77" s="225"/>
    </row>
    <row r="78" spans="1:10">
      <c r="B78" s="230" t="s">
        <v>367</v>
      </c>
      <c r="C78" s="246" t="s">
        <v>387</v>
      </c>
      <c r="D78" s="247" t="s">
        <v>379</v>
      </c>
      <c r="E78" s="237">
        <v>0</v>
      </c>
      <c r="F78" s="244"/>
      <c r="G78" s="241">
        <f t="shared" si="1"/>
        <v>0</v>
      </c>
      <c r="I78" s="225"/>
      <c r="J78" s="225"/>
    </row>
    <row r="79" spans="1:10" ht="28.5">
      <c r="B79" s="230" t="s">
        <v>396</v>
      </c>
      <c r="C79" s="246" t="s">
        <v>388</v>
      </c>
      <c r="D79" s="247" t="s">
        <v>380</v>
      </c>
      <c r="E79" s="237" t="e">
        <f t="shared" si="0"/>
        <v>#DIV/0!</v>
      </c>
      <c r="F79" s="244"/>
      <c r="G79" s="241" t="e">
        <f t="shared" si="1"/>
        <v>#DIV/0!</v>
      </c>
      <c r="I79" s="225"/>
      <c r="J79" s="225"/>
    </row>
    <row r="80" spans="1:10" ht="57">
      <c r="B80" s="230" t="s">
        <v>395</v>
      </c>
      <c r="C80" s="246" t="s">
        <v>381</v>
      </c>
      <c r="D80" s="247" t="s">
        <v>382</v>
      </c>
      <c r="E80" s="237" t="e">
        <f t="shared" si="0"/>
        <v>#DIV/0!</v>
      </c>
      <c r="F80" s="244"/>
      <c r="G80" s="241" t="e">
        <f t="shared" si="1"/>
        <v>#DIV/0!</v>
      </c>
      <c r="I80" s="225"/>
      <c r="J80" s="225"/>
    </row>
    <row r="81" spans="1:10" ht="28.5">
      <c r="B81" s="230" t="s">
        <v>394</v>
      </c>
      <c r="C81" s="246" t="s">
        <v>386</v>
      </c>
      <c r="D81" s="247" t="s">
        <v>391</v>
      </c>
      <c r="E81" s="237" t="e">
        <f t="shared" si="0"/>
        <v>#DIV/0!</v>
      </c>
      <c r="F81" s="244"/>
      <c r="G81" s="241" t="e">
        <f t="shared" si="1"/>
        <v>#DIV/0!</v>
      </c>
      <c r="I81" s="225"/>
      <c r="J81" s="225"/>
    </row>
    <row r="82" spans="1:10">
      <c r="B82" s="230" t="s">
        <v>393</v>
      </c>
      <c r="C82" s="246" t="s">
        <v>385</v>
      </c>
      <c r="D82" s="247" t="s">
        <v>386</v>
      </c>
      <c r="E82" s="238" t="e">
        <f t="shared" si="0"/>
        <v>#DIV/0!</v>
      </c>
      <c r="F82" s="244"/>
      <c r="G82" s="241" t="e">
        <f t="shared" si="1"/>
        <v>#DIV/0!</v>
      </c>
      <c r="I82" s="225"/>
      <c r="J82" s="225"/>
    </row>
    <row r="83" spans="1:10">
      <c r="B83" s="230" t="s">
        <v>392</v>
      </c>
      <c r="C83" s="234" t="s">
        <v>383</v>
      </c>
      <c r="D83" s="230" t="s">
        <v>384</v>
      </c>
      <c r="E83" s="238" t="e">
        <f t="shared" si="0"/>
        <v>#DIV/0!</v>
      </c>
      <c r="F83" s="244"/>
      <c r="G83" s="241" t="e">
        <f t="shared" si="1"/>
        <v>#DIV/0!</v>
      </c>
      <c r="I83" s="225"/>
      <c r="J83" s="225"/>
    </row>
    <row r="84" spans="1:10" ht="15.75" thickBot="1">
      <c r="B84" s="231" t="s">
        <v>368</v>
      </c>
      <c r="C84" s="235" t="s">
        <v>385</v>
      </c>
      <c r="D84" s="231" t="s">
        <v>191</v>
      </c>
      <c r="E84" s="239" t="e">
        <f t="shared" si="0"/>
        <v>#DIV/0!</v>
      </c>
      <c r="F84" s="245"/>
      <c r="G84" s="242" t="e">
        <f t="shared" si="1"/>
        <v>#DIV/0!</v>
      </c>
      <c r="H84" s="224"/>
      <c r="I84" s="226"/>
      <c r="J84" s="226"/>
    </row>
    <row r="87" spans="1:10" ht="18.75">
      <c r="A87" s="196" t="s">
        <v>259</v>
      </c>
      <c r="B87" s="197" t="s">
        <v>371</v>
      </c>
    </row>
    <row r="88" spans="1:10" ht="16.5">
      <c r="B88" s="187" t="s">
        <v>370</v>
      </c>
    </row>
    <row r="91" spans="1:10" ht="18.75">
      <c r="A91" s="196" t="s">
        <v>261</v>
      </c>
      <c r="B91" s="197" t="s">
        <v>372</v>
      </c>
    </row>
    <row r="92" spans="1:10" ht="18.75">
      <c r="A92" s="196"/>
      <c r="B92" s="197"/>
    </row>
  </sheetData>
  <mergeCells count="13">
    <mergeCell ref="B12:F13"/>
    <mergeCell ref="G37:G38"/>
    <mergeCell ref="B24:B25"/>
    <mergeCell ref="B43:B44"/>
    <mergeCell ref="C43:F43"/>
    <mergeCell ref="G43:G44"/>
    <mergeCell ref="C24:F24"/>
    <mergeCell ref="G24:G25"/>
    <mergeCell ref="B30:B31"/>
    <mergeCell ref="C30:F30"/>
    <mergeCell ref="G30:G31"/>
    <mergeCell ref="B37:B38"/>
    <mergeCell ref="C37:F37"/>
  </mergeCells>
  <pageMargins left="0.7" right="0.7" top="0.75" bottom="0.75" header="0.3" footer="0.3"/>
  <pageSetup paperSize="9" scale="30"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48"/>
  <sheetViews>
    <sheetView showGridLines="0" workbookViewId="0">
      <pane xSplit="4" ySplit="4" topLeftCell="E429" activePane="bottomRight" state="frozen"/>
      <selection activeCell="B13" sqref="B13"/>
      <selection pane="topRight" activeCell="B13" sqref="B13"/>
      <selection pane="bottomLeft" activeCell="B13" sqref="B13"/>
      <selection pane="bottomRight" activeCell="E5" sqref="E5:H448"/>
    </sheetView>
  </sheetViews>
  <sheetFormatPr defaultRowHeight="15"/>
  <cols>
    <col min="1" max="1" width="11" style="443" customWidth="1"/>
    <col min="2" max="2" width="15.28515625" style="443" bestFit="1" customWidth="1"/>
    <col min="3" max="3" width="38.28515625" style="443" bestFit="1" customWidth="1"/>
    <col min="4" max="4" width="41.140625" style="443" customWidth="1"/>
    <col min="5" max="5" width="21.28515625" style="443" customWidth="1"/>
    <col min="6" max="7" width="18.5703125" style="443" bestFit="1" customWidth="1"/>
    <col min="8" max="8" width="19.5703125" style="443" bestFit="1" customWidth="1"/>
    <col min="9" max="9" width="22.28515625" style="443" bestFit="1" customWidth="1"/>
    <col min="10" max="10" width="9.7109375" style="443" customWidth="1"/>
    <col min="11" max="11" width="33" style="443" customWidth="1"/>
    <col min="12" max="12" width="16.7109375" style="443" customWidth="1"/>
    <col min="13" max="13" width="12.5703125" style="443" customWidth="1"/>
    <col min="14" max="16384" width="9.140625" style="443"/>
  </cols>
  <sheetData>
    <row r="1" spans="1:13">
      <c r="H1" s="443">
        <v>4643740.3899999997</v>
      </c>
      <c r="I1" s="997">
        <f>H2-H1</f>
        <v>-4643740.3899999997</v>
      </c>
      <c r="L1" s="443" t="s">
        <v>427</v>
      </c>
      <c r="M1" s="443" t="s">
        <v>430</v>
      </c>
    </row>
    <row r="2" spans="1:13">
      <c r="F2" s="444">
        <f>SUBTOTAL(9,Trial_2Cut[Debit])</f>
        <v>0</v>
      </c>
      <c r="G2" s="444">
        <f>SUBTOTAL(9,Trial_2Cut[Credit])</f>
        <v>0</v>
      </c>
      <c r="H2" s="656">
        <f>ROUND(SUBTOTAL(9,Trial_2Cut[Net]),0)</f>
        <v>0</v>
      </c>
      <c r="I2" s="444">
        <f>SUBTOTAL(9,Trial_2Cut[Rs. In Hundereds])</f>
        <v>0</v>
      </c>
      <c r="L2" s="443" t="s">
        <v>621</v>
      </c>
      <c r="M2" s="443" t="s">
        <v>83</v>
      </c>
    </row>
    <row r="4" spans="1:13">
      <c r="A4" s="446" t="s">
        <v>411</v>
      </c>
      <c r="B4" s="446" t="s">
        <v>412</v>
      </c>
      <c r="C4" s="446" t="s">
        <v>413</v>
      </c>
      <c r="D4" s="446" t="s">
        <v>414</v>
      </c>
      <c r="E4" s="446" t="s">
        <v>426</v>
      </c>
      <c r="F4" s="446" t="s">
        <v>415</v>
      </c>
      <c r="G4" s="446" t="s">
        <v>416</v>
      </c>
      <c r="H4" s="446" t="s">
        <v>417</v>
      </c>
      <c r="I4" s="446" t="s">
        <v>623</v>
      </c>
      <c r="J4" s="446" t="s">
        <v>418</v>
      </c>
      <c r="K4" s="446" t="s">
        <v>419</v>
      </c>
      <c r="L4" s="446" t="s">
        <v>438</v>
      </c>
      <c r="M4" s="446" t="s">
        <v>420</v>
      </c>
    </row>
    <row r="5" spans="1:13">
      <c r="A5" s="412" t="s">
        <v>621</v>
      </c>
      <c r="B5" s="412" t="s">
        <v>1775</v>
      </c>
      <c r="C5" s="412" t="s">
        <v>1776</v>
      </c>
      <c r="D5" s="412" t="s">
        <v>663</v>
      </c>
      <c r="E5" s="1017"/>
      <c r="F5" s="1017"/>
      <c r="G5" s="1017"/>
      <c r="H5" s="1017"/>
      <c r="I5" s="659">
        <f>ROUND(Trial_2Cut[[#This Row],[Net]]/10^3,2)</f>
        <v>0</v>
      </c>
      <c r="J5" s="447"/>
      <c r="K5" s="447"/>
      <c r="L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 s="447"/>
    </row>
    <row r="6" spans="1:13">
      <c r="A6" s="412" t="s">
        <v>621</v>
      </c>
      <c r="B6" s="412" t="s">
        <v>1775</v>
      </c>
      <c r="C6" s="412" t="s">
        <v>422</v>
      </c>
      <c r="D6" s="412" t="s">
        <v>664</v>
      </c>
      <c r="E6" s="1017"/>
      <c r="F6" s="1017"/>
      <c r="G6" s="1017"/>
      <c r="H6" s="1017"/>
      <c r="I6" s="659">
        <f>ROUND(Trial_2Cut[[#This Row],[Net]]/10^3,2)</f>
        <v>0</v>
      </c>
      <c r="J6" s="475" t="s">
        <v>216</v>
      </c>
      <c r="K6" s="475" t="s">
        <v>1839</v>
      </c>
      <c r="L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 s="447"/>
    </row>
    <row r="7" spans="1:13">
      <c r="A7" s="412" t="s">
        <v>621</v>
      </c>
      <c r="B7" s="412" t="s">
        <v>1775</v>
      </c>
      <c r="C7" s="412" t="s">
        <v>422</v>
      </c>
      <c r="D7" s="412" t="s">
        <v>665</v>
      </c>
      <c r="E7" s="1017"/>
      <c r="F7" s="1017"/>
      <c r="G7" s="1017"/>
      <c r="H7" s="1017"/>
      <c r="I7" s="659">
        <f>ROUND(Trial_2Cut[[#This Row],[Net]]/10^3,2)</f>
        <v>0</v>
      </c>
      <c r="J7" s="475" t="s">
        <v>216</v>
      </c>
      <c r="K7" s="475" t="s">
        <v>1839</v>
      </c>
      <c r="L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 s="447"/>
    </row>
    <row r="8" spans="1:13">
      <c r="A8" s="412" t="s">
        <v>621</v>
      </c>
      <c r="B8" s="412" t="s">
        <v>1775</v>
      </c>
      <c r="C8" s="412" t="s">
        <v>422</v>
      </c>
      <c r="D8" s="412" t="s">
        <v>666</v>
      </c>
      <c r="E8" s="1017"/>
      <c r="F8" s="1017"/>
      <c r="G8" s="1017"/>
      <c r="H8" s="1017"/>
      <c r="I8" s="659">
        <f>ROUND(Trial_2Cut[[#This Row],[Net]]/10^3,2)</f>
        <v>0</v>
      </c>
      <c r="J8" s="475" t="s">
        <v>216</v>
      </c>
      <c r="K8" s="475" t="s">
        <v>1839</v>
      </c>
      <c r="L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 s="447"/>
    </row>
    <row r="9" spans="1:13">
      <c r="A9" s="412" t="s">
        <v>621</v>
      </c>
      <c r="B9" s="412" t="s">
        <v>1775</v>
      </c>
      <c r="C9" s="412" t="s">
        <v>422</v>
      </c>
      <c r="D9" s="412" t="s">
        <v>667</v>
      </c>
      <c r="E9" s="1017"/>
      <c r="F9" s="1017"/>
      <c r="G9" s="1017"/>
      <c r="H9" s="1017"/>
      <c r="I9" s="659">
        <f>ROUND(Trial_2Cut[[#This Row],[Net]]/10^3,2)</f>
        <v>0</v>
      </c>
      <c r="J9" s="475" t="s">
        <v>216</v>
      </c>
      <c r="K9" s="475" t="s">
        <v>1839</v>
      </c>
      <c r="L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 s="447"/>
    </row>
    <row r="10" spans="1:13">
      <c r="A10" s="412" t="s">
        <v>621</v>
      </c>
      <c r="B10" s="412" t="s">
        <v>1775</v>
      </c>
      <c r="C10" s="412" t="s">
        <v>422</v>
      </c>
      <c r="D10" s="412" t="s">
        <v>668</v>
      </c>
      <c r="E10" s="1017"/>
      <c r="F10" s="1017"/>
      <c r="G10" s="1017"/>
      <c r="H10" s="1017"/>
      <c r="I10" s="659">
        <f>ROUND(Trial_2Cut[[#This Row],[Net]]/10^3,2)</f>
        <v>0</v>
      </c>
      <c r="J10" s="475" t="s">
        <v>216</v>
      </c>
      <c r="K10" s="475" t="s">
        <v>1839</v>
      </c>
      <c r="L1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 s="447"/>
    </row>
    <row r="11" spans="1:13">
      <c r="A11" s="412" t="s">
        <v>621</v>
      </c>
      <c r="B11" s="412" t="s">
        <v>1775</v>
      </c>
      <c r="C11" s="412" t="s">
        <v>422</v>
      </c>
      <c r="D11" s="412" t="s">
        <v>669</v>
      </c>
      <c r="E11" s="1017"/>
      <c r="F11" s="1017"/>
      <c r="G11" s="1017"/>
      <c r="H11" s="1017"/>
      <c r="I11" s="659">
        <f>ROUND(Trial_2Cut[[#This Row],[Net]]/10^3,2)</f>
        <v>0</v>
      </c>
      <c r="J11" s="475" t="s">
        <v>216</v>
      </c>
      <c r="K11" s="475" t="s">
        <v>1839</v>
      </c>
      <c r="L1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 s="447"/>
    </row>
    <row r="12" spans="1:13">
      <c r="A12" s="412" t="s">
        <v>621</v>
      </c>
      <c r="B12" s="412" t="s">
        <v>1775</v>
      </c>
      <c r="C12" s="412" t="s">
        <v>422</v>
      </c>
      <c r="D12" s="412" t="s">
        <v>670</v>
      </c>
      <c r="E12" s="1017"/>
      <c r="F12" s="1017"/>
      <c r="G12" s="1017"/>
      <c r="H12" s="1017"/>
      <c r="I12" s="659">
        <f>ROUND(Trial_2Cut[[#This Row],[Net]]/10^3,2)</f>
        <v>0</v>
      </c>
      <c r="J12" s="475" t="s">
        <v>216</v>
      </c>
      <c r="K12" s="475" t="s">
        <v>1839</v>
      </c>
      <c r="L1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 s="447"/>
    </row>
    <row r="13" spans="1:13">
      <c r="A13" s="412" t="s">
        <v>621</v>
      </c>
      <c r="B13" s="412" t="s">
        <v>1775</v>
      </c>
      <c r="C13" s="412" t="s">
        <v>422</v>
      </c>
      <c r="D13" s="412" t="s">
        <v>671</v>
      </c>
      <c r="E13" s="1017"/>
      <c r="F13" s="1017"/>
      <c r="G13" s="1017"/>
      <c r="H13" s="1017"/>
      <c r="I13" s="659">
        <f>ROUND(Trial_2Cut[[#This Row],[Net]]/10^3,2)</f>
        <v>0</v>
      </c>
      <c r="J13" s="475" t="s">
        <v>216</v>
      </c>
      <c r="K13" s="475" t="s">
        <v>1839</v>
      </c>
      <c r="L1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 s="447"/>
    </row>
    <row r="14" spans="1:13">
      <c r="A14" s="412" t="s">
        <v>621</v>
      </c>
      <c r="B14" s="412" t="s">
        <v>1775</v>
      </c>
      <c r="C14" s="412" t="s">
        <v>422</v>
      </c>
      <c r="D14" s="412" t="s">
        <v>672</v>
      </c>
      <c r="E14" s="1017"/>
      <c r="F14" s="1017"/>
      <c r="G14" s="1017"/>
      <c r="H14" s="1017"/>
      <c r="I14" s="659">
        <f>ROUND(Trial_2Cut[[#This Row],[Net]]/10^3,2)</f>
        <v>0</v>
      </c>
      <c r="J14" s="475" t="s">
        <v>216</v>
      </c>
      <c r="K14" s="475" t="s">
        <v>1839</v>
      </c>
      <c r="L1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 s="447"/>
    </row>
    <row r="15" spans="1:13">
      <c r="A15" s="412" t="s">
        <v>621</v>
      </c>
      <c r="B15" s="412" t="s">
        <v>1775</v>
      </c>
      <c r="C15" s="412" t="s">
        <v>422</v>
      </c>
      <c r="D15" s="412" t="s">
        <v>673</v>
      </c>
      <c r="E15" s="1017"/>
      <c r="F15" s="1017"/>
      <c r="G15" s="1017"/>
      <c r="H15" s="1017"/>
      <c r="I15" s="659">
        <f>ROUND(Trial_2Cut[[#This Row],[Net]]/10^3,2)</f>
        <v>0</v>
      </c>
      <c r="J15" s="475" t="s">
        <v>216</v>
      </c>
      <c r="K15" s="475" t="s">
        <v>1839</v>
      </c>
      <c r="L1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 s="447"/>
    </row>
    <row r="16" spans="1:13">
      <c r="A16" s="412" t="s">
        <v>621</v>
      </c>
      <c r="B16" s="412" t="s">
        <v>1775</v>
      </c>
      <c r="C16" s="412" t="s">
        <v>422</v>
      </c>
      <c r="D16" s="412" t="s">
        <v>674</v>
      </c>
      <c r="E16" s="1017"/>
      <c r="F16" s="1017"/>
      <c r="G16" s="1017"/>
      <c r="H16" s="1017"/>
      <c r="I16" s="659">
        <f>ROUND(Trial_2Cut[[#This Row],[Net]]/10^3,2)</f>
        <v>0</v>
      </c>
      <c r="J16" s="475" t="s">
        <v>216</v>
      </c>
      <c r="K16" s="475" t="s">
        <v>1839</v>
      </c>
      <c r="L1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 s="447"/>
    </row>
    <row r="17" spans="1:13">
      <c r="A17" s="412" t="s">
        <v>621</v>
      </c>
      <c r="B17" s="412" t="s">
        <v>1775</v>
      </c>
      <c r="C17" s="412" t="s">
        <v>422</v>
      </c>
      <c r="D17" s="412" t="s">
        <v>675</v>
      </c>
      <c r="E17" s="1017"/>
      <c r="F17" s="1017"/>
      <c r="G17" s="1017"/>
      <c r="H17" s="1017"/>
      <c r="I17" s="659">
        <f>ROUND(Trial_2Cut[[#This Row],[Net]]/10^3,2)</f>
        <v>0</v>
      </c>
      <c r="J17" s="475" t="s">
        <v>216</v>
      </c>
      <c r="K17" s="475" t="s">
        <v>1839</v>
      </c>
      <c r="L1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 s="447"/>
    </row>
    <row r="18" spans="1:13">
      <c r="A18" s="412" t="s">
        <v>621</v>
      </c>
      <c r="B18" s="412" t="s">
        <v>1775</v>
      </c>
      <c r="C18" s="412" t="s">
        <v>422</v>
      </c>
      <c r="D18" s="412" t="s">
        <v>676</v>
      </c>
      <c r="E18" s="1017"/>
      <c r="F18" s="1017"/>
      <c r="G18" s="1017"/>
      <c r="H18" s="1017"/>
      <c r="I18" s="659">
        <f>ROUND(Trial_2Cut[[#This Row],[Net]]/10^3,2)</f>
        <v>0</v>
      </c>
      <c r="J18" s="475" t="s">
        <v>216</v>
      </c>
      <c r="K18" s="475" t="s">
        <v>1839</v>
      </c>
      <c r="L1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 s="447"/>
    </row>
    <row r="19" spans="1:13">
      <c r="A19" s="412" t="s">
        <v>621</v>
      </c>
      <c r="B19" s="412" t="s">
        <v>1775</v>
      </c>
      <c r="C19" s="412" t="s">
        <v>422</v>
      </c>
      <c r="D19" s="412" t="s">
        <v>677</v>
      </c>
      <c r="E19" s="1017"/>
      <c r="F19" s="1017"/>
      <c r="G19" s="1017"/>
      <c r="H19" s="1017"/>
      <c r="I19" s="659">
        <f>ROUND(Trial_2Cut[[#This Row],[Net]]/10^3,2)</f>
        <v>0</v>
      </c>
      <c r="J19" s="475" t="s">
        <v>216</v>
      </c>
      <c r="K19" s="475" t="s">
        <v>1839</v>
      </c>
      <c r="L1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9" s="447"/>
    </row>
    <row r="20" spans="1:13">
      <c r="A20" s="412" t="s">
        <v>621</v>
      </c>
      <c r="B20" s="412" t="s">
        <v>1775</v>
      </c>
      <c r="C20" s="412" t="s">
        <v>422</v>
      </c>
      <c r="D20" s="412" t="s">
        <v>678</v>
      </c>
      <c r="E20" s="1017"/>
      <c r="F20" s="1017"/>
      <c r="G20" s="1017"/>
      <c r="H20" s="1017"/>
      <c r="I20" s="659">
        <f>ROUND(Trial_2Cut[[#This Row],[Net]]/10^3,2)</f>
        <v>0</v>
      </c>
      <c r="J20" s="475" t="s">
        <v>216</v>
      </c>
      <c r="K20" s="475" t="s">
        <v>1839</v>
      </c>
      <c r="L2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0" s="447"/>
    </row>
    <row r="21" spans="1:13">
      <c r="A21" s="412" t="s">
        <v>621</v>
      </c>
      <c r="B21" s="412" t="s">
        <v>1775</v>
      </c>
      <c r="C21" s="412" t="s">
        <v>422</v>
      </c>
      <c r="D21" s="412" t="s">
        <v>677</v>
      </c>
      <c r="E21" s="1017"/>
      <c r="F21" s="1017"/>
      <c r="G21" s="1017"/>
      <c r="H21" s="1017"/>
      <c r="I21" s="659">
        <f>ROUND(Trial_2Cut[[#This Row],[Net]]/10^3,2)</f>
        <v>0</v>
      </c>
      <c r="J21" s="475" t="s">
        <v>216</v>
      </c>
      <c r="K21" s="475" t="s">
        <v>1839</v>
      </c>
      <c r="L2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1" s="447"/>
    </row>
    <row r="22" spans="1:13">
      <c r="A22" s="412" t="s">
        <v>621</v>
      </c>
      <c r="B22" s="412" t="s">
        <v>1775</v>
      </c>
      <c r="C22" s="412" t="s">
        <v>422</v>
      </c>
      <c r="D22" s="412" t="s">
        <v>679</v>
      </c>
      <c r="E22" s="1017"/>
      <c r="F22" s="1017"/>
      <c r="G22" s="1017"/>
      <c r="H22" s="1017"/>
      <c r="I22" s="659">
        <f>ROUND(Trial_2Cut[[#This Row],[Net]]/10^3,2)</f>
        <v>0</v>
      </c>
      <c r="J22" s="475" t="s">
        <v>216</v>
      </c>
      <c r="K22" s="475" t="s">
        <v>1839</v>
      </c>
      <c r="L2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2" s="447"/>
    </row>
    <row r="23" spans="1:13">
      <c r="A23" s="412" t="s">
        <v>621</v>
      </c>
      <c r="B23" s="412" t="s">
        <v>1775</v>
      </c>
      <c r="C23" s="412" t="s">
        <v>422</v>
      </c>
      <c r="D23" s="412" t="s">
        <v>680</v>
      </c>
      <c r="E23" s="1017"/>
      <c r="F23" s="1017"/>
      <c r="G23" s="1017"/>
      <c r="H23" s="1017"/>
      <c r="I23" s="659">
        <f>ROUND(Trial_2Cut[[#This Row],[Net]]/10^3,2)</f>
        <v>0</v>
      </c>
      <c r="J23" s="475" t="s">
        <v>216</v>
      </c>
      <c r="K23" s="475" t="s">
        <v>1839</v>
      </c>
      <c r="L2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3" s="447"/>
    </row>
    <row r="24" spans="1:13">
      <c r="A24" s="412" t="s">
        <v>621</v>
      </c>
      <c r="B24" s="412" t="s">
        <v>1775</v>
      </c>
      <c r="C24" s="412" t="s">
        <v>422</v>
      </c>
      <c r="D24" s="412" t="s">
        <v>681</v>
      </c>
      <c r="E24" s="1017"/>
      <c r="F24" s="1017"/>
      <c r="G24" s="1017"/>
      <c r="H24" s="1017"/>
      <c r="I24" s="659">
        <f>ROUND(Trial_2Cut[[#This Row],[Net]]/10^3,2)</f>
        <v>0</v>
      </c>
      <c r="J24" s="475" t="s">
        <v>216</v>
      </c>
      <c r="K24" s="475" t="s">
        <v>1839</v>
      </c>
      <c r="L2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4" s="447"/>
    </row>
    <row r="25" spans="1:13">
      <c r="A25" s="412" t="s">
        <v>621</v>
      </c>
      <c r="B25" s="412" t="s">
        <v>1775</v>
      </c>
      <c r="C25" s="412" t="s">
        <v>422</v>
      </c>
      <c r="D25" s="412" t="s">
        <v>682</v>
      </c>
      <c r="E25" s="1017"/>
      <c r="F25" s="1017"/>
      <c r="G25" s="1017"/>
      <c r="H25" s="1017"/>
      <c r="I25" s="659">
        <f>ROUND(Trial_2Cut[[#This Row],[Net]]/10^3,2)</f>
        <v>0</v>
      </c>
      <c r="J25" s="475" t="s">
        <v>216</v>
      </c>
      <c r="K25" s="475" t="s">
        <v>1839</v>
      </c>
      <c r="L2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 s="447"/>
    </row>
    <row r="26" spans="1:13">
      <c r="A26" s="412" t="s">
        <v>621</v>
      </c>
      <c r="B26" s="412" t="s">
        <v>1775</v>
      </c>
      <c r="C26" s="412" t="s">
        <v>422</v>
      </c>
      <c r="D26" s="412" t="s">
        <v>683</v>
      </c>
      <c r="E26" s="1017"/>
      <c r="F26" s="1017"/>
      <c r="G26" s="1017"/>
      <c r="H26" s="1017"/>
      <c r="I26" s="659">
        <f>ROUND(Trial_2Cut[[#This Row],[Net]]/10^3,2)</f>
        <v>0</v>
      </c>
      <c r="J26" s="475" t="s">
        <v>216</v>
      </c>
      <c r="K26" s="475" t="s">
        <v>1839</v>
      </c>
      <c r="L2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 s="447"/>
    </row>
    <row r="27" spans="1:13">
      <c r="A27" s="412" t="s">
        <v>621</v>
      </c>
      <c r="B27" s="412" t="s">
        <v>1775</v>
      </c>
      <c r="C27" s="412" t="s">
        <v>422</v>
      </c>
      <c r="D27" s="412" t="s">
        <v>684</v>
      </c>
      <c r="E27" s="1017"/>
      <c r="F27" s="1017"/>
      <c r="G27" s="1017"/>
      <c r="H27" s="1017"/>
      <c r="I27" s="659">
        <f>ROUND(Trial_2Cut[[#This Row],[Net]]/10^3,2)</f>
        <v>0</v>
      </c>
      <c r="J27" s="475" t="s">
        <v>216</v>
      </c>
      <c r="K27" s="475" t="s">
        <v>1839</v>
      </c>
      <c r="L2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 s="447"/>
    </row>
    <row r="28" spans="1:13">
      <c r="A28" s="412" t="s">
        <v>621</v>
      </c>
      <c r="B28" s="412" t="s">
        <v>1775</v>
      </c>
      <c r="C28" s="412" t="s">
        <v>422</v>
      </c>
      <c r="D28" s="412" t="s">
        <v>685</v>
      </c>
      <c r="E28" s="1017"/>
      <c r="F28" s="1017"/>
      <c r="G28" s="1017"/>
      <c r="H28" s="1017"/>
      <c r="I28" s="659">
        <f>ROUND(Trial_2Cut[[#This Row],[Net]]/10^3,2)</f>
        <v>0</v>
      </c>
      <c r="J28" s="447"/>
      <c r="K28" s="447"/>
      <c r="L2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 s="447"/>
    </row>
    <row r="29" spans="1:13">
      <c r="A29" s="412" t="s">
        <v>621</v>
      </c>
      <c r="B29" s="412" t="s">
        <v>1775</v>
      </c>
      <c r="C29" s="412" t="s">
        <v>422</v>
      </c>
      <c r="D29" s="412" t="s">
        <v>686</v>
      </c>
      <c r="E29" s="1017"/>
      <c r="F29" s="1017"/>
      <c r="G29" s="1017"/>
      <c r="H29" s="1017"/>
      <c r="I29" s="659">
        <f>ROUND(Trial_2Cut[[#This Row],[Net]]/10^3,2)</f>
        <v>0</v>
      </c>
      <c r="J29" s="475" t="s">
        <v>216</v>
      </c>
      <c r="K29" s="475" t="s">
        <v>1839</v>
      </c>
      <c r="L2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 s="447"/>
    </row>
    <row r="30" spans="1:13">
      <c r="A30" s="412" t="s">
        <v>621</v>
      </c>
      <c r="B30" s="412" t="s">
        <v>1775</v>
      </c>
      <c r="C30" s="412" t="s">
        <v>422</v>
      </c>
      <c r="D30" s="412" t="s">
        <v>687</v>
      </c>
      <c r="E30" s="1017"/>
      <c r="F30" s="1017"/>
      <c r="G30" s="1017"/>
      <c r="H30" s="1017"/>
      <c r="I30" s="659">
        <f>ROUND(Trial_2Cut[[#This Row],[Net]]/10^3,2)</f>
        <v>0</v>
      </c>
      <c r="J30" s="447"/>
      <c r="K30" s="447"/>
      <c r="L3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 s="447"/>
    </row>
    <row r="31" spans="1:13">
      <c r="A31" s="412" t="s">
        <v>621</v>
      </c>
      <c r="B31" s="412" t="s">
        <v>1775</v>
      </c>
      <c r="C31" s="412" t="s">
        <v>625</v>
      </c>
      <c r="D31" s="412" t="s">
        <v>680</v>
      </c>
      <c r="E31" s="1017"/>
      <c r="F31" s="1017"/>
      <c r="G31" s="1017"/>
      <c r="H31" s="1017"/>
      <c r="I31" s="659">
        <f>ROUND(Trial_2Cut[[#This Row],[Net]]/10^3,2)</f>
        <v>0</v>
      </c>
      <c r="J31" s="447"/>
      <c r="K31" s="447"/>
      <c r="L3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 s="447"/>
    </row>
    <row r="32" spans="1:13">
      <c r="A32" s="412" t="s">
        <v>621</v>
      </c>
      <c r="B32" s="412" t="s">
        <v>1775</v>
      </c>
      <c r="C32" s="412" t="s">
        <v>625</v>
      </c>
      <c r="D32" s="412" t="s">
        <v>681</v>
      </c>
      <c r="E32" s="1017"/>
      <c r="F32" s="1017"/>
      <c r="G32" s="1017"/>
      <c r="H32" s="1017"/>
      <c r="I32" s="659">
        <f>ROUND(Trial_2Cut[[#This Row],[Net]]/10^3,2)</f>
        <v>0</v>
      </c>
      <c r="J32" s="447" t="s">
        <v>625</v>
      </c>
      <c r="K32" s="447" t="str">
        <f>'Sch-Debtor_Creditors'!$A$12</f>
        <v>Total trade payables</v>
      </c>
      <c r="L3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 s="447"/>
    </row>
    <row r="33" spans="1:13">
      <c r="A33" s="412" t="s">
        <v>621</v>
      </c>
      <c r="B33" s="412" t="s">
        <v>1775</v>
      </c>
      <c r="C33" s="412" t="s">
        <v>625</v>
      </c>
      <c r="D33" s="412" t="s">
        <v>682</v>
      </c>
      <c r="E33" s="1017"/>
      <c r="F33" s="1017"/>
      <c r="G33" s="1017"/>
      <c r="H33" s="1017"/>
      <c r="I33" s="659">
        <f>ROUND(Trial_2Cut[[#This Row],[Net]]/10^3,2)</f>
        <v>0</v>
      </c>
      <c r="J33" s="447"/>
      <c r="K33" s="447"/>
      <c r="L3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 s="447"/>
    </row>
    <row r="34" spans="1:13">
      <c r="A34" s="412" t="s">
        <v>621</v>
      </c>
      <c r="B34" s="412" t="s">
        <v>1775</v>
      </c>
      <c r="C34" s="412" t="s">
        <v>625</v>
      </c>
      <c r="D34" s="412" t="s">
        <v>688</v>
      </c>
      <c r="E34" s="1017"/>
      <c r="F34" s="1017"/>
      <c r="G34" s="1017"/>
      <c r="H34" s="1017"/>
      <c r="I34" s="659">
        <f>ROUND(Trial_2Cut[[#This Row],[Net]]/10^3,2)</f>
        <v>0</v>
      </c>
      <c r="J34" s="447"/>
      <c r="K34" s="447"/>
      <c r="L3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 s="447"/>
    </row>
    <row r="35" spans="1:13">
      <c r="A35" s="412" t="s">
        <v>621</v>
      </c>
      <c r="B35" s="412" t="s">
        <v>1775</v>
      </c>
      <c r="C35" s="412" t="s">
        <v>625</v>
      </c>
      <c r="D35" s="412" t="s">
        <v>689</v>
      </c>
      <c r="E35" s="1017"/>
      <c r="F35" s="1017"/>
      <c r="G35" s="1017"/>
      <c r="H35" s="1017"/>
      <c r="I35" s="659">
        <f>ROUND(Trial_2Cut[[#This Row],[Net]]/10^3,2)</f>
        <v>0</v>
      </c>
      <c r="J35" s="447" t="s">
        <v>625</v>
      </c>
      <c r="K35" s="447" t="str">
        <f>'Sch-Debtor_Creditors'!$A$12</f>
        <v>Total trade payables</v>
      </c>
      <c r="L3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 s="447"/>
    </row>
    <row r="36" spans="1:13">
      <c r="A36" s="412" t="s">
        <v>621</v>
      </c>
      <c r="B36" s="412" t="s">
        <v>1775</v>
      </c>
      <c r="C36" s="412" t="s">
        <v>625</v>
      </c>
      <c r="D36" s="412" t="s">
        <v>690</v>
      </c>
      <c r="E36" s="1017"/>
      <c r="F36" s="1017"/>
      <c r="G36" s="1017"/>
      <c r="H36" s="1017"/>
      <c r="I36" s="659">
        <f>ROUND(Trial_2Cut[[#This Row],[Net]]/10^3,2)</f>
        <v>0</v>
      </c>
      <c r="J36" s="447"/>
      <c r="K36" s="447"/>
      <c r="L3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 s="447"/>
    </row>
    <row r="37" spans="1:13">
      <c r="A37" s="412" t="s">
        <v>621</v>
      </c>
      <c r="B37" s="412" t="s">
        <v>1775</v>
      </c>
      <c r="C37" s="412" t="s">
        <v>625</v>
      </c>
      <c r="D37" s="412" t="s">
        <v>691</v>
      </c>
      <c r="E37" s="1017"/>
      <c r="F37" s="1017"/>
      <c r="G37" s="1017"/>
      <c r="H37" s="1017"/>
      <c r="I37" s="659">
        <f>ROUND(Trial_2Cut[[#This Row],[Net]]/10^3,2)</f>
        <v>0</v>
      </c>
      <c r="J37" s="447"/>
      <c r="K37" s="447"/>
      <c r="L3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 s="447"/>
    </row>
    <row r="38" spans="1:13">
      <c r="A38" s="412" t="s">
        <v>621</v>
      </c>
      <c r="B38" s="412" t="s">
        <v>1775</v>
      </c>
      <c r="C38" s="412" t="s">
        <v>625</v>
      </c>
      <c r="D38" s="412" t="s">
        <v>692</v>
      </c>
      <c r="E38" s="1017"/>
      <c r="F38" s="1017"/>
      <c r="G38" s="1017"/>
      <c r="H38" s="1017"/>
      <c r="I38" s="659">
        <f>ROUND(Trial_2Cut[[#This Row],[Net]]/10^3,2)</f>
        <v>0</v>
      </c>
      <c r="J38" s="447" t="s">
        <v>625</v>
      </c>
      <c r="K38" s="447" t="str">
        <f>'Sch-Debtor_Creditors'!$A$12</f>
        <v>Total trade payables</v>
      </c>
      <c r="L3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 s="447"/>
    </row>
    <row r="39" spans="1:13">
      <c r="A39" s="412" t="s">
        <v>621</v>
      </c>
      <c r="B39" s="412" t="s">
        <v>1775</v>
      </c>
      <c r="C39" s="412" t="s">
        <v>625</v>
      </c>
      <c r="D39" s="412" t="s">
        <v>693</v>
      </c>
      <c r="E39" s="1017"/>
      <c r="F39" s="1017"/>
      <c r="G39" s="1017"/>
      <c r="H39" s="1017"/>
      <c r="I39" s="659">
        <f>ROUND(Trial_2Cut[[#This Row],[Net]]/10^3,2)</f>
        <v>0</v>
      </c>
      <c r="J39" s="447"/>
      <c r="K39" s="447"/>
      <c r="L3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9" s="447"/>
    </row>
    <row r="40" spans="1:13">
      <c r="A40" s="412" t="s">
        <v>621</v>
      </c>
      <c r="B40" s="412" t="s">
        <v>1775</v>
      </c>
      <c r="C40" s="412" t="s">
        <v>625</v>
      </c>
      <c r="D40" s="412" t="s">
        <v>688</v>
      </c>
      <c r="E40" s="1017"/>
      <c r="F40" s="1017"/>
      <c r="G40" s="1017"/>
      <c r="H40" s="1017"/>
      <c r="I40" s="659">
        <f>ROUND(Trial_2Cut[[#This Row],[Net]]/10^3,2)</f>
        <v>0</v>
      </c>
      <c r="J40" s="447" t="s">
        <v>625</v>
      </c>
      <c r="K40" s="447" t="str">
        <f>'Sch-Debtor_Creditors'!$A$12</f>
        <v>Total trade payables</v>
      </c>
      <c r="L4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0" s="447"/>
    </row>
    <row r="41" spans="1:13">
      <c r="A41" s="412" t="s">
        <v>621</v>
      </c>
      <c r="B41" s="412" t="s">
        <v>1775</v>
      </c>
      <c r="C41" s="412" t="s">
        <v>625</v>
      </c>
      <c r="D41" s="412" t="s">
        <v>689</v>
      </c>
      <c r="E41" s="1017"/>
      <c r="F41" s="1017"/>
      <c r="G41" s="1017"/>
      <c r="H41" s="1017"/>
      <c r="I41" s="659">
        <f>ROUND(Trial_2Cut[[#This Row],[Net]]/10^3,2)</f>
        <v>0</v>
      </c>
      <c r="J41" s="447"/>
      <c r="K41" s="447"/>
      <c r="L4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1" s="447"/>
    </row>
    <row r="42" spans="1:13">
      <c r="A42" s="412" t="s">
        <v>621</v>
      </c>
      <c r="B42" s="412" t="s">
        <v>1775</v>
      </c>
      <c r="C42" s="412" t="s">
        <v>625</v>
      </c>
      <c r="D42" s="412" t="s">
        <v>694</v>
      </c>
      <c r="E42" s="1017"/>
      <c r="F42" s="1017"/>
      <c r="G42" s="1017"/>
      <c r="H42" s="1017"/>
      <c r="I42" s="659">
        <f>ROUND(Trial_2Cut[[#This Row],[Net]]/10^3,2)</f>
        <v>0</v>
      </c>
      <c r="J42" s="447"/>
      <c r="K42" s="447"/>
      <c r="L4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2" s="447"/>
    </row>
    <row r="43" spans="1:13">
      <c r="A43" s="412" t="s">
        <v>621</v>
      </c>
      <c r="B43" s="412" t="s">
        <v>1775</v>
      </c>
      <c r="C43" s="412" t="s">
        <v>625</v>
      </c>
      <c r="D43" s="412" t="s">
        <v>695</v>
      </c>
      <c r="E43" s="1017"/>
      <c r="F43" s="1017"/>
      <c r="G43" s="1017"/>
      <c r="H43" s="1017"/>
      <c r="I43" s="659">
        <f>ROUND(Trial_2Cut[[#This Row],[Net]]/10^3,2)</f>
        <v>0</v>
      </c>
      <c r="J43" s="447"/>
      <c r="K43" s="447"/>
      <c r="L4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3" s="447"/>
    </row>
    <row r="44" spans="1:13">
      <c r="A44" s="412" t="s">
        <v>621</v>
      </c>
      <c r="B44" s="412" t="s">
        <v>1775</v>
      </c>
      <c r="C44" s="412" t="s">
        <v>625</v>
      </c>
      <c r="D44" s="412" t="s">
        <v>696</v>
      </c>
      <c r="E44" s="1017"/>
      <c r="F44" s="1017"/>
      <c r="G44" s="1017"/>
      <c r="H44" s="1017"/>
      <c r="I44" s="659">
        <f>ROUND(Trial_2Cut[[#This Row],[Net]]/10^3,2)</f>
        <v>0</v>
      </c>
      <c r="J44" s="447" t="s">
        <v>625</v>
      </c>
      <c r="K44" s="447" t="str">
        <f>'Sch-Debtor_Creditors'!$A$12</f>
        <v>Total trade payables</v>
      </c>
      <c r="L4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4" s="447"/>
    </row>
    <row r="45" spans="1:13">
      <c r="A45" s="412" t="s">
        <v>621</v>
      </c>
      <c r="B45" s="412" t="s">
        <v>1775</v>
      </c>
      <c r="C45" s="412" t="s">
        <v>625</v>
      </c>
      <c r="D45" s="412" t="s">
        <v>697</v>
      </c>
      <c r="E45" s="1017"/>
      <c r="F45" s="1017"/>
      <c r="G45" s="1017"/>
      <c r="H45" s="1017"/>
      <c r="I45" s="659">
        <f>ROUND(Trial_2Cut[[#This Row],[Net]]/10^3,2)</f>
        <v>0</v>
      </c>
      <c r="J45" s="447"/>
      <c r="K45" s="447"/>
      <c r="L4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5" s="447"/>
    </row>
    <row r="46" spans="1:13">
      <c r="A46" s="412" t="s">
        <v>621</v>
      </c>
      <c r="B46" s="412" t="s">
        <v>1775</v>
      </c>
      <c r="C46" s="412" t="s">
        <v>625</v>
      </c>
      <c r="D46" s="412" t="s">
        <v>698</v>
      </c>
      <c r="E46" s="1017"/>
      <c r="F46" s="1017"/>
      <c r="G46" s="1017"/>
      <c r="H46" s="1017"/>
      <c r="I46" s="659">
        <f>ROUND(Trial_2Cut[[#This Row],[Net]]/10^3,2)</f>
        <v>0</v>
      </c>
      <c r="J46" s="447"/>
      <c r="K46" s="447"/>
      <c r="L4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6" s="447"/>
    </row>
    <row r="47" spans="1:13">
      <c r="A47" s="412" t="s">
        <v>621</v>
      </c>
      <c r="B47" s="412" t="s">
        <v>1775</v>
      </c>
      <c r="C47" s="412" t="s">
        <v>625</v>
      </c>
      <c r="D47" s="412" t="s">
        <v>699</v>
      </c>
      <c r="E47" s="1017"/>
      <c r="F47" s="1017"/>
      <c r="G47" s="1017"/>
      <c r="H47" s="1017"/>
      <c r="I47" s="659">
        <f>ROUND(Trial_2Cut[[#This Row],[Net]]/10^3,2)</f>
        <v>0</v>
      </c>
      <c r="J47" s="447"/>
      <c r="K47" s="447"/>
      <c r="L4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7" s="447"/>
    </row>
    <row r="48" spans="1:13">
      <c r="A48" s="412" t="s">
        <v>621</v>
      </c>
      <c r="B48" s="412" t="s">
        <v>1775</v>
      </c>
      <c r="C48" s="412" t="s">
        <v>625</v>
      </c>
      <c r="D48" s="412" t="s">
        <v>700</v>
      </c>
      <c r="E48" s="1017"/>
      <c r="F48" s="1017"/>
      <c r="G48" s="1017"/>
      <c r="H48" s="1017"/>
      <c r="I48" s="659">
        <f>ROUND(Trial_2Cut[[#This Row],[Net]]/10^3,2)</f>
        <v>0</v>
      </c>
      <c r="J48" s="447"/>
      <c r="K48" s="447"/>
      <c r="L4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8" s="447"/>
    </row>
    <row r="49" spans="1:13">
      <c r="A49" s="412" t="s">
        <v>621</v>
      </c>
      <c r="B49" s="412" t="s">
        <v>1775</v>
      </c>
      <c r="C49" s="412" t="s">
        <v>625</v>
      </c>
      <c r="D49" s="412" t="s">
        <v>701</v>
      </c>
      <c r="E49" s="1017"/>
      <c r="F49" s="1017"/>
      <c r="G49" s="1017"/>
      <c r="H49" s="1017"/>
      <c r="I49" s="659">
        <f>ROUND(Trial_2Cut[[#This Row],[Net]]/10^3,2)</f>
        <v>0</v>
      </c>
      <c r="J49" s="447" t="s">
        <v>625</v>
      </c>
      <c r="K49" s="447" t="str">
        <f>'Sch-Debtor_Creditors'!$A$12</f>
        <v>Total trade payables</v>
      </c>
      <c r="L4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9" s="447"/>
    </row>
    <row r="50" spans="1:13">
      <c r="A50" s="412" t="s">
        <v>621</v>
      </c>
      <c r="B50" s="412" t="s">
        <v>1775</v>
      </c>
      <c r="C50" s="412" t="s">
        <v>625</v>
      </c>
      <c r="D50" s="412" t="s">
        <v>702</v>
      </c>
      <c r="E50" s="1017"/>
      <c r="F50" s="1017"/>
      <c r="G50" s="1017"/>
      <c r="H50" s="1017"/>
      <c r="I50" s="659">
        <f>ROUND(Trial_2Cut[[#This Row],[Net]]/10^3,2)</f>
        <v>0</v>
      </c>
      <c r="J50" s="447"/>
      <c r="K50" s="447"/>
      <c r="L5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0" s="447"/>
    </row>
    <row r="51" spans="1:13">
      <c r="A51" s="412" t="s">
        <v>621</v>
      </c>
      <c r="B51" s="412" t="s">
        <v>1775</v>
      </c>
      <c r="C51" s="412" t="s">
        <v>625</v>
      </c>
      <c r="D51" s="412" t="s">
        <v>703</v>
      </c>
      <c r="E51" s="1017"/>
      <c r="F51" s="1017"/>
      <c r="G51" s="1017"/>
      <c r="H51" s="1017"/>
      <c r="I51" s="659">
        <f>ROUND(Trial_2Cut[[#This Row],[Net]]/10^3,2)</f>
        <v>0</v>
      </c>
      <c r="J51" s="447"/>
      <c r="K51" s="447"/>
      <c r="L5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1" s="447"/>
    </row>
    <row r="52" spans="1:13">
      <c r="A52" s="412" t="s">
        <v>621</v>
      </c>
      <c r="B52" s="412" t="s">
        <v>1775</v>
      </c>
      <c r="C52" s="412" t="s">
        <v>625</v>
      </c>
      <c r="D52" s="412" t="s">
        <v>615</v>
      </c>
      <c r="E52" s="1017"/>
      <c r="F52" s="1017"/>
      <c r="G52" s="1017"/>
      <c r="H52" s="1017"/>
      <c r="I52" s="659">
        <f>ROUND(Trial_2Cut[[#This Row],[Net]]/10^3,2)</f>
        <v>0</v>
      </c>
      <c r="J52" s="447" t="s">
        <v>625</v>
      </c>
      <c r="K52" s="447" t="str">
        <f>'Sch-Debtor_Creditors'!$A$12</f>
        <v>Total trade payables</v>
      </c>
      <c r="L5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2" s="447"/>
    </row>
    <row r="53" spans="1:13">
      <c r="A53" s="412" t="s">
        <v>621</v>
      </c>
      <c r="B53" s="412" t="s">
        <v>1775</v>
      </c>
      <c r="C53" s="412" t="s">
        <v>625</v>
      </c>
      <c r="D53" s="412" t="s">
        <v>704</v>
      </c>
      <c r="E53" s="1017"/>
      <c r="F53" s="1017"/>
      <c r="G53" s="1017"/>
      <c r="H53" s="1017"/>
      <c r="I53" s="659">
        <f>ROUND(Trial_2Cut[[#This Row],[Net]]/10^3,2)</f>
        <v>0</v>
      </c>
      <c r="J53" s="447" t="s">
        <v>625</v>
      </c>
      <c r="K53" s="447" t="str">
        <f>'Sch-Debtor_Creditors'!$A$12</f>
        <v>Total trade payables</v>
      </c>
      <c r="L5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3" s="447"/>
    </row>
    <row r="54" spans="1:13">
      <c r="A54" s="412" t="s">
        <v>621</v>
      </c>
      <c r="B54" s="412" t="s">
        <v>1775</v>
      </c>
      <c r="C54" s="412" t="s">
        <v>625</v>
      </c>
      <c r="D54" s="412" t="s">
        <v>705</v>
      </c>
      <c r="E54" s="1017"/>
      <c r="F54" s="1017"/>
      <c r="G54" s="1017"/>
      <c r="H54" s="1017"/>
      <c r="I54" s="659">
        <f>ROUND(Trial_2Cut[[#This Row],[Net]]/10^3,2)</f>
        <v>0</v>
      </c>
      <c r="J54" s="447" t="s">
        <v>625</v>
      </c>
      <c r="K54" s="447" t="str">
        <f>'Sch-Debtor_Creditors'!$A$12</f>
        <v>Total trade payables</v>
      </c>
      <c r="L5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4" s="447"/>
    </row>
    <row r="55" spans="1:13">
      <c r="A55" s="412" t="s">
        <v>621</v>
      </c>
      <c r="B55" s="412" t="s">
        <v>1775</v>
      </c>
      <c r="C55" s="412" t="s">
        <v>625</v>
      </c>
      <c r="D55" s="412" t="s">
        <v>706</v>
      </c>
      <c r="E55" s="1017"/>
      <c r="F55" s="1017"/>
      <c r="G55" s="1017"/>
      <c r="H55" s="1017"/>
      <c r="I55" s="659">
        <f>ROUND(Trial_2Cut[[#This Row],[Net]]/10^3,2)</f>
        <v>0</v>
      </c>
      <c r="J55" s="447" t="s">
        <v>625</v>
      </c>
      <c r="K55" s="447" t="str">
        <f>'Sch-Debtor_Creditors'!$A$12</f>
        <v>Total trade payables</v>
      </c>
      <c r="L5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5" s="447"/>
    </row>
    <row r="56" spans="1:13">
      <c r="A56" s="412" t="s">
        <v>621</v>
      </c>
      <c r="B56" s="412" t="s">
        <v>1775</v>
      </c>
      <c r="C56" s="412" t="s">
        <v>625</v>
      </c>
      <c r="D56" s="412" t="s">
        <v>707</v>
      </c>
      <c r="E56" s="1017"/>
      <c r="F56" s="1017"/>
      <c r="G56" s="1017"/>
      <c r="H56" s="1017"/>
      <c r="I56" s="659">
        <f>ROUND(Trial_2Cut[[#This Row],[Net]]/10^3,2)</f>
        <v>0</v>
      </c>
      <c r="J56" s="447"/>
      <c r="K56" s="447"/>
      <c r="L5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6" s="447"/>
    </row>
    <row r="57" spans="1:13">
      <c r="A57" s="412" t="s">
        <v>621</v>
      </c>
      <c r="B57" s="412" t="s">
        <v>1775</v>
      </c>
      <c r="C57" s="412" t="s">
        <v>625</v>
      </c>
      <c r="D57" s="412" t="s">
        <v>708</v>
      </c>
      <c r="E57" s="1017"/>
      <c r="F57" s="1017"/>
      <c r="G57" s="1017"/>
      <c r="H57" s="1017"/>
      <c r="I57" s="659">
        <f>ROUND(Trial_2Cut[[#This Row],[Net]]/10^3,2)</f>
        <v>0</v>
      </c>
      <c r="J57" s="447"/>
      <c r="K57" s="447"/>
      <c r="L5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7" s="447"/>
    </row>
    <row r="58" spans="1:13">
      <c r="A58" s="412" t="s">
        <v>621</v>
      </c>
      <c r="B58" s="412" t="s">
        <v>1775</v>
      </c>
      <c r="C58" s="412" t="s">
        <v>625</v>
      </c>
      <c r="D58" s="412" t="s">
        <v>709</v>
      </c>
      <c r="E58" s="1017"/>
      <c r="F58" s="1017"/>
      <c r="G58" s="1017"/>
      <c r="H58" s="1017"/>
      <c r="I58" s="659">
        <f>ROUND(Trial_2Cut[[#This Row],[Net]]/10^3,2)</f>
        <v>0</v>
      </c>
      <c r="J58" s="447" t="s">
        <v>625</v>
      </c>
      <c r="K58" s="447" t="str">
        <f>'Sch-Debtor_Creditors'!$A$12</f>
        <v>Total trade payables</v>
      </c>
      <c r="L5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8" s="447"/>
    </row>
    <row r="59" spans="1:13">
      <c r="A59" s="412" t="s">
        <v>621</v>
      </c>
      <c r="B59" s="412" t="s">
        <v>1775</v>
      </c>
      <c r="C59" s="412" t="s">
        <v>625</v>
      </c>
      <c r="D59" s="412" t="s">
        <v>710</v>
      </c>
      <c r="E59" s="1017"/>
      <c r="F59" s="1017"/>
      <c r="G59" s="1017"/>
      <c r="H59" s="1017"/>
      <c r="I59" s="659">
        <f>ROUND(Trial_2Cut[[#This Row],[Net]]/10^3,2)</f>
        <v>0</v>
      </c>
      <c r="J59" s="475"/>
      <c r="K59" s="475"/>
      <c r="L5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59" s="447"/>
    </row>
    <row r="60" spans="1:13">
      <c r="A60" s="412" t="s">
        <v>621</v>
      </c>
      <c r="B60" s="412" t="s">
        <v>1775</v>
      </c>
      <c r="C60" s="412" t="s">
        <v>625</v>
      </c>
      <c r="D60" s="412" t="s">
        <v>711</v>
      </c>
      <c r="E60" s="1017"/>
      <c r="F60" s="1017"/>
      <c r="G60" s="1017"/>
      <c r="H60" s="1017"/>
      <c r="I60" s="659">
        <f>ROUND(Trial_2Cut[[#This Row],[Net]]/10^3,2)</f>
        <v>0</v>
      </c>
      <c r="J60" s="447" t="s">
        <v>625</v>
      </c>
      <c r="K60" s="447" t="str">
        <f>'Sch-Debtor_Creditors'!$A$12</f>
        <v>Total trade payables</v>
      </c>
      <c r="L6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0" s="447"/>
    </row>
    <row r="61" spans="1:13">
      <c r="A61" s="412" t="s">
        <v>621</v>
      </c>
      <c r="B61" s="412" t="s">
        <v>1775</v>
      </c>
      <c r="C61" s="412" t="s">
        <v>625</v>
      </c>
      <c r="D61" s="412" t="s">
        <v>712</v>
      </c>
      <c r="E61" s="1017"/>
      <c r="F61" s="1017"/>
      <c r="G61" s="1017"/>
      <c r="H61" s="1017"/>
      <c r="I61" s="659">
        <f>ROUND(Trial_2Cut[[#This Row],[Net]]/10^3,2)</f>
        <v>0</v>
      </c>
      <c r="J61" s="447"/>
      <c r="K61" s="447"/>
      <c r="L6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1" s="447"/>
    </row>
    <row r="62" spans="1:13">
      <c r="A62" s="412" t="s">
        <v>621</v>
      </c>
      <c r="B62" s="412" t="s">
        <v>1775</v>
      </c>
      <c r="C62" s="412" t="s">
        <v>625</v>
      </c>
      <c r="D62" s="412" t="s">
        <v>713</v>
      </c>
      <c r="E62" s="1017"/>
      <c r="F62" s="1017"/>
      <c r="G62" s="1017"/>
      <c r="H62" s="1017"/>
      <c r="I62" s="659">
        <f>ROUND(Trial_2Cut[[#This Row],[Net]]/10^3,2)</f>
        <v>0</v>
      </c>
      <c r="J62" s="475"/>
      <c r="K62" s="475"/>
      <c r="L6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2" s="447"/>
    </row>
    <row r="63" spans="1:13">
      <c r="A63" s="412" t="s">
        <v>621</v>
      </c>
      <c r="B63" s="412" t="s">
        <v>1775</v>
      </c>
      <c r="C63" s="412" t="s">
        <v>625</v>
      </c>
      <c r="D63" s="412" t="s">
        <v>714</v>
      </c>
      <c r="E63" s="1017"/>
      <c r="F63" s="1017"/>
      <c r="G63" s="1017"/>
      <c r="H63" s="1017"/>
      <c r="I63" s="659">
        <f>ROUND(Trial_2Cut[[#This Row],[Net]]/10^3,2)</f>
        <v>0</v>
      </c>
      <c r="J63" s="447" t="s">
        <v>625</v>
      </c>
      <c r="K63" s="447" t="str">
        <f>'Sch-Debtor_Creditors'!$A$12</f>
        <v>Total trade payables</v>
      </c>
      <c r="L6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3" s="447"/>
    </row>
    <row r="64" spans="1:13">
      <c r="A64" s="412" t="s">
        <v>621</v>
      </c>
      <c r="B64" s="412" t="s">
        <v>1775</v>
      </c>
      <c r="C64" s="412" t="s">
        <v>625</v>
      </c>
      <c r="D64" s="412" t="s">
        <v>715</v>
      </c>
      <c r="E64" s="1017"/>
      <c r="F64" s="1017"/>
      <c r="G64" s="1017"/>
      <c r="H64" s="1017"/>
      <c r="I64" s="659">
        <f>ROUND(Trial_2Cut[[#This Row],[Net]]/10^3,2)</f>
        <v>0</v>
      </c>
      <c r="J64" s="447"/>
      <c r="K64" s="447"/>
      <c r="L6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4" s="447"/>
    </row>
    <row r="65" spans="1:13">
      <c r="A65" s="412" t="s">
        <v>621</v>
      </c>
      <c r="B65" s="412" t="s">
        <v>1775</v>
      </c>
      <c r="C65" s="412" t="s">
        <v>625</v>
      </c>
      <c r="D65" s="412" t="s">
        <v>716</v>
      </c>
      <c r="E65" s="1017"/>
      <c r="F65" s="1017"/>
      <c r="G65" s="1017"/>
      <c r="H65" s="1017"/>
      <c r="I65" s="659">
        <f>ROUND(Trial_2Cut[[#This Row],[Net]]/10^3,2)</f>
        <v>0</v>
      </c>
      <c r="J65" s="447"/>
      <c r="K65" s="447"/>
      <c r="L6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5" s="447"/>
    </row>
    <row r="66" spans="1:13">
      <c r="A66" s="412" t="s">
        <v>621</v>
      </c>
      <c r="B66" s="412" t="s">
        <v>1775</v>
      </c>
      <c r="C66" s="412" t="s">
        <v>625</v>
      </c>
      <c r="D66" s="412" t="s">
        <v>717</v>
      </c>
      <c r="E66" s="1017"/>
      <c r="F66" s="1017"/>
      <c r="G66" s="1017"/>
      <c r="H66" s="1017"/>
      <c r="I66" s="659">
        <f>ROUND(Trial_2Cut[[#This Row],[Net]]/10^3,2)</f>
        <v>0</v>
      </c>
      <c r="J66" s="447" t="s">
        <v>625</v>
      </c>
      <c r="K66" s="447" t="str">
        <f>'Sch-Debtor_Creditors'!$A$12</f>
        <v>Total trade payables</v>
      </c>
      <c r="L6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6" s="447"/>
    </row>
    <row r="67" spans="1:13">
      <c r="A67" s="412" t="s">
        <v>621</v>
      </c>
      <c r="B67" s="412" t="s">
        <v>1775</v>
      </c>
      <c r="C67" s="412" t="s">
        <v>625</v>
      </c>
      <c r="D67" s="412" t="s">
        <v>718</v>
      </c>
      <c r="E67" s="1017"/>
      <c r="F67" s="1017"/>
      <c r="G67" s="1017"/>
      <c r="H67" s="1017"/>
      <c r="I67" s="659">
        <f>ROUND(Trial_2Cut[[#This Row],[Net]]/10^3,2)</f>
        <v>0</v>
      </c>
      <c r="J67" s="447" t="s">
        <v>625</v>
      </c>
      <c r="K67" s="447" t="str">
        <f>'Sch-Debtor_Creditors'!$A$12</f>
        <v>Total trade payables</v>
      </c>
      <c r="L6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7" s="447"/>
    </row>
    <row r="68" spans="1:13">
      <c r="A68" s="412" t="s">
        <v>621</v>
      </c>
      <c r="B68" s="412" t="s">
        <v>1775</v>
      </c>
      <c r="C68" s="412" t="s">
        <v>625</v>
      </c>
      <c r="D68" s="412" t="s">
        <v>719</v>
      </c>
      <c r="E68" s="1017"/>
      <c r="F68" s="1017"/>
      <c r="G68" s="1017"/>
      <c r="H68" s="1017"/>
      <c r="I68" s="659">
        <f>ROUND(Trial_2Cut[[#This Row],[Net]]/10^3,2)</f>
        <v>0</v>
      </c>
      <c r="J68" s="447" t="s">
        <v>625</v>
      </c>
      <c r="K68" s="447" t="str">
        <f>'Sch-Debtor_Creditors'!$A$12</f>
        <v>Total trade payables</v>
      </c>
      <c r="L6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8" s="447"/>
    </row>
    <row r="69" spans="1:13">
      <c r="A69" s="412" t="s">
        <v>621</v>
      </c>
      <c r="B69" s="412" t="s">
        <v>1775</v>
      </c>
      <c r="C69" s="412" t="s">
        <v>625</v>
      </c>
      <c r="D69" s="412" t="s">
        <v>720</v>
      </c>
      <c r="E69" s="1017"/>
      <c r="F69" s="1017"/>
      <c r="G69" s="1017"/>
      <c r="H69" s="1017"/>
      <c r="I69" s="659">
        <f>ROUND(Trial_2Cut[[#This Row],[Net]]/10^3,2)</f>
        <v>0</v>
      </c>
      <c r="J69" s="447"/>
      <c r="K69" s="447"/>
      <c r="L6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69" s="447"/>
    </row>
    <row r="70" spans="1:13">
      <c r="A70" s="412" t="s">
        <v>621</v>
      </c>
      <c r="B70" s="412" t="s">
        <v>1775</v>
      </c>
      <c r="C70" s="412" t="s">
        <v>625</v>
      </c>
      <c r="D70" s="412" t="s">
        <v>721</v>
      </c>
      <c r="E70" s="1017"/>
      <c r="F70" s="1017"/>
      <c r="G70" s="1017"/>
      <c r="H70" s="1017"/>
      <c r="I70" s="659">
        <f>ROUND(Trial_2Cut[[#This Row],[Net]]/10^3,2)</f>
        <v>0</v>
      </c>
      <c r="J70" s="447"/>
      <c r="K70" s="447"/>
      <c r="L7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0" s="447"/>
    </row>
    <row r="71" spans="1:13">
      <c r="A71" s="412" t="s">
        <v>621</v>
      </c>
      <c r="B71" s="412" t="s">
        <v>1775</v>
      </c>
      <c r="C71" s="412" t="s">
        <v>625</v>
      </c>
      <c r="D71" s="412" t="s">
        <v>722</v>
      </c>
      <c r="E71" s="1017"/>
      <c r="F71" s="1017"/>
      <c r="G71" s="1017"/>
      <c r="H71" s="1017"/>
      <c r="I71" s="659">
        <f>ROUND(Trial_2Cut[[#This Row],[Net]]/10^3,2)</f>
        <v>0</v>
      </c>
      <c r="J71" s="447"/>
      <c r="K71" s="447"/>
      <c r="L7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1" s="447"/>
    </row>
    <row r="72" spans="1:13">
      <c r="A72" s="412" t="s">
        <v>621</v>
      </c>
      <c r="B72" s="412" t="s">
        <v>1775</v>
      </c>
      <c r="C72" s="412" t="s">
        <v>625</v>
      </c>
      <c r="D72" s="412" t="s">
        <v>723</v>
      </c>
      <c r="E72" s="1017"/>
      <c r="F72" s="1017"/>
      <c r="G72" s="1017"/>
      <c r="H72" s="1017"/>
      <c r="I72" s="659">
        <f>ROUND(Trial_2Cut[[#This Row],[Net]]/10^3,2)</f>
        <v>0</v>
      </c>
      <c r="J72" s="447" t="s">
        <v>625</v>
      </c>
      <c r="K72" s="447" t="str">
        <f>'Sch-Debtor_Creditors'!$A$12</f>
        <v>Total trade payables</v>
      </c>
      <c r="L7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2" s="447"/>
    </row>
    <row r="73" spans="1:13">
      <c r="A73" s="412" t="s">
        <v>621</v>
      </c>
      <c r="B73" s="412" t="s">
        <v>1775</v>
      </c>
      <c r="C73" s="412" t="s">
        <v>625</v>
      </c>
      <c r="D73" s="412" t="s">
        <v>724</v>
      </c>
      <c r="E73" s="1017"/>
      <c r="F73" s="1017"/>
      <c r="G73" s="1017"/>
      <c r="H73" s="1017"/>
      <c r="I73" s="659">
        <f>ROUND(Trial_2Cut[[#This Row],[Net]]/10^3,2)</f>
        <v>0</v>
      </c>
      <c r="J73" s="447"/>
      <c r="K73" s="447"/>
      <c r="L7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3" s="447"/>
    </row>
    <row r="74" spans="1:13">
      <c r="A74" s="412" t="s">
        <v>621</v>
      </c>
      <c r="B74" s="412" t="s">
        <v>1775</v>
      </c>
      <c r="C74" s="412" t="s">
        <v>625</v>
      </c>
      <c r="D74" s="412" t="s">
        <v>725</v>
      </c>
      <c r="E74" s="1017"/>
      <c r="F74" s="1017"/>
      <c r="G74" s="1017"/>
      <c r="H74" s="1017"/>
      <c r="I74" s="659">
        <f>ROUND(Trial_2Cut[[#This Row],[Net]]/10^3,2)</f>
        <v>0</v>
      </c>
      <c r="J74" s="447"/>
      <c r="K74" s="447"/>
      <c r="L7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4" s="447"/>
    </row>
    <row r="75" spans="1:13">
      <c r="A75" s="412" t="s">
        <v>621</v>
      </c>
      <c r="B75" s="412" t="s">
        <v>1775</v>
      </c>
      <c r="C75" s="412" t="s">
        <v>625</v>
      </c>
      <c r="D75" s="412" t="s">
        <v>726</v>
      </c>
      <c r="E75" s="1017"/>
      <c r="F75" s="1017"/>
      <c r="G75" s="1017"/>
      <c r="H75" s="1017"/>
      <c r="I75" s="659">
        <f>ROUND(Trial_2Cut[[#This Row],[Net]]/10^3,2)</f>
        <v>0</v>
      </c>
      <c r="J75" s="447"/>
      <c r="K75" s="447"/>
      <c r="L7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5" s="447"/>
    </row>
    <row r="76" spans="1:13">
      <c r="A76" s="412" t="s">
        <v>621</v>
      </c>
      <c r="B76" s="412" t="s">
        <v>1775</v>
      </c>
      <c r="C76" s="412" t="s">
        <v>625</v>
      </c>
      <c r="D76" s="412" t="s">
        <v>727</v>
      </c>
      <c r="E76" s="1017"/>
      <c r="F76" s="1017"/>
      <c r="G76" s="1017"/>
      <c r="H76" s="1017"/>
      <c r="I76" s="659">
        <f>ROUND(Trial_2Cut[[#This Row],[Net]]/10^3,2)</f>
        <v>0</v>
      </c>
      <c r="J76" s="447"/>
      <c r="K76" s="447"/>
      <c r="L7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6" s="447"/>
    </row>
    <row r="77" spans="1:13">
      <c r="A77" s="412" t="s">
        <v>621</v>
      </c>
      <c r="B77" s="412" t="s">
        <v>1775</v>
      </c>
      <c r="C77" s="412" t="s">
        <v>625</v>
      </c>
      <c r="D77" s="412" t="s">
        <v>728</v>
      </c>
      <c r="E77" s="1017"/>
      <c r="F77" s="1017"/>
      <c r="G77" s="1017"/>
      <c r="H77" s="1017"/>
      <c r="I77" s="659">
        <f>ROUND(Trial_2Cut[[#This Row],[Net]]/10^3,2)</f>
        <v>0</v>
      </c>
      <c r="J77" s="447" t="s">
        <v>625</v>
      </c>
      <c r="K77" s="447" t="str">
        <f>'Sch-Debtor_Creditors'!$A$12</f>
        <v>Total trade payables</v>
      </c>
      <c r="L7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7" s="447"/>
    </row>
    <row r="78" spans="1:13">
      <c r="A78" s="412" t="s">
        <v>621</v>
      </c>
      <c r="B78" s="412" t="s">
        <v>1775</v>
      </c>
      <c r="C78" s="412" t="s">
        <v>625</v>
      </c>
      <c r="D78" s="412" t="s">
        <v>729</v>
      </c>
      <c r="E78" s="1017"/>
      <c r="F78" s="1017"/>
      <c r="G78" s="1017"/>
      <c r="H78" s="1017"/>
      <c r="I78" s="659">
        <f>ROUND(Trial_2Cut[[#This Row],[Net]]/10^3,2)</f>
        <v>0</v>
      </c>
      <c r="J78" s="447" t="s">
        <v>625</v>
      </c>
      <c r="K78" s="447" t="str">
        <f>'Sch-Debtor_Creditors'!$A$12</f>
        <v>Total trade payables</v>
      </c>
      <c r="L7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8" s="447"/>
    </row>
    <row r="79" spans="1:13">
      <c r="A79" s="412" t="s">
        <v>621</v>
      </c>
      <c r="B79" s="412" t="s">
        <v>1775</v>
      </c>
      <c r="C79" s="412" t="s">
        <v>625</v>
      </c>
      <c r="D79" s="412" t="s">
        <v>730</v>
      </c>
      <c r="E79" s="1017"/>
      <c r="F79" s="1017"/>
      <c r="G79" s="1017"/>
      <c r="H79" s="1017"/>
      <c r="I79" s="659">
        <f>ROUND(Trial_2Cut[[#This Row],[Net]]/10^3,2)</f>
        <v>0</v>
      </c>
      <c r="J79" s="475"/>
      <c r="K79" s="475"/>
      <c r="L7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79" s="447"/>
    </row>
    <row r="80" spans="1:13">
      <c r="A80" s="412" t="s">
        <v>621</v>
      </c>
      <c r="B80" s="412" t="s">
        <v>1775</v>
      </c>
      <c r="C80" s="412" t="s">
        <v>625</v>
      </c>
      <c r="D80" s="412" t="s">
        <v>731</v>
      </c>
      <c r="E80" s="1017"/>
      <c r="F80" s="1017"/>
      <c r="G80" s="1017"/>
      <c r="H80" s="1017"/>
      <c r="I80" s="659">
        <f>ROUND(Trial_2Cut[[#This Row],[Net]]/10^3,2)</f>
        <v>0</v>
      </c>
      <c r="J80" s="475"/>
      <c r="K80" s="475"/>
      <c r="L8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0" s="447"/>
    </row>
    <row r="81" spans="1:13">
      <c r="A81" s="412" t="s">
        <v>621</v>
      </c>
      <c r="B81" s="412" t="s">
        <v>1775</v>
      </c>
      <c r="C81" s="412" t="s">
        <v>625</v>
      </c>
      <c r="D81" s="412" t="s">
        <v>732</v>
      </c>
      <c r="E81" s="1017"/>
      <c r="F81" s="1017"/>
      <c r="G81" s="1017"/>
      <c r="H81" s="1017"/>
      <c r="I81" s="659">
        <f>ROUND(Trial_2Cut[[#This Row],[Net]]/10^3,2)</f>
        <v>0</v>
      </c>
      <c r="J81" s="447" t="s">
        <v>625</v>
      </c>
      <c r="K81" s="447" t="str">
        <f>'Sch-Debtor_Creditors'!$A$12</f>
        <v>Total trade payables</v>
      </c>
      <c r="L8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1" s="447"/>
    </row>
    <row r="82" spans="1:13">
      <c r="A82" s="412" t="s">
        <v>621</v>
      </c>
      <c r="B82" s="412" t="s">
        <v>1775</v>
      </c>
      <c r="C82" s="412" t="s">
        <v>625</v>
      </c>
      <c r="D82" s="412" t="s">
        <v>733</v>
      </c>
      <c r="E82" s="1017"/>
      <c r="F82" s="1017"/>
      <c r="G82" s="1017"/>
      <c r="H82" s="1017"/>
      <c r="I82" s="659">
        <f>ROUND(Trial_2Cut[[#This Row],[Net]]/10^3,2)</f>
        <v>0</v>
      </c>
      <c r="J82" s="447" t="s">
        <v>625</v>
      </c>
      <c r="K82" s="447" t="str">
        <f>'Sch-Debtor_Creditors'!$A$12</f>
        <v>Total trade payables</v>
      </c>
      <c r="L8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2" s="447"/>
    </row>
    <row r="83" spans="1:13">
      <c r="A83" s="412" t="s">
        <v>621</v>
      </c>
      <c r="B83" s="412" t="s">
        <v>1775</v>
      </c>
      <c r="C83" s="412" t="s">
        <v>625</v>
      </c>
      <c r="D83" s="412" t="s">
        <v>734</v>
      </c>
      <c r="E83" s="1017"/>
      <c r="F83" s="1017"/>
      <c r="G83" s="1017"/>
      <c r="H83" s="1017"/>
      <c r="I83" s="659">
        <f>ROUND(Trial_2Cut[[#This Row],[Net]]/10^3,2)</f>
        <v>0</v>
      </c>
      <c r="J83" s="447" t="s">
        <v>625</v>
      </c>
      <c r="K83" s="447" t="str">
        <f>'Sch-Debtor_Creditors'!$A$12</f>
        <v>Total trade payables</v>
      </c>
      <c r="L8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3" s="447"/>
    </row>
    <row r="84" spans="1:13">
      <c r="A84" s="412" t="s">
        <v>621</v>
      </c>
      <c r="B84" s="412" t="s">
        <v>1775</v>
      </c>
      <c r="C84" s="412" t="s">
        <v>625</v>
      </c>
      <c r="D84" s="412" t="s">
        <v>735</v>
      </c>
      <c r="E84" s="1017"/>
      <c r="F84" s="1017"/>
      <c r="G84" s="1017"/>
      <c r="H84" s="1017"/>
      <c r="I84" s="659">
        <f>ROUND(Trial_2Cut[[#This Row],[Net]]/10^3,2)</f>
        <v>0</v>
      </c>
      <c r="J84" s="447" t="s">
        <v>625</v>
      </c>
      <c r="K84" s="447" t="str">
        <f>'Sch-Debtor_Creditors'!$A$12</f>
        <v>Total trade payables</v>
      </c>
      <c r="L8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4" s="447"/>
    </row>
    <row r="85" spans="1:13">
      <c r="A85" s="412" t="s">
        <v>621</v>
      </c>
      <c r="B85" s="412" t="s">
        <v>1775</v>
      </c>
      <c r="C85" s="412" t="s">
        <v>625</v>
      </c>
      <c r="D85" s="412" t="s">
        <v>736</v>
      </c>
      <c r="E85" s="1017"/>
      <c r="F85" s="1017"/>
      <c r="G85" s="1017"/>
      <c r="H85" s="1017"/>
      <c r="I85" s="659">
        <f>ROUND(Trial_2Cut[[#This Row],[Net]]/10^3,2)</f>
        <v>0</v>
      </c>
      <c r="J85" s="447" t="s">
        <v>625</v>
      </c>
      <c r="K85" s="447" t="str">
        <f>'Sch-Debtor_Creditors'!$A$12</f>
        <v>Total trade payables</v>
      </c>
      <c r="L8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5" s="447"/>
    </row>
    <row r="86" spans="1:13">
      <c r="A86" s="412" t="s">
        <v>621</v>
      </c>
      <c r="B86" s="412" t="s">
        <v>1775</v>
      </c>
      <c r="C86" s="412" t="s">
        <v>625</v>
      </c>
      <c r="D86" s="412" t="s">
        <v>737</v>
      </c>
      <c r="E86" s="1017"/>
      <c r="F86" s="1017"/>
      <c r="G86" s="1017"/>
      <c r="H86" s="1017"/>
      <c r="I86" s="659">
        <f>ROUND(Trial_2Cut[[#This Row],[Net]]/10^3,2)</f>
        <v>0</v>
      </c>
      <c r="J86" s="447" t="s">
        <v>625</v>
      </c>
      <c r="K86" s="447" t="str">
        <f>'Sch-Debtor_Creditors'!$A$12</f>
        <v>Total trade payables</v>
      </c>
      <c r="L8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6" s="447"/>
    </row>
    <row r="87" spans="1:13">
      <c r="A87" s="412" t="s">
        <v>621</v>
      </c>
      <c r="B87" s="412" t="s">
        <v>1775</v>
      </c>
      <c r="C87" s="412" t="s">
        <v>625</v>
      </c>
      <c r="D87" s="412" t="s">
        <v>738</v>
      </c>
      <c r="E87" s="1017"/>
      <c r="F87" s="1017"/>
      <c r="G87" s="1017"/>
      <c r="H87" s="1017"/>
      <c r="I87" s="659">
        <f>ROUND(Trial_2Cut[[#This Row],[Net]]/10^3,2)</f>
        <v>0</v>
      </c>
      <c r="J87" s="447" t="s">
        <v>625</v>
      </c>
      <c r="K87" s="447" t="str">
        <f>'Sch-Debtor_Creditors'!$A$12</f>
        <v>Total trade payables</v>
      </c>
      <c r="L8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7" s="447"/>
    </row>
    <row r="88" spans="1:13">
      <c r="A88" s="412" t="s">
        <v>621</v>
      </c>
      <c r="B88" s="412" t="s">
        <v>1775</v>
      </c>
      <c r="C88" s="412" t="s">
        <v>625</v>
      </c>
      <c r="D88" s="412" t="s">
        <v>739</v>
      </c>
      <c r="E88" s="1017"/>
      <c r="F88" s="1017"/>
      <c r="G88" s="1017"/>
      <c r="H88" s="1017"/>
      <c r="I88" s="659">
        <f>ROUND(Trial_2Cut[[#This Row],[Net]]/10^3,2)</f>
        <v>0</v>
      </c>
      <c r="J88" s="447" t="s">
        <v>625</v>
      </c>
      <c r="K88" s="447" t="str">
        <f>'Sch-Debtor_Creditors'!$A$12</f>
        <v>Total trade payables</v>
      </c>
      <c r="L8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8" s="447"/>
    </row>
    <row r="89" spans="1:13">
      <c r="A89" s="412" t="s">
        <v>621</v>
      </c>
      <c r="B89" s="412" t="s">
        <v>1775</v>
      </c>
      <c r="C89" s="412" t="s">
        <v>625</v>
      </c>
      <c r="D89" s="412" t="s">
        <v>740</v>
      </c>
      <c r="E89" s="1017"/>
      <c r="F89" s="1017"/>
      <c r="G89" s="1017"/>
      <c r="H89" s="1017"/>
      <c r="I89" s="659">
        <f>ROUND(Trial_2Cut[[#This Row],[Net]]/10^3,2)</f>
        <v>0</v>
      </c>
      <c r="J89" s="447"/>
      <c r="K89" s="447"/>
      <c r="L8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89" s="447"/>
    </row>
    <row r="90" spans="1:13">
      <c r="A90" s="412" t="s">
        <v>621</v>
      </c>
      <c r="B90" s="412" t="s">
        <v>1775</v>
      </c>
      <c r="C90" s="412" t="s">
        <v>625</v>
      </c>
      <c r="D90" s="412" t="s">
        <v>741</v>
      </c>
      <c r="E90" s="1017"/>
      <c r="F90" s="1017"/>
      <c r="G90" s="1017"/>
      <c r="H90" s="1017"/>
      <c r="I90" s="659">
        <f>ROUND(Trial_2Cut[[#This Row],[Net]]/10^3,2)</f>
        <v>0</v>
      </c>
      <c r="J90" s="475"/>
      <c r="K90" s="475"/>
      <c r="L9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0" s="447"/>
    </row>
    <row r="91" spans="1:13">
      <c r="A91" s="412" t="s">
        <v>621</v>
      </c>
      <c r="B91" s="412" t="s">
        <v>1775</v>
      </c>
      <c r="C91" s="412" t="s">
        <v>625</v>
      </c>
      <c r="D91" s="412" t="s">
        <v>742</v>
      </c>
      <c r="E91" s="1017"/>
      <c r="F91" s="1017"/>
      <c r="G91" s="1017"/>
      <c r="H91" s="1017"/>
      <c r="I91" s="659">
        <f>ROUND(Trial_2Cut[[#This Row],[Net]]/10^3,2)</f>
        <v>0</v>
      </c>
      <c r="J91" s="475"/>
      <c r="K91" s="475"/>
      <c r="L9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1" s="447"/>
    </row>
    <row r="92" spans="1:13">
      <c r="A92" s="412" t="s">
        <v>621</v>
      </c>
      <c r="B92" s="412" t="s">
        <v>1775</v>
      </c>
      <c r="C92" s="412" t="s">
        <v>625</v>
      </c>
      <c r="D92" s="412" t="s">
        <v>743</v>
      </c>
      <c r="E92" s="1017"/>
      <c r="F92" s="1017"/>
      <c r="G92" s="1017"/>
      <c r="H92" s="1017"/>
      <c r="I92" s="659">
        <f>ROUND(Trial_2Cut[[#This Row],[Net]]/10^3,2)</f>
        <v>0</v>
      </c>
      <c r="J92" s="447" t="s">
        <v>625</v>
      </c>
      <c r="K92" s="447" t="str">
        <f>'Sch-Debtor_Creditors'!$A$12</f>
        <v>Total trade payables</v>
      </c>
      <c r="L9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2" s="447"/>
    </row>
    <row r="93" spans="1:13">
      <c r="A93" s="412" t="s">
        <v>621</v>
      </c>
      <c r="B93" s="412" t="s">
        <v>1775</v>
      </c>
      <c r="C93" s="412" t="s">
        <v>625</v>
      </c>
      <c r="D93" s="412" t="s">
        <v>744</v>
      </c>
      <c r="E93" s="1017"/>
      <c r="F93" s="1017"/>
      <c r="G93" s="1017"/>
      <c r="H93" s="1017"/>
      <c r="I93" s="659">
        <f>ROUND(Trial_2Cut[[#This Row],[Net]]/10^3,2)</f>
        <v>0</v>
      </c>
      <c r="J93" s="447" t="s">
        <v>625</v>
      </c>
      <c r="K93" s="447" t="str">
        <f>'Sch-Debtor_Creditors'!$A$12</f>
        <v>Total trade payables</v>
      </c>
      <c r="L9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3" s="447"/>
    </row>
    <row r="94" spans="1:13">
      <c r="A94" s="412" t="s">
        <v>621</v>
      </c>
      <c r="B94" s="412" t="s">
        <v>1775</v>
      </c>
      <c r="C94" s="412" t="s">
        <v>625</v>
      </c>
      <c r="D94" s="412" t="s">
        <v>745</v>
      </c>
      <c r="E94" s="1017"/>
      <c r="F94" s="1017"/>
      <c r="G94" s="1017"/>
      <c r="H94" s="1017"/>
      <c r="I94" s="659">
        <f>ROUND(Trial_2Cut[[#This Row],[Net]]/10^3,2)</f>
        <v>0</v>
      </c>
      <c r="J94" s="447"/>
      <c r="K94" s="447"/>
      <c r="L9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4" s="447"/>
    </row>
    <row r="95" spans="1:13">
      <c r="A95" s="412" t="s">
        <v>621</v>
      </c>
      <c r="B95" s="412" t="s">
        <v>1775</v>
      </c>
      <c r="C95" s="412" t="s">
        <v>625</v>
      </c>
      <c r="D95" s="412" t="s">
        <v>746</v>
      </c>
      <c r="E95" s="1017"/>
      <c r="F95" s="1017"/>
      <c r="G95" s="1017"/>
      <c r="H95" s="1017"/>
      <c r="I95" s="659">
        <f>ROUND(Trial_2Cut[[#This Row],[Net]]/10^3,2)</f>
        <v>0</v>
      </c>
      <c r="J95" s="447" t="s">
        <v>625</v>
      </c>
      <c r="K95" s="447" t="str">
        <f>'Sch-Debtor_Creditors'!$A$12</f>
        <v>Total trade payables</v>
      </c>
      <c r="L9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5" s="447"/>
    </row>
    <row r="96" spans="1:13">
      <c r="A96" s="412" t="s">
        <v>621</v>
      </c>
      <c r="B96" s="412" t="s">
        <v>1775</v>
      </c>
      <c r="C96" s="412" t="s">
        <v>625</v>
      </c>
      <c r="D96" s="412" t="s">
        <v>747</v>
      </c>
      <c r="E96" s="1017"/>
      <c r="F96" s="1017"/>
      <c r="G96" s="1017"/>
      <c r="H96" s="1017"/>
      <c r="I96" s="659">
        <f>ROUND(Trial_2Cut[[#This Row],[Net]]/10^3,2)</f>
        <v>0</v>
      </c>
      <c r="J96" s="447"/>
      <c r="K96" s="447"/>
      <c r="L9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6" s="447"/>
    </row>
    <row r="97" spans="1:13">
      <c r="A97" s="412" t="s">
        <v>621</v>
      </c>
      <c r="B97" s="412" t="s">
        <v>1775</v>
      </c>
      <c r="C97" s="412" t="s">
        <v>625</v>
      </c>
      <c r="D97" s="412" t="s">
        <v>748</v>
      </c>
      <c r="E97" s="1017"/>
      <c r="F97" s="1017"/>
      <c r="G97" s="1017"/>
      <c r="H97" s="1017"/>
      <c r="I97" s="659">
        <f>ROUND(Trial_2Cut[[#This Row],[Net]]/10^3,2)</f>
        <v>0</v>
      </c>
      <c r="J97" s="447"/>
      <c r="K97" s="447"/>
      <c r="L9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7" s="447"/>
    </row>
    <row r="98" spans="1:13">
      <c r="A98" s="412" t="s">
        <v>621</v>
      </c>
      <c r="B98" s="412" t="s">
        <v>1775</v>
      </c>
      <c r="C98" s="412" t="s">
        <v>625</v>
      </c>
      <c r="D98" s="412" t="s">
        <v>749</v>
      </c>
      <c r="E98" s="1017"/>
      <c r="F98" s="1017"/>
      <c r="G98" s="1017"/>
      <c r="H98" s="1017"/>
      <c r="I98" s="659">
        <f>ROUND(Trial_2Cut[[#This Row],[Net]]/10^3,2)</f>
        <v>0</v>
      </c>
      <c r="J98" s="447" t="s">
        <v>625</v>
      </c>
      <c r="K98" s="447" t="str">
        <f>'Sch-Debtor_Creditors'!$A$12</f>
        <v>Total trade payables</v>
      </c>
      <c r="L9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8" s="447"/>
    </row>
    <row r="99" spans="1:13">
      <c r="A99" s="412" t="s">
        <v>621</v>
      </c>
      <c r="B99" s="412" t="s">
        <v>1775</v>
      </c>
      <c r="C99" s="412" t="s">
        <v>625</v>
      </c>
      <c r="D99" s="412" t="s">
        <v>750</v>
      </c>
      <c r="E99" s="1017"/>
      <c r="F99" s="1017"/>
      <c r="G99" s="1017"/>
      <c r="H99" s="1017"/>
      <c r="I99" s="659">
        <f>ROUND(Trial_2Cut[[#This Row],[Net]]/10^3,2)</f>
        <v>0</v>
      </c>
      <c r="J99" s="447"/>
      <c r="K99" s="447"/>
      <c r="L9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99" s="447"/>
    </row>
    <row r="100" spans="1:13">
      <c r="A100" s="412" t="s">
        <v>621</v>
      </c>
      <c r="B100" s="412" t="s">
        <v>1775</v>
      </c>
      <c r="C100" s="412" t="s">
        <v>625</v>
      </c>
      <c r="D100" s="412" t="s">
        <v>751</v>
      </c>
      <c r="E100" s="1017"/>
      <c r="F100" s="1017"/>
      <c r="G100" s="1017"/>
      <c r="H100" s="1017"/>
      <c r="I100" s="659">
        <f>ROUND(Trial_2Cut[[#This Row],[Net]]/10^3,2)</f>
        <v>0</v>
      </c>
      <c r="J100" s="447" t="s">
        <v>625</v>
      </c>
      <c r="K100" s="447" t="str">
        <f>'Sch-Debtor_Creditors'!$A$12</f>
        <v>Total trade payables</v>
      </c>
      <c r="L10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0" s="447"/>
    </row>
    <row r="101" spans="1:13">
      <c r="A101" s="412" t="s">
        <v>621</v>
      </c>
      <c r="B101" s="412" t="s">
        <v>1775</v>
      </c>
      <c r="C101" s="412" t="s">
        <v>625</v>
      </c>
      <c r="D101" s="412" t="s">
        <v>752</v>
      </c>
      <c r="E101" s="1017"/>
      <c r="F101" s="1017"/>
      <c r="G101" s="1017"/>
      <c r="H101" s="1017"/>
      <c r="I101" s="659">
        <f>ROUND(Trial_2Cut[[#This Row],[Net]]/10^3,2)</f>
        <v>0</v>
      </c>
      <c r="J101" s="447"/>
      <c r="K101" s="447"/>
      <c r="L10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1" s="447"/>
    </row>
    <row r="102" spans="1:13">
      <c r="A102" s="412" t="s">
        <v>621</v>
      </c>
      <c r="B102" s="412" t="s">
        <v>1775</v>
      </c>
      <c r="C102" s="412" t="s">
        <v>625</v>
      </c>
      <c r="D102" s="412" t="s">
        <v>753</v>
      </c>
      <c r="E102" s="1017"/>
      <c r="F102" s="1017"/>
      <c r="G102" s="1017"/>
      <c r="H102" s="1017"/>
      <c r="I102" s="659">
        <f>ROUND(Trial_2Cut[[#This Row],[Net]]/10^3,2)</f>
        <v>0</v>
      </c>
      <c r="J102" s="447" t="s">
        <v>625</v>
      </c>
      <c r="K102" s="447" t="str">
        <f>'Sch-Debtor_Creditors'!$A$12</f>
        <v>Total trade payables</v>
      </c>
      <c r="L10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2" s="447"/>
    </row>
    <row r="103" spans="1:13">
      <c r="A103" s="412" t="s">
        <v>621</v>
      </c>
      <c r="B103" s="412" t="s">
        <v>1775</v>
      </c>
      <c r="C103" s="412" t="s">
        <v>625</v>
      </c>
      <c r="D103" s="412" t="s">
        <v>754</v>
      </c>
      <c r="E103" s="1017"/>
      <c r="F103" s="1017"/>
      <c r="G103" s="1017"/>
      <c r="H103" s="1017"/>
      <c r="I103" s="659">
        <f>ROUND(Trial_2Cut[[#This Row],[Net]]/10^3,2)</f>
        <v>0</v>
      </c>
      <c r="J103" s="447"/>
      <c r="K103" s="447"/>
      <c r="L10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3" s="447"/>
    </row>
    <row r="104" spans="1:13">
      <c r="A104" s="412" t="s">
        <v>621</v>
      </c>
      <c r="B104" s="412" t="s">
        <v>1775</v>
      </c>
      <c r="C104" s="412" t="s">
        <v>625</v>
      </c>
      <c r="D104" s="412" t="s">
        <v>755</v>
      </c>
      <c r="E104" s="1017"/>
      <c r="F104" s="1017"/>
      <c r="G104" s="1017"/>
      <c r="H104" s="1017"/>
      <c r="I104" s="659">
        <f>ROUND(Trial_2Cut[[#This Row],[Net]]/10^3,2)</f>
        <v>0</v>
      </c>
      <c r="J104" s="447"/>
      <c r="K104" s="447"/>
      <c r="L10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4" s="447"/>
    </row>
    <row r="105" spans="1:13">
      <c r="A105" s="412" t="s">
        <v>621</v>
      </c>
      <c r="B105" s="412" t="s">
        <v>1775</v>
      </c>
      <c r="C105" s="412" t="s">
        <v>625</v>
      </c>
      <c r="D105" s="412" t="s">
        <v>756</v>
      </c>
      <c r="E105" s="1017"/>
      <c r="F105" s="1017"/>
      <c r="G105" s="1017"/>
      <c r="H105" s="1017"/>
      <c r="I105" s="659">
        <f>ROUND(Trial_2Cut[[#This Row],[Net]]/10^3,2)</f>
        <v>0</v>
      </c>
      <c r="J105" s="447"/>
      <c r="K105" s="447"/>
      <c r="L10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5" s="447"/>
    </row>
    <row r="106" spans="1:13">
      <c r="A106" s="412" t="s">
        <v>621</v>
      </c>
      <c r="B106" s="412" t="s">
        <v>1775</v>
      </c>
      <c r="C106" s="412" t="s">
        <v>625</v>
      </c>
      <c r="D106" s="412" t="s">
        <v>757</v>
      </c>
      <c r="E106" s="1017"/>
      <c r="F106" s="1017"/>
      <c r="G106" s="1017"/>
      <c r="H106" s="1017"/>
      <c r="I106" s="659">
        <f>ROUND(Trial_2Cut[[#This Row],[Net]]/10^3,2)</f>
        <v>0</v>
      </c>
      <c r="J106" s="447" t="s">
        <v>625</v>
      </c>
      <c r="K106" s="447" t="str">
        <f>'Sch-Debtor_Creditors'!$A$12</f>
        <v>Total trade payables</v>
      </c>
      <c r="L10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6" s="447"/>
    </row>
    <row r="107" spans="1:13">
      <c r="A107" s="412" t="s">
        <v>621</v>
      </c>
      <c r="B107" s="412" t="s">
        <v>1775</v>
      </c>
      <c r="C107" s="412" t="s">
        <v>625</v>
      </c>
      <c r="D107" s="412" t="s">
        <v>758</v>
      </c>
      <c r="E107" s="1017"/>
      <c r="F107" s="1017"/>
      <c r="G107" s="1017"/>
      <c r="H107" s="1017"/>
      <c r="I107" s="659">
        <f>ROUND(Trial_2Cut[[#This Row],[Net]]/10^3,2)</f>
        <v>0</v>
      </c>
      <c r="J107" s="447"/>
      <c r="K107" s="447"/>
      <c r="L10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7" s="447"/>
    </row>
    <row r="108" spans="1:13">
      <c r="A108" s="412" t="s">
        <v>621</v>
      </c>
      <c r="B108" s="412" t="s">
        <v>1775</v>
      </c>
      <c r="C108" s="412" t="s">
        <v>625</v>
      </c>
      <c r="D108" s="412" t="s">
        <v>759</v>
      </c>
      <c r="E108" s="1017"/>
      <c r="F108" s="1017"/>
      <c r="G108" s="1017"/>
      <c r="H108" s="1017"/>
      <c r="I108" s="659">
        <f>ROUND(Trial_2Cut[[#This Row],[Net]]/10^3,2)</f>
        <v>0</v>
      </c>
      <c r="J108" s="447"/>
      <c r="K108" s="447"/>
      <c r="L10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8" s="447"/>
    </row>
    <row r="109" spans="1:13">
      <c r="A109" s="412" t="s">
        <v>621</v>
      </c>
      <c r="B109" s="412" t="s">
        <v>1775</v>
      </c>
      <c r="C109" s="412" t="s">
        <v>625</v>
      </c>
      <c r="D109" s="412" t="s">
        <v>760</v>
      </c>
      <c r="E109" s="1017"/>
      <c r="F109" s="1017"/>
      <c r="G109" s="1017"/>
      <c r="H109" s="1017"/>
      <c r="I109" s="659">
        <f>ROUND(Trial_2Cut[[#This Row],[Net]]/10^3,2)</f>
        <v>0</v>
      </c>
      <c r="J109" s="447" t="s">
        <v>625</v>
      </c>
      <c r="K109" s="447" t="str">
        <f>'Sch-Debtor_Creditors'!$A$12</f>
        <v>Total trade payables</v>
      </c>
      <c r="L10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09" s="447" t="s">
        <v>275</v>
      </c>
    </row>
    <row r="110" spans="1:13">
      <c r="A110" s="412" t="s">
        <v>621</v>
      </c>
      <c r="B110" s="412" t="s">
        <v>1775</v>
      </c>
      <c r="C110" s="412" t="s">
        <v>625</v>
      </c>
      <c r="D110" s="412" t="s">
        <v>761</v>
      </c>
      <c r="E110" s="1017"/>
      <c r="F110" s="1017"/>
      <c r="G110" s="1017"/>
      <c r="H110" s="1017"/>
      <c r="I110" s="659">
        <f>ROUND(Trial_2Cut[[#This Row],[Net]]/10^3,2)</f>
        <v>0</v>
      </c>
      <c r="J110" s="447" t="s">
        <v>625</v>
      </c>
      <c r="K110" s="447" t="str">
        <f>'Sch-Debtor_Creditors'!$A$12</f>
        <v>Total trade payables</v>
      </c>
      <c r="L11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0" s="447"/>
    </row>
    <row r="111" spans="1:13">
      <c r="A111" s="412" t="s">
        <v>621</v>
      </c>
      <c r="B111" s="412" t="s">
        <v>1775</v>
      </c>
      <c r="C111" s="412" t="s">
        <v>628</v>
      </c>
      <c r="D111" s="412" t="s">
        <v>762</v>
      </c>
      <c r="E111" s="1017"/>
      <c r="F111" s="1017"/>
      <c r="G111" s="1017"/>
      <c r="H111" s="1017"/>
      <c r="I111" s="659">
        <f>ROUND(Trial_2Cut[[#This Row],[Net]]/10^3,2)</f>
        <v>0</v>
      </c>
      <c r="J111" s="447" t="s">
        <v>624</v>
      </c>
      <c r="K111" s="447" t="s">
        <v>1777</v>
      </c>
      <c r="L11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1" s="447"/>
    </row>
    <row r="112" spans="1:13">
      <c r="A112" s="412" t="s">
        <v>621</v>
      </c>
      <c r="B112" s="412" t="s">
        <v>1775</v>
      </c>
      <c r="C112" s="412" t="s">
        <v>628</v>
      </c>
      <c r="D112" s="412" t="s">
        <v>763</v>
      </c>
      <c r="E112" s="1017"/>
      <c r="F112" s="1017"/>
      <c r="G112" s="1017"/>
      <c r="H112" s="1017"/>
      <c r="I112" s="659">
        <f>ROUND(Trial_2Cut[[#This Row],[Net]]/10^3,2)</f>
        <v>0</v>
      </c>
      <c r="J112" s="447" t="s">
        <v>624</v>
      </c>
      <c r="K112" s="475" t="s">
        <v>279</v>
      </c>
      <c r="L11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2" s="447"/>
    </row>
    <row r="113" spans="1:13">
      <c r="A113" s="412" t="s">
        <v>621</v>
      </c>
      <c r="B113" s="412" t="s">
        <v>1775</v>
      </c>
      <c r="C113" s="412" t="s">
        <v>628</v>
      </c>
      <c r="D113" s="412" t="s">
        <v>764</v>
      </c>
      <c r="E113" s="1017"/>
      <c r="F113" s="1017"/>
      <c r="G113" s="1017"/>
      <c r="H113" s="1017"/>
      <c r="I113" s="659">
        <f>ROUND(Trial_2Cut[[#This Row],[Net]]/10^3,2)</f>
        <v>0</v>
      </c>
      <c r="J113" s="447" t="s">
        <v>624</v>
      </c>
      <c r="K113" s="447" t="s">
        <v>401</v>
      </c>
      <c r="L11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3" s="447"/>
    </row>
    <row r="114" spans="1:13">
      <c r="A114" s="412" t="s">
        <v>621</v>
      </c>
      <c r="B114" s="412" t="s">
        <v>1775</v>
      </c>
      <c r="C114" s="412" t="s">
        <v>628</v>
      </c>
      <c r="D114" s="412" t="s">
        <v>765</v>
      </c>
      <c r="E114" s="1017"/>
      <c r="F114" s="1017"/>
      <c r="G114" s="1017"/>
      <c r="H114" s="1017"/>
      <c r="I114" s="659">
        <f>ROUND(Trial_2Cut[[#This Row],[Net]]/10^3,2)</f>
        <v>0</v>
      </c>
      <c r="J114" s="447" t="s">
        <v>624</v>
      </c>
      <c r="K114" s="447" t="s">
        <v>401</v>
      </c>
      <c r="L11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4" s="447"/>
    </row>
    <row r="115" spans="1:13">
      <c r="A115" s="412" t="s">
        <v>621</v>
      </c>
      <c r="B115" s="412" t="s">
        <v>1775</v>
      </c>
      <c r="C115" s="412" t="s">
        <v>628</v>
      </c>
      <c r="D115" s="412" t="s">
        <v>766</v>
      </c>
      <c r="E115" s="1017"/>
      <c r="F115" s="1017"/>
      <c r="G115" s="1017"/>
      <c r="H115" s="1017"/>
      <c r="I115" s="659">
        <f>ROUND(Trial_2Cut[[#This Row],[Net]]/10^3,2)</f>
        <v>0</v>
      </c>
      <c r="J115" s="447" t="s">
        <v>624</v>
      </c>
      <c r="K115" s="475" t="s">
        <v>1778</v>
      </c>
      <c r="L11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5" s="447"/>
    </row>
    <row r="116" spans="1:13">
      <c r="A116" s="412" t="s">
        <v>621</v>
      </c>
      <c r="B116" s="412" t="s">
        <v>1775</v>
      </c>
      <c r="C116" s="412" t="s">
        <v>628</v>
      </c>
      <c r="D116" s="412" t="s">
        <v>767</v>
      </c>
      <c r="E116" s="1017"/>
      <c r="F116" s="1017"/>
      <c r="G116" s="1017"/>
      <c r="H116" s="1017"/>
      <c r="I116" s="659">
        <f>ROUND(Trial_2Cut[[#This Row],[Net]]/10^3,2)</f>
        <v>0</v>
      </c>
      <c r="J116" s="475" t="s">
        <v>624</v>
      </c>
      <c r="K116" s="475" t="str">
        <f>'Sch - liab'!$A$85</f>
        <v>Statutory Dues</v>
      </c>
      <c r="L11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6" s="447"/>
    </row>
    <row r="117" spans="1:13">
      <c r="A117" s="412" t="s">
        <v>621</v>
      </c>
      <c r="B117" s="412" t="s">
        <v>1775</v>
      </c>
      <c r="C117" s="412" t="s">
        <v>628</v>
      </c>
      <c r="D117" s="412" t="s">
        <v>768</v>
      </c>
      <c r="E117" s="1017"/>
      <c r="F117" s="1017"/>
      <c r="G117" s="1017"/>
      <c r="H117" s="1017"/>
      <c r="I117" s="659">
        <f>ROUND(Trial_2Cut[[#This Row],[Net]]/10^3,2)</f>
        <v>0</v>
      </c>
      <c r="J117" s="475" t="s">
        <v>624</v>
      </c>
      <c r="K117" s="475" t="str">
        <f>'Sch - liab'!$A$85</f>
        <v>Statutory Dues</v>
      </c>
      <c r="L11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7" s="447"/>
    </row>
    <row r="118" spans="1:13">
      <c r="A118" s="412" t="s">
        <v>427</v>
      </c>
      <c r="B118" s="412" t="s">
        <v>1775</v>
      </c>
      <c r="C118" s="412" t="s">
        <v>428</v>
      </c>
      <c r="D118" s="412" t="s">
        <v>769</v>
      </c>
      <c r="E118" s="1017"/>
      <c r="F118" s="1017"/>
      <c r="G118" s="1017"/>
      <c r="H118" s="1017"/>
      <c r="I118" s="659">
        <f>ROUND(Trial_2Cut[[#This Row],[Net]]/10^3,2)</f>
        <v>0</v>
      </c>
      <c r="J118" s="447" t="s">
        <v>1762</v>
      </c>
      <c r="K118" s="447" t="s">
        <v>1762</v>
      </c>
      <c r="L11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8" s="447"/>
    </row>
    <row r="119" spans="1:13">
      <c r="A119" s="412" t="s">
        <v>427</v>
      </c>
      <c r="B119" s="412" t="s">
        <v>1775</v>
      </c>
      <c r="C119" s="412" t="s">
        <v>428</v>
      </c>
      <c r="D119" s="412" t="s">
        <v>770</v>
      </c>
      <c r="E119" s="1017"/>
      <c r="F119" s="1017"/>
      <c r="G119" s="1017"/>
      <c r="H119" s="1017"/>
      <c r="I119" s="659">
        <f>ROUND(Trial_2Cut[[#This Row],[Net]]/10^3,2)</f>
        <v>0</v>
      </c>
      <c r="J119" s="447" t="s">
        <v>1762</v>
      </c>
      <c r="K119" s="447" t="s">
        <v>1762</v>
      </c>
      <c r="L11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19" s="447"/>
    </row>
    <row r="120" spans="1:13">
      <c r="A120" s="412" t="s">
        <v>427</v>
      </c>
      <c r="B120" s="412" t="s">
        <v>1775</v>
      </c>
      <c r="C120" s="412" t="s">
        <v>428</v>
      </c>
      <c r="D120" s="412" t="s">
        <v>771</v>
      </c>
      <c r="E120" s="1017"/>
      <c r="F120" s="1017"/>
      <c r="G120" s="1017"/>
      <c r="H120" s="1017"/>
      <c r="I120" s="659">
        <f>ROUND(Trial_2Cut[[#This Row],[Net]]/10^3,2)</f>
        <v>0</v>
      </c>
      <c r="J120" s="447" t="s">
        <v>1762</v>
      </c>
      <c r="K120" s="447" t="s">
        <v>1762</v>
      </c>
      <c r="L12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0" s="447"/>
    </row>
    <row r="121" spans="1:13">
      <c r="A121" s="412" t="s">
        <v>427</v>
      </c>
      <c r="B121" s="412" t="s">
        <v>1775</v>
      </c>
      <c r="C121" s="412" t="s">
        <v>428</v>
      </c>
      <c r="D121" s="412" t="s">
        <v>772</v>
      </c>
      <c r="E121" s="1017"/>
      <c r="F121" s="1017"/>
      <c r="G121" s="1017"/>
      <c r="H121" s="1017"/>
      <c r="I121" s="659">
        <f>ROUND(Trial_2Cut[[#This Row],[Net]]/10^3,2)</f>
        <v>0</v>
      </c>
      <c r="J121" s="447" t="s">
        <v>1762</v>
      </c>
      <c r="K121" s="447" t="s">
        <v>1762</v>
      </c>
      <c r="L12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1" s="447"/>
    </row>
    <row r="122" spans="1:13">
      <c r="A122" s="412" t="s">
        <v>427</v>
      </c>
      <c r="B122" s="412" t="s">
        <v>1775</v>
      </c>
      <c r="C122" s="412" t="s">
        <v>428</v>
      </c>
      <c r="D122" s="412" t="s">
        <v>773</v>
      </c>
      <c r="E122" s="1017"/>
      <c r="F122" s="1017"/>
      <c r="G122" s="1017"/>
      <c r="H122" s="1017"/>
      <c r="I122" s="659">
        <f>ROUND(Trial_2Cut[[#This Row],[Net]]/10^3,2)</f>
        <v>0</v>
      </c>
      <c r="J122" s="447" t="s">
        <v>1762</v>
      </c>
      <c r="K122" s="447" t="s">
        <v>1762</v>
      </c>
      <c r="L12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2" s="447"/>
    </row>
    <row r="123" spans="1:13">
      <c r="A123" s="412" t="s">
        <v>427</v>
      </c>
      <c r="B123" s="412" t="s">
        <v>1775</v>
      </c>
      <c r="C123" s="412" t="s">
        <v>428</v>
      </c>
      <c r="D123" s="412" t="s">
        <v>774</v>
      </c>
      <c r="E123" s="1017"/>
      <c r="F123" s="1017"/>
      <c r="G123" s="1017"/>
      <c r="H123" s="1017"/>
      <c r="I123" s="659">
        <f>ROUND(Trial_2Cut[[#This Row],[Net]]/10^3,2)</f>
        <v>0</v>
      </c>
      <c r="J123" s="447" t="s">
        <v>1762</v>
      </c>
      <c r="K123" s="447" t="s">
        <v>1762</v>
      </c>
      <c r="L12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3" s="447"/>
    </row>
    <row r="124" spans="1:13">
      <c r="A124" s="412" t="s">
        <v>427</v>
      </c>
      <c r="B124" s="412" t="s">
        <v>1775</v>
      </c>
      <c r="C124" s="412" t="s">
        <v>428</v>
      </c>
      <c r="D124" s="412" t="s">
        <v>775</v>
      </c>
      <c r="E124" s="1017"/>
      <c r="F124" s="1017"/>
      <c r="G124" s="1017"/>
      <c r="H124" s="1017"/>
      <c r="I124" s="659">
        <f>ROUND(Trial_2Cut[[#This Row],[Net]]/10^3,2)</f>
        <v>0</v>
      </c>
      <c r="J124" s="447" t="s">
        <v>1762</v>
      </c>
      <c r="K124" s="447" t="s">
        <v>1762</v>
      </c>
      <c r="L12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4" s="447"/>
    </row>
    <row r="125" spans="1:13">
      <c r="A125" s="412" t="s">
        <v>427</v>
      </c>
      <c r="B125" s="412" t="s">
        <v>1775</v>
      </c>
      <c r="C125" s="412" t="s">
        <v>428</v>
      </c>
      <c r="D125" s="412" t="s">
        <v>776</v>
      </c>
      <c r="E125" s="1017"/>
      <c r="F125" s="1017"/>
      <c r="G125" s="1017"/>
      <c r="H125" s="1017"/>
      <c r="I125" s="659">
        <f>ROUND(Trial_2Cut[[#This Row],[Net]]/10^3,2)</f>
        <v>0</v>
      </c>
      <c r="J125" s="447" t="s">
        <v>1762</v>
      </c>
      <c r="K125" s="447" t="s">
        <v>1762</v>
      </c>
      <c r="L12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5" s="447"/>
    </row>
    <row r="126" spans="1:13">
      <c r="A126" s="412" t="s">
        <v>427</v>
      </c>
      <c r="B126" s="412" t="s">
        <v>1775</v>
      </c>
      <c r="C126" s="412" t="s">
        <v>428</v>
      </c>
      <c r="D126" s="412" t="s">
        <v>777</v>
      </c>
      <c r="E126" s="1017"/>
      <c r="F126" s="1017"/>
      <c r="G126" s="1017"/>
      <c r="H126" s="1017"/>
      <c r="I126" s="659">
        <f>ROUND(Trial_2Cut[[#This Row],[Net]]/10^3,2)</f>
        <v>0</v>
      </c>
      <c r="J126" s="447" t="s">
        <v>1762</v>
      </c>
      <c r="K126" s="447" t="s">
        <v>1762</v>
      </c>
      <c r="L12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6" s="447"/>
    </row>
    <row r="127" spans="1:13">
      <c r="A127" s="412" t="s">
        <v>427</v>
      </c>
      <c r="B127" s="412" t="s">
        <v>1775</v>
      </c>
      <c r="C127" s="412" t="s">
        <v>428</v>
      </c>
      <c r="D127" s="412" t="s">
        <v>778</v>
      </c>
      <c r="E127" s="1017"/>
      <c r="F127" s="1017"/>
      <c r="G127" s="1017"/>
      <c r="H127" s="1017"/>
      <c r="I127" s="659">
        <f>ROUND(Trial_2Cut[[#This Row],[Net]]/10^3,2)</f>
        <v>0</v>
      </c>
      <c r="J127" s="447" t="s">
        <v>1762</v>
      </c>
      <c r="K127" s="447" t="s">
        <v>1762</v>
      </c>
      <c r="L12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7" s="447"/>
    </row>
    <row r="128" spans="1:13">
      <c r="A128" s="412" t="s">
        <v>427</v>
      </c>
      <c r="B128" s="412" t="s">
        <v>1775</v>
      </c>
      <c r="C128" s="412" t="s">
        <v>428</v>
      </c>
      <c r="D128" s="412" t="s">
        <v>779</v>
      </c>
      <c r="E128" s="1017"/>
      <c r="F128" s="1017"/>
      <c r="G128" s="1017"/>
      <c r="H128" s="1017"/>
      <c r="I128" s="659">
        <f>ROUND(Trial_2Cut[[#This Row],[Net]]/10^3,2)</f>
        <v>0</v>
      </c>
      <c r="J128" s="447" t="s">
        <v>1762</v>
      </c>
      <c r="K128" s="447" t="s">
        <v>1762</v>
      </c>
      <c r="L12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8" s="447"/>
    </row>
    <row r="129" spans="1:13">
      <c r="A129" s="412" t="s">
        <v>427</v>
      </c>
      <c r="B129" s="412" t="s">
        <v>1775</v>
      </c>
      <c r="C129" s="412" t="s">
        <v>428</v>
      </c>
      <c r="D129" s="412" t="s">
        <v>780</v>
      </c>
      <c r="E129" s="1017"/>
      <c r="F129" s="1017"/>
      <c r="G129" s="1017"/>
      <c r="H129" s="1017"/>
      <c r="I129" s="659">
        <f>ROUND(Trial_2Cut[[#This Row],[Net]]/10^3,2)</f>
        <v>0</v>
      </c>
      <c r="J129" s="447" t="s">
        <v>1762</v>
      </c>
      <c r="K129" s="447" t="s">
        <v>1762</v>
      </c>
      <c r="L12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29" s="447"/>
    </row>
    <row r="130" spans="1:13">
      <c r="A130" s="412" t="s">
        <v>427</v>
      </c>
      <c r="B130" s="412" t="s">
        <v>1775</v>
      </c>
      <c r="C130" s="412" t="s">
        <v>428</v>
      </c>
      <c r="D130" s="412" t="s">
        <v>781</v>
      </c>
      <c r="E130" s="1017"/>
      <c r="F130" s="1017"/>
      <c r="G130" s="1017"/>
      <c r="H130" s="1017"/>
      <c r="I130" s="659">
        <f>ROUND(Trial_2Cut[[#This Row],[Net]]/10^3,2)</f>
        <v>0</v>
      </c>
      <c r="J130" s="447" t="s">
        <v>1762</v>
      </c>
      <c r="K130" s="447" t="s">
        <v>1762</v>
      </c>
      <c r="L13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0" s="447"/>
    </row>
    <row r="131" spans="1:13">
      <c r="A131" s="412" t="s">
        <v>427</v>
      </c>
      <c r="B131" s="412" t="s">
        <v>1775</v>
      </c>
      <c r="C131" s="412" t="s">
        <v>428</v>
      </c>
      <c r="D131" s="412" t="s">
        <v>616</v>
      </c>
      <c r="E131" s="1017"/>
      <c r="F131" s="1017"/>
      <c r="G131" s="1017"/>
      <c r="H131" s="1017"/>
      <c r="I131" s="659">
        <f>ROUND(Trial_2Cut[[#This Row],[Net]]/10^3,2)</f>
        <v>0</v>
      </c>
      <c r="J131" s="447" t="s">
        <v>1762</v>
      </c>
      <c r="K131" s="447" t="s">
        <v>1762</v>
      </c>
      <c r="L13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1" s="447"/>
    </row>
    <row r="132" spans="1:13">
      <c r="A132" s="412" t="s">
        <v>427</v>
      </c>
      <c r="B132" s="412" t="s">
        <v>1775</v>
      </c>
      <c r="C132" s="412" t="s">
        <v>428</v>
      </c>
      <c r="D132" s="412" t="s">
        <v>782</v>
      </c>
      <c r="E132" s="1017"/>
      <c r="F132" s="1017"/>
      <c r="G132" s="1017"/>
      <c r="H132" s="1017"/>
      <c r="I132" s="659">
        <f>ROUND(Trial_2Cut[[#This Row],[Net]]/10^3,2)</f>
        <v>0</v>
      </c>
      <c r="J132" s="447" t="s">
        <v>1762</v>
      </c>
      <c r="K132" s="447" t="s">
        <v>1762</v>
      </c>
      <c r="L13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2" s="447"/>
    </row>
    <row r="133" spans="1:13">
      <c r="A133" s="412" t="s">
        <v>427</v>
      </c>
      <c r="B133" s="412" t="s">
        <v>1775</v>
      </c>
      <c r="C133" s="412" t="s">
        <v>428</v>
      </c>
      <c r="D133" s="412" t="s">
        <v>783</v>
      </c>
      <c r="E133" s="1017"/>
      <c r="F133" s="1017"/>
      <c r="G133" s="1017"/>
      <c r="H133" s="1017"/>
      <c r="I133" s="659">
        <f>ROUND(Trial_2Cut[[#This Row],[Net]]/10^3,2)</f>
        <v>0</v>
      </c>
      <c r="J133" s="447"/>
      <c r="K133" s="447"/>
      <c r="L13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3" s="447" t="s">
        <v>627</v>
      </c>
    </row>
    <row r="134" spans="1:13">
      <c r="A134" s="412" t="s">
        <v>427</v>
      </c>
      <c r="B134" s="412" t="s">
        <v>1775</v>
      </c>
      <c r="C134" s="412" t="s">
        <v>428</v>
      </c>
      <c r="D134" s="412" t="s">
        <v>784</v>
      </c>
      <c r="E134" s="1017"/>
      <c r="F134" s="1017"/>
      <c r="G134" s="1017"/>
      <c r="H134" s="1017"/>
      <c r="I134" s="659">
        <f>ROUND(Trial_2Cut[[#This Row],[Net]]/10^3,2)</f>
        <v>0</v>
      </c>
      <c r="J134" s="447" t="s">
        <v>1762</v>
      </c>
      <c r="K134" s="447" t="s">
        <v>1762</v>
      </c>
      <c r="L13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4" s="447"/>
    </row>
    <row r="135" spans="1:13">
      <c r="A135" s="412" t="s">
        <v>427</v>
      </c>
      <c r="B135" s="412" t="s">
        <v>1775</v>
      </c>
      <c r="C135" s="412" t="s">
        <v>428</v>
      </c>
      <c r="D135" s="412" t="s">
        <v>785</v>
      </c>
      <c r="E135" s="1017"/>
      <c r="F135" s="1017"/>
      <c r="G135" s="1017"/>
      <c r="H135" s="1017"/>
      <c r="I135" s="659">
        <f>ROUND(Trial_2Cut[[#This Row],[Net]]/10^3,2)</f>
        <v>0</v>
      </c>
      <c r="J135" s="447" t="s">
        <v>1762</v>
      </c>
      <c r="K135" s="447" t="s">
        <v>1762</v>
      </c>
      <c r="L13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5" s="447"/>
    </row>
    <row r="136" spans="1:13">
      <c r="A136" s="412" t="s">
        <v>427</v>
      </c>
      <c r="B136" s="412" t="s">
        <v>1775</v>
      </c>
      <c r="C136" s="412" t="s">
        <v>428</v>
      </c>
      <c r="D136" s="412" t="s">
        <v>786</v>
      </c>
      <c r="E136" s="1017"/>
      <c r="F136" s="1017"/>
      <c r="G136" s="1017"/>
      <c r="H136" s="1017"/>
      <c r="I136" s="659">
        <f>ROUND(Trial_2Cut[[#This Row],[Net]]/10^3,2)</f>
        <v>0</v>
      </c>
      <c r="J136" s="447" t="s">
        <v>1762</v>
      </c>
      <c r="K136" s="447" t="s">
        <v>1762</v>
      </c>
      <c r="L13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6" s="447"/>
    </row>
    <row r="137" spans="1:13">
      <c r="A137" s="412" t="s">
        <v>427</v>
      </c>
      <c r="B137" s="412" t="s">
        <v>1775</v>
      </c>
      <c r="C137" s="412" t="s">
        <v>428</v>
      </c>
      <c r="D137" s="412" t="s">
        <v>787</v>
      </c>
      <c r="E137" s="1017"/>
      <c r="F137" s="1017"/>
      <c r="G137" s="1017"/>
      <c r="H137" s="1017"/>
      <c r="I137" s="659">
        <f>ROUND(Trial_2Cut[[#This Row],[Net]]/10^3,2)</f>
        <v>0</v>
      </c>
      <c r="J137" s="447" t="s">
        <v>1762</v>
      </c>
      <c r="K137" s="447" t="s">
        <v>1762</v>
      </c>
      <c r="L13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7" s="447"/>
    </row>
    <row r="138" spans="1:13">
      <c r="A138" s="412" t="s">
        <v>427</v>
      </c>
      <c r="B138" s="412" t="s">
        <v>1775</v>
      </c>
      <c r="C138" s="412" t="s">
        <v>428</v>
      </c>
      <c r="D138" s="412" t="s">
        <v>788</v>
      </c>
      <c r="E138" s="1017"/>
      <c r="F138" s="1017"/>
      <c r="G138" s="1017"/>
      <c r="H138" s="1017"/>
      <c r="I138" s="659">
        <f>ROUND(Trial_2Cut[[#This Row],[Net]]/10^3,2)</f>
        <v>0</v>
      </c>
      <c r="J138" s="447" t="s">
        <v>1762</v>
      </c>
      <c r="K138" s="447" t="s">
        <v>1762</v>
      </c>
      <c r="L13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8" s="447"/>
    </row>
    <row r="139" spans="1:13">
      <c r="A139" s="412" t="s">
        <v>427</v>
      </c>
      <c r="B139" s="412" t="s">
        <v>1775</v>
      </c>
      <c r="C139" s="412" t="s">
        <v>428</v>
      </c>
      <c r="D139" s="412" t="s">
        <v>789</v>
      </c>
      <c r="E139" s="1017"/>
      <c r="F139" s="1017"/>
      <c r="G139" s="1017"/>
      <c r="H139" s="1017"/>
      <c r="I139" s="659">
        <f>ROUND(Trial_2Cut[[#This Row],[Net]]/10^3,2)</f>
        <v>0</v>
      </c>
      <c r="J139" s="447" t="s">
        <v>1762</v>
      </c>
      <c r="K139" s="447" t="s">
        <v>1762</v>
      </c>
      <c r="L13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39" s="447"/>
    </row>
    <row r="140" spans="1:13">
      <c r="A140" s="412" t="s">
        <v>427</v>
      </c>
      <c r="B140" s="412" t="s">
        <v>1775</v>
      </c>
      <c r="C140" s="412" t="s">
        <v>428</v>
      </c>
      <c r="D140" s="412" t="s">
        <v>790</v>
      </c>
      <c r="E140" s="1017"/>
      <c r="F140" s="1017"/>
      <c r="G140" s="1017"/>
      <c r="H140" s="1017"/>
      <c r="I140" s="659">
        <f>ROUND(Trial_2Cut[[#This Row],[Net]]/10^3,2)</f>
        <v>0</v>
      </c>
      <c r="J140" s="447" t="s">
        <v>1762</v>
      </c>
      <c r="K140" s="447" t="s">
        <v>1762</v>
      </c>
      <c r="L14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0" s="447"/>
    </row>
    <row r="141" spans="1:13">
      <c r="A141" s="412" t="s">
        <v>427</v>
      </c>
      <c r="B141" s="412" t="s">
        <v>1775</v>
      </c>
      <c r="C141" s="412" t="s">
        <v>428</v>
      </c>
      <c r="D141" s="412" t="s">
        <v>791</v>
      </c>
      <c r="E141" s="1017"/>
      <c r="F141" s="1017"/>
      <c r="G141" s="1017"/>
      <c r="H141" s="1017"/>
      <c r="I141" s="659">
        <f>ROUND(Trial_2Cut[[#This Row],[Net]]/10^3,2)</f>
        <v>0</v>
      </c>
      <c r="J141" s="447" t="s">
        <v>1762</v>
      </c>
      <c r="K141" s="447" t="s">
        <v>1762</v>
      </c>
      <c r="L14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1" s="447"/>
    </row>
    <row r="142" spans="1:13">
      <c r="A142" s="412" t="s">
        <v>427</v>
      </c>
      <c r="B142" s="412" t="s">
        <v>1775</v>
      </c>
      <c r="C142" s="412" t="s">
        <v>448</v>
      </c>
      <c r="D142" s="412" t="s">
        <v>792</v>
      </c>
      <c r="E142" s="1017"/>
      <c r="F142" s="1017"/>
      <c r="G142" s="1017"/>
      <c r="H142" s="1017"/>
      <c r="I142" s="659">
        <f>ROUND(Trial_2Cut[[#This Row],[Net]]/10^3,2)</f>
        <v>0</v>
      </c>
      <c r="J142" s="475" t="s">
        <v>1846</v>
      </c>
      <c r="K142" s="475" t="str">
        <f>'Sch - PL'!$A$57</f>
        <v>Finished goods</v>
      </c>
      <c r="L14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2" s="447"/>
    </row>
    <row r="143" spans="1:13">
      <c r="A143" s="412" t="s">
        <v>427</v>
      </c>
      <c r="B143" s="412" t="s">
        <v>1775</v>
      </c>
      <c r="C143" s="412" t="s">
        <v>429</v>
      </c>
      <c r="D143" s="412" t="s">
        <v>793</v>
      </c>
      <c r="E143" s="1017"/>
      <c r="F143" s="1017"/>
      <c r="G143" s="1017"/>
      <c r="H143" s="1017"/>
      <c r="I143" s="659">
        <f>ROUND(Trial_2Cut[[#This Row],[Net]]/10^3,2)</f>
        <v>0</v>
      </c>
      <c r="J143" s="447"/>
      <c r="K143" s="447"/>
      <c r="L14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3" s="447"/>
    </row>
    <row r="144" spans="1:13">
      <c r="A144" s="412" t="s">
        <v>427</v>
      </c>
      <c r="B144" s="412" t="s">
        <v>1775</v>
      </c>
      <c r="C144" s="412" t="s">
        <v>429</v>
      </c>
      <c r="D144" s="412" t="s">
        <v>794</v>
      </c>
      <c r="E144" s="1017"/>
      <c r="F144" s="1017"/>
      <c r="G144" s="1017"/>
      <c r="H144" s="1017"/>
      <c r="I144" s="659">
        <f>ROUND(Trial_2Cut[[#This Row],[Net]]/10^3,2)</f>
        <v>0</v>
      </c>
      <c r="J144" s="447" t="s">
        <v>429</v>
      </c>
      <c r="K144" s="447" t="s">
        <v>402</v>
      </c>
      <c r="L14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4" s="447"/>
    </row>
    <row r="145" spans="1:13">
      <c r="A145" s="412" t="s">
        <v>427</v>
      </c>
      <c r="B145" s="412" t="s">
        <v>1775</v>
      </c>
      <c r="C145" s="412" t="s">
        <v>429</v>
      </c>
      <c r="D145" s="412" t="s">
        <v>795</v>
      </c>
      <c r="E145" s="1017"/>
      <c r="F145" s="1017"/>
      <c r="G145" s="1017"/>
      <c r="H145" s="1017"/>
      <c r="I145" s="659">
        <f>ROUND(Trial_2Cut[[#This Row],[Net]]/10^3,2)</f>
        <v>0</v>
      </c>
      <c r="J145" s="447" t="s">
        <v>429</v>
      </c>
      <c r="K145" s="447" t="s">
        <v>402</v>
      </c>
      <c r="L14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5" s="447"/>
    </row>
    <row r="146" spans="1:13">
      <c r="A146" s="412" t="s">
        <v>427</v>
      </c>
      <c r="B146" s="412" t="s">
        <v>1775</v>
      </c>
      <c r="C146" s="412" t="s">
        <v>429</v>
      </c>
      <c r="D146" s="412" t="s">
        <v>796</v>
      </c>
      <c r="E146" s="1017"/>
      <c r="F146" s="1017"/>
      <c r="G146" s="1017"/>
      <c r="H146" s="1017"/>
      <c r="I146" s="659">
        <f>ROUND(Trial_2Cut[[#This Row],[Net]]/10^3,2)</f>
        <v>0</v>
      </c>
      <c r="J146" s="447" t="s">
        <v>429</v>
      </c>
      <c r="K146" s="447" t="s">
        <v>402</v>
      </c>
      <c r="L14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6" s="447"/>
    </row>
    <row r="147" spans="1:13">
      <c r="A147" s="412" t="s">
        <v>427</v>
      </c>
      <c r="B147" s="412" t="s">
        <v>1775</v>
      </c>
      <c r="C147" s="412" t="s">
        <v>429</v>
      </c>
      <c r="D147" s="412" t="s">
        <v>797</v>
      </c>
      <c r="E147" s="1017"/>
      <c r="F147" s="1017"/>
      <c r="G147" s="1017"/>
      <c r="H147" s="1017"/>
      <c r="I147" s="659">
        <f>ROUND(Trial_2Cut[[#This Row],[Net]]/10^3,2)</f>
        <v>0</v>
      </c>
      <c r="J147" s="447" t="s">
        <v>429</v>
      </c>
      <c r="K147" s="447" t="s">
        <v>402</v>
      </c>
      <c r="L14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7" s="447"/>
    </row>
    <row r="148" spans="1:13">
      <c r="A148" s="412" t="s">
        <v>427</v>
      </c>
      <c r="B148" s="412" t="s">
        <v>1775</v>
      </c>
      <c r="C148" s="412" t="s">
        <v>429</v>
      </c>
      <c r="D148" s="412" t="s">
        <v>798</v>
      </c>
      <c r="E148" s="1017"/>
      <c r="F148" s="1017"/>
      <c r="G148" s="1017"/>
      <c r="H148" s="1017"/>
      <c r="I148" s="659">
        <f>ROUND(Trial_2Cut[[#This Row],[Net]]/10^3,2)</f>
        <v>0</v>
      </c>
      <c r="J148" s="447" t="s">
        <v>429</v>
      </c>
      <c r="K148" s="447" t="s">
        <v>402</v>
      </c>
      <c r="L14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8" s="447"/>
    </row>
    <row r="149" spans="1:13">
      <c r="A149" s="412" t="s">
        <v>427</v>
      </c>
      <c r="B149" s="412" t="s">
        <v>1775</v>
      </c>
      <c r="C149" s="412" t="s">
        <v>429</v>
      </c>
      <c r="D149" s="412" t="s">
        <v>799</v>
      </c>
      <c r="E149" s="1017"/>
      <c r="F149" s="1017"/>
      <c r="G149" s="1017"/>
      <c r="H149" s="1017"/>
      <c r="I149" s="659">
        <f>ROUND(Trial_2Cut[[#This Row],[Net]]/10^3,2)</f>
        <v>0</v>
      </c>
      <c r="J149" s="447" t="s">
        <v>429</v>
      </c>
      <c r="K149" s="447" t="s">
        <v>402</v>
      </c>
      <c r="L14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49" s="447"/>
    </row>
    <row r="150" spans="1:13">
      <c r="A150" s="412" t="s">
        <v>427</v>
      </c>
      <c r="B150" s="412" t="s">
        <v>1775</v>
      </c>
      <c r="C150" s="412" t="s">
        <v>429</v>
      </c>
      <c r="D150" s="412" t="s">
        <v>800</v>
      </c>
      <c r="E150" s="1017"/>
      <c r="F150" s="1017"/>
      <c r="G150" s="1017"/>
      <c r="H150" s="1017"/>
      <c r="I150" s="659">
        <f>ROUND(Trial_2Cut[[#This Row],[Net]]/10^3,2)</f>
        <v>0</v>
      </c>
      <c r="J150" s="447"/>
      <c r="K150" s="447"/>
      <c r="L15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0" s="447"/>
    </row>
    <row r="151" spans="1:13">
      <c r="A151" s="412" t="s">
        <v>427</v>
      </c>
      <c r="B151" s="412" t="s">
        <v>1775</v>
      </c>
      <c r="C151" s="412" t="s">
        <v>429</v>
      </c>
      <c r="D151" s="412" t="s">
        <v>801</v>
      </c>
      <c r="E151" s="1017"/>
      <c r="F151" s="1017"/>
      <c r="G151" s="1017"/>
      <c r="H151" s="1017"/>
      <c r="I151" s="659">
        <f>ROUND(Trial_2Cut[[#This Row],[Net]]/10^3,2)</f>
        <v>0</v>
      </c>
      <c r="J151" s="447" t="s">
        <v>429</v>
      </c>
      <c r="K151" s="447" t="s">
        <v>402</v>
      </c>
      <c r="L15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1" s="447"/>
    </row>
    <row r="152" spans="1:13">
      <c r="A152" s="412" t="s">
        <v>427</v>
      </c>
      <c r="B152" s="412" t="s">
        <v>1775</v>
      </c>
      <c r="C152" s="412" t="s">
        <v>429</v>
      </c>
      <c r="D152" s="412" t="s">
        <v>802</v>
      </c>
      <c r="E152" s="1017"/>
      <c r="F152" s="1017"/>
      <c r="G152" s="1017"/>
      <c r="H152" s="1017"/>
      <c r="I152" s="659">
        <f>ROUND(Trial_2Cut[[#This Row],[Net]]/10^3,2)</f>
        <v>0</v>
      </c>
      <c r="J152" s="447" t="s">
        <v>429</v>
      </c>
      <c r="K152" s="447" t="s">
        <v>402</v>
      </c>
      <c r="L15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2" s="447"/>
    </row>
    <row r="153" spans="1:13">
      <c r="A153" s="412" t="s">
        <v>427</v>
      </c>
      <c r="B153" s="412" t="s">
        <v>1775</v>
      </c>
      <c r="C153" s="412" t="s">
        <v>429</v>
      </c>
      <c r="D153" s="412" t="s">
        <v>803</v>
      </c>
      <c r="E153" s="1017"/>
      <c r="F153" s="1017"/>
      <c r="G153" s="1017"/>
      <c r="H153" s="1017"/>
      <c r="I153" s="659">
        <f>ROUND(Trial_2Cut[[#This Row],[Net]]/10^3,2)</f>
        <v>0</v>
      </c>
      <c r="J153" s="447" t="s">
        <v>429</v>
      </c>
      <c r="K153" s="447" t="s">
        <v>402</v>
      </c>
      <c r="L15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3" s="475"/>
    </row>
    <row r="154" spans="1:13">
      <c r="A154" s="412" t="s">
        <v>427</v>
      </c>
      <c r="B154" s="412" t="s">
        <v>1775</v>
      </c>
      <c r="C154" s="412" t="s">
        <v>429</v>
      </c>
      <c r="D154" s="412" t="s">
        <v>804</v>
      </c>
      <c r="E154" s="1017"/>
      <c r="F154" s="1017"/>
      <c r="G154" s="1017"/>
      <c r="H154" s="1017"/>
      <c r="I154" s="659">
        <f>ROUND(Trial_2Cut[[#This Row],[Net]]/10^3,2)</f>
        <v>0</v>
      </c>
      <c r="J154" s="447"/>
      <c r="K154" s="447"/>
      <c r="L15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4" s="475"/>
    </row>
    <row r="155" spans="1:13">
      <c r="A155" s="412" t="s">
        <v>427</v>
      </c>
      <c r="B155" s="412" t="s">
        <v>1775</v>
      </c>
      <c r="C155" s="412" t="s">
        <v>429</v>
      </c>
      <c r="D155" s="412" t="s">
        <v>805</v>
      </c>
      <c r="E155" s="1017"/>
      <c r="F155" s="1017"/>
      <c r="G155" s="1017"/>
      <c r="H155" s="1017"/>
      <c r="I155" s="659">
        <f>ROUND(Trial_2Cut[[#This Row],[Net]]/10^3,2)</f>
        <v>0</v>
      </c>
      <c r="J155" s="447" t="s">
        <v>628</v>
      </c>
      <c r="K155" s="447" t="s">
        <v>1842</v>
      </c>
      <c r="L15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5" s="475"/>
    </row>
    <row r="156" spans="1:13">
      <c r="A156" s="412" t="s">
        <v>427</v>
      </c>
      <c r="B156" s="412" t="s">
        <v>1775</v>
      </c>
      <c r="C156" s="412" t="s">
        <v>429</v>
      </c>
      <c r="D156" s="412" t="s">
        <v>806</v>
      </c>
      <c r="E156" s="1017"/>
      <c r="F156" s="1017"/>
      <c r="G156" s="1017"/>
      <c r="H156" s="1017"/>
      <c r="I156" s="659">
        <f>ROUND(Trial_2Cut[[#This Row],[Net]]/10^3,2)</f>
        <v>0</v>
      </c>
      <c r="J156" s="447" t="s">
        <v>429</v>
      </c>
      <c r="K156" s="447" t="s">
        <v>402</v>
      </c>
      <c r="L15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6" s="475"/>
    </row>
    <row r="157" spans="1:13">
      <c r="A157" s="412" t="s">
        <v>427</v>
      </c>
      <c r="B157" s="412" t="s">
        <v>1775</v>
      </c>
      <c r="C157" s="412" t="s">
        <v>429</v>
      </c>
      <c r="D157" s="412" t="s">
        <v>807</v>
      </c>
      <c r="E157" s="1017"/>
      <c r="F157" s="1017"/>
      <c r="G157" s="1017"/>
      <c r="H157" s="1017"/>
      <c r="I157" s="659">
        <f>ROUND(Trial_2Cut[[#This Row],[Net]]/10^3,2)</f>
        <v>0</v>
      </c>
      <c r="J157" s="447" t="s">
        <v>429</v>
      </c>
      <c r="K157" s="447" t="s">
        <v>402</v>
      </c>
      <c r="L15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7" s="475"/>
    </row>
    <row r="158" spans="1:13">
      <c r="A158" s="412" t="s">
        <v>427</v>
      </c>
      <c r="B158" s="412" t="s">
        <v>1775</v>
      </c>
      <c r="C158" s="412" t="s">
        <v>429</v>
      </c>
      <c r="D158" s="412" t="s">
        <v>808</v>
      </c>
      <c r="E158" s="1017"/>
      <c r="F158" s="1017"/>
      <c r="G158" s="1017"/>
      <c r="H158" s="1017"/>
      <c r="I158" s="659">
        <f>ROUND(Trial_2Cut[[#This Row],[Net]]/10^3,2)</f>
        <v>0</v>
      </c>
      <c r="J158" s="447" t="s">
        <v>429</v>
      </c>
      <c r="K158" s="447" t="s">
        <v>402</v>
      </c>
      <c r="L15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8" s="475"/>
    </row>
    <row r="159" spans="1:13">
      <c r="A159" s="412" t="s">
        <v>427</v>
      </c>
      <c r="B159" s="412" t="s">
        <v>1775</v>
      </c>
      <c r="C159" s="412" t="s">
        <v>429</v>
      </c>
      <c r="D159" s="412" t="s">
        <v>809</v>
      </c>
      <c r="E159" s="1017"/>
      <c r="F159" s="1017"/>
      <c r="G159" s="1017"/>
      <c r="H159" s="1017"/>
      <c r="I159" s="659">
        <f>ROUND(Trial_2Cut[[#This Row],[Net]]/10^3,2)</f>
        <v>0</v>
      </c>
      <c r="J159" s="447"/>
      <c r="K159" s="447"/>
      <c r="L15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59" s="475"/>
    </row>
    <row r="160" spans="1:13">
      <c r="A160" s="412" t="s">
        <v>427</v>
      </c>
      <c r="B160" s="412" t="s">
        <v>1775</v>
      </c>
      <c r="C160" s="412" t="s">
        <v>429</v>
      </c>
      <c r="D160" s="412" t="s">
        <v>810</v>
      </c>
      <c r="E160" s="1017"/>
      <c r="F160" s="1017"/>
      <c r="G160" s="1017"/>
      <c r="H160" s="1017"/>
      <c r="I160" s="659">
        <f>ROUND(Trial_2Cut[[#This Row],[Net]]/10^3,2)</f>
        <v>0</v>
      </c>
      <c r="J160" s="447" t="s">
        <v>429</v>
      </c>
      <c r="K160" s="447" t="s">
        <v>402</v>
      </c>
      <c r="L16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0" s="475"/>
    </row>
    <row r="161" spans="1:13">
      <c r="A161" s="412" t="s">
        <v>427</v>
      </c>
      <c r="B161" s="412" t="s">
        <v>1775</v>
      </c>
      <c r="C161" s="412" t="s">
        <v>429</v>
      </c>
      <c r="D161" s="412" t="s">
        <v>811</v>
      </c>
      <c r="E161" s="1017"/>
      <c r="F161" s="1017"/>
      <c r="G161" s="1017"/>
      <c r="H161" s="1017"/>
      <c r="I161" s="659">
        <f>ROUND(Trial_2Cut[[#This Row],[Net]]/10^3,2)</f>
        <v>0</v>
      </c>
      <c r="J161" s="447" t="s">
        <v>429</v>
      </c>
      <c r="K161" s="447" t="s">
        <v>402</v>
      </c>
      <c r="L16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1" s="475"/>
    </row>
    <row r="162" spans="1:13">
      <c r="A162" s="412" t="s">
        <v>427</v>
      </c>
      <c r="B162" s="412" t="s">
        <v>1775</v>
      </c>
      <c r="C162" s="412" t="s">
        <v>429</v>
      </c>
      <c r="D162" s="412" t="s">
        <v>812</v>
      </c>
      <c r="E162" s="1017"/>
      <c r="F162" s="1017"/>
      <c r="G162" s="1017"/>
      <c r="H162" s="1017"/>
      <c r="I162" s="659">
        <f>ROUND(Trial_2Cut[[#This Row],[Net]]/10^3,2)</f>
        <v>0</v>
      </c>
      <c r="J162" s="447" t="s">
        <v>429</v>
      </c>
      <c r="K162" s="447" t="s">
        <v>402</v>
      </c>
      <c r="L16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2" s="475"/>
    </row>
    <row r="163" spans="1:13">
      <c r="A163" s="412" t="s">
        <v>427</v>
      </c>
      <c r="B163" s="412" t="s">
        <v>1775</v>
      </c>
      <c r="C163" s="412" t="s">
        <v>429</v>
      </c>
      <c r="D163" s="412" t="s">
        <v>813</v>
      </c>
      <c r="E163" s="1017"/>
      <c r="F163" s="1017"/>
      <c r="G163" s="1017"/>
      <c r="H163" s="1017"/>
      <c r="I163" s="659">
        <f>ROUND(Trial_2Cut[[#This Row],[Net]]/10^3,2)</f>
        <v>0</v>
      </c>
      <c r="J163" s="447" t="s">
        <v>628</v>
      </c>
      <c r="K163" s="447" t="s">
        <v>1842</v>
      </c>
      <c r="L16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3" s="475"/>
    </row>
    <row r="164" spans="1:13">
      <c r="A164" s="412" t="s">
        <v>427</v>
      </c>
      <c r="B164" s="412" t="s">
        <v>1775</v>
      </c>
      <c r="C164" s="412" t="s">
        <v>429</v>
      </c>
      <c r="D164" s="412" t="s">
        <v>814</v>
      </c>
      <c r="E164" s="1017"/>
      <c r="F164" s="1017"/>
      <c r="G164" s="1017"/>
      <c r="H164" s="1017"/>
      <c r="I164" s="659">
        <f>ROUND(Trial_2Cut[[#This Row],[Net]]/10^3,2)</f>
        <v>0</v>
      </c>
      <c r="J164" s="447" t="s">
        <v>429</v>
      </c>
      <c r="K164" s="447" t="s">
        <v>402</v>
      </c>
      <c r="L16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4" s="475"/>
    </row>
    <row r="165" spans="1:13">
      <c r="A165" s="412" t="s">
        <v>427</v>
      </c>
      <c r="B165" s="412" t="s">
        <v>1775</v>
      </c>
      <c r="C165" s="412" t="s">
        <v>429</v>
      </c>
      <c r="D165" s="412" t="s">
        <v>815</v>
      </c>
      <c r="E165" s="1017"/>
      <c r="F165" s="1017"/>
      <c r="G165" s="1017"/>
      <c r="H165" s="1017"/>
      <c r="I165" s="659">
        <f>ROUND(Trial_2Cut[[#This Row],[Net]]/10^3,2)</f>
        <v>0</v>
      </c>
      <c r="J165" s="447" t="s">
        <v>429</v>
      </c>
      <c r="K165" s="447" t="s">
        <v>402</v>
      </c>
      <c r="L16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5" s="475"/>
    </row>
    <row r="166" spans="1:13">
      <c r="A166" s="412" t="s">
        <v>427</v>
      </c>
      <c r="B166" s="412" t="s">
        <v>1775</v>
      </c>
      <c r="C166" s="412" t="s">
        <v>429</v>
      </c>
      <c r="D166" s="412" t="s">
        <v>816</v>
      </c>
      <c r="E166" s="1017"/>
      <c r="F166" s="1017"/>
      <c r="G166" s="1017"/>
      <c r="H166" s="1017"/>
      <c r="I166" s="659">
        <f>ROUND(Trial_2Cut[[#This Row],[Net]]/10^3,2)</f>
        <v>0</v>
      </c>
      <c r="J166" s="447" t="s">
        <v>429</v>
      </c>
      <c r="K166" s="447" t="s">
        <v>402</v>
      </c>
      <c r="L16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6" s="475"/>
    </row>
    <row r="167" spans="1:13">
      <c r="A167" s="412" t="s">
        <v>427</v>
      </c>
      <c r="B167" s="412" t="s">
        <v>1775</v>
      </c>
      <c r="C167" s="412" t="s">
        <v>429</v>
      </c>
      <c r="D167" s="412" t="s">
        <v>817</v>
      </c>
      <c r="E167" s="1017"/>
      <c r="F167" s="1017"/>
      <c r="G167" s="1017"/>
      <c r="H167" s="1017"/>
      <c r="I167" s="659">
        <f>ROUND(Trial_2Cut[[#This Row],[Net]]/10^3,2)</f>
        <v>0</v>
      </c>
      <c r="J167" s="447"/>
      <c r="K167" s="447"/>
      <c r="L16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7" s="475"/>
    </row>
    <row r="168" spans="1:13">
      <c r="A168" s="412" t="s">
        <v>427</v>
      </c>
      <c r="B168" s="412" t="s">
        <v>1775</v>
      </c>
      <c r="C168" s="412" t="s">
        <v>429</v>
      </c>
      <c r="D168" s="412" t="s">
        <v>818</v>
      </c>
      <c r="E168" s="1017"/>
      <c r="F168" s="1017"/>
      <c r="G168" s="1017"/>
      <c r="H168" s="1017"/>
      <c r="I168" s="659">
        <f>ROUND(Trial_2Cut[[#This Row],[Net]]/10^3,2)</f>
        <v>0</v>
      </c>
      <c r="J168" s="447" t="s">
        <v>429</v>
      </c>
      <c r="K168" s="447" t="s">
        <v>402</v>
      </c>
      <c r="L16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8" s="475"/>
    </row>
    <row r="169" spans="1:13">
      <c r="A169" s="412" t="s">
        <v>427</v>
      </c>
      <c r="B169" s="412" t="s">
        <v>1775</v>
      </c>
      <c r="C169" s="412" t="s">
        <v>429</v>
      </c>
      <c r="D169" s="412" t="s">
        <v>819</v>
      </c>
      <c r="E169" s="1017"/>
      <c r="F169" s="1017"/>
      <c r="G169" s="1017"/>
      <c r="H169" s="1017"/>
      <c r="I169" s="659">
        <f>ROUND(Trial_2Cut[[#This Row],[Net]]/10^3,2)</f>
        <v>0</v>
      </c>
      <c r="J169" s="447" t="s">
        <v>429</v>
      </c>
      <c r="K169" s="447" t="s">
        <v>402</v>
      </c>
      <c r="L16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69" s="475"/>
    </row>
    <row r="170" spans="1:13">
      <c r="A170" s="412" t="s">
        <v>427</v>
      </c>
      <c r="B170" s="412" t="s">
        <v>1775</v>
      </c>
      <c r="C170" s="412" t="s">
        <v>429</v>
      </c>
      <c r="D170" s="412" t="s">
        <v>820</v>
      </c>
      <c r="E170" s="1017"/>
      <c r="F170" s="1017"/>
      <c r="G170" s="1017"/>
      <c r="H170" s="1017"/>
      <c r="I170" s="659">
        <f>ROUND(Trial_2Cut[[#This Row],[Net]]/10^3,2)</f>
        <v>0</v>
      </c>
      <c r="J170" s="447" t="s">
        <v>429</v>
      </c>
      <c r="K170" s="447" t="s">
        <v>402</v>
      </c>
      <c r="L17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0" s="475"/>
    </row>
    <row r="171" spans="1:13">
      <c r="A171" s="412" t="s">
        <v>427</v>
      </c>
      <c r="B171" s="412" t="s">
        <v>1775</v>
      </c>
      <c r="C171" s="412" t="s">
        <v>429</v>
      </c>
      <c r="D171" s="412" t="s">
        <v>821</v>
      </c>
      <c r="E171" s="1017"/>
      <c r="F171" s="1017"/>
      <c r="G171" s="1017"/>
      <c r="H171" s="1017"/>
      <c r="I171" s="659">
        <f>ROUND(Trial_2Cut[[#This Row],[Net]]/10^3,2)</f>
        <v>0</v>
      </c>
      <c r="J171" s="475"/>
      <c r="K171" s="475"/>
      <c r="L17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1" s="475"/>
    </row>
    <row r="172" spans="1:13">
      <c r="A172" s="412" t="s">
        <v>427</v>
      </c>
      <c r="B172" s="412" t="s">
        <v>1775</v>
      </c>
      <c r="C172" s="412" t="s">
        <v>429</v>
      </c>
      <c r="D172" s="412" t="s">
        <v>822</v>
      </c>
      <c r="E172" s="1017"/>
      <c r="F172" s="1017"/>
      <c r="G172" s="1017"/>
      <c r="H172" s="1017"/>
      <c r="I172" s="659">
        <f>ROUND(Trial_2Cut[[#This Row],[Net]]/10^3,2)</f>
        <v>0</v>
      </c>
      <c r="J172" s="475"/>
      <c r="K172" s="475"/>
      <c r="L17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2" s="475"/>
    </row>
    <row r="173" spans="1:13">
      <c r="A173" s="412" t="s">
        <v>427</v>
      </c>
      <c r="B173" s="412" t="s">
        <v>1775</v>
      </c>
      <c r="C173" s="412" t="s">
        <v>429</v>
      </c>
      <c r="D173" s="412" t="s">
        <v>823</v>
      </c>
      <c r="E173" s="1017"/>
      <c r="F173" s="1017"/>
      <c r="G173" s="1017"/>
      <c r="H173" s="1017"/>
      <c r="I173" s="659">
        <f>ROUND(Trial_2Cut[[#This Row],[Net]]/10^3,2)</f>
        <v>0</v>
      </c>
      <c r="J173" s="475"/>
      <c r="K173" s="475"/>
      <c r="L17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3" s="475"/>
    </row>
    <row r="174" spans="1:13">
      <c r="A174" s="412" t="s">
        <v>427</v>
      </c>
      <c r="B174" s="412" t="s">
        <v>1775</v>
      </c>
      <c r="C174" s="412" t="s">
        <v>429</v>
      </c>
      <c r="D174" s="412" t="s">
        <v>824</v>
      </c>
      <c r="E174" s="1017"/>
      <c r="F174" s="1017"/>
      <c r="G174" s="1017"/>
      <c r="H174" s="1017"/>
      <c r="I174" s="659">
        <f>ROUND(Trial_2Cut[[#This Row],[Net]]/10^3,2)</f>
        <v>0</v>
      </c>
      <c r="J174" s="475"/>
      <c r="K174" s="475"/>
      <c r="L17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4" s="475"/>
    </row>
    <row r="175" spans="1:13">
      <c r="A175" s="412" t="s">
        <v>427</v>
      </c>
      <c r="B175" s="412" t="s">
        <v>1775</v>
      </c>
      <c r="C175" s="412" t="s">
        <v>429</v>
      </c>
      <c r="D175" s="412" t="s">
        <v>825</v>
      </c>
      <c r="E175" s="1017"/>
      <c r="F175" s="1017"/>
      <c r="G175" s="1017"/>
      <c r="H175" s="1017"/>
      <c r="I175" s="659">
        <f>ROUND(Trial_2Cut[[#This Row],[Net]]/10^3,2)</f>
        <v>0</v>
      </c>
      <c r="J175" s="447" t="s">
        <v>429</v>
      </c>
      <c r="K175" s="447" t="s">
        <v>402</v>
      </c>
      <c r="L17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5" s="475"/>
    </row>
    <row r="176" spans="1:13">
      <c r="A176" s="412" t="s">
        <v>427</v>
      </c>
      <c r="B176" s="412" t="s">
        <v>1775</v>
      </c>
      <c r="C176" s="412" t="s">
        <v>429</v>
      </c>
      <c r="D176" s="412" t="s">
        <v>826</v>
      </c>
      <c r="E176" s="1017"/>
      <c r="F176" s="1017"/>
      <c r="G176" s="1017"/>
      <c r="H176" s="1017"/>
      <c r="I176" s="659">
        <f>ROUND(Trial_2Cut[[#This Row],[Net]]/10^3,2)</f>
        <v>0</v>
      </c>
      <c r="J176" s="447"/>
      <c r="K176" s="447"/>
      <c r="L17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6" s="475"/>
    </row>
    <row r="177" spans="1:13">
      <c r="A177" s="412" t="s">
        <v>427</v>
      </c>
      <c r="B177" s="412" t="s">
        <v>1775</v>
      </c>
      <c r="C177" s="412" t="s">
        <v>429</v>
      </c>
      <c r="D177" s="412" t="s">
        <v>827</v>
      </c>
      <c r="E177" s="1017"/>
      <c r="F177" s="1017"/>
      <c r="G177" s="1017"/>
      <c r="H177" s="1017"/>
      <c r="I177" s="659">
        <f>ROUND(Trial_2Cut[[#This Row],[Net]]/10^3,2)</f>
        <v>0</v>
      </c>
      <c r="J177" s="475"/>
      <c r="K177" s="475"/>
      <c r="L17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7" s="475"/>
    </row>
    <row r="178" spans="1:13">
      <c r="A178" s="446" t="s">
        <v>427</v>
      </c>
      <c r="B178" s="446" t="s">
        <v>1775</v>
      </c>
      <c r="C178" s="446" t="s">
        <v>429</v>
      </c>
      <c r="D178" s="446" t="s">
        <v>828</v>
      </c>
      <c r="E178" s="1017"/>
      <c r="F178" s="1018"/>
      <c r="G178" s="1018"/>
      <c r="H178" s="1018"/>
      <c r="I178" s="659">
        <f>ROUND(Trial_2Cut[[#This Row],[Net]]/10^3,2)</f>
        <v>0</v>
      </c>
      <c r="J178" s="447" t="s">
        <v>429</v>
      </c>
      <c r="K178" s="447" t="s">
        <v>402</v>
      </c>
      <c r="L17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8" s="475"/>
    </row>
    <row r="179" spans="1:13">
      <c r="A179" s="446" t="s">
        <v>427</v>
      </c>
      <c r="B179" s="446" t="s">
        <v>1775</v>
      </c>
      <c r="C179" s="446" t="s">
        <v>216</v>
      </c>
      <c r="D179" s="446" t="s">
        <v>829</v>
      </c>
      <c r="E179" s="1017"/>
      <c r="F179" s="1018"/>
      <c r="G179" s="1018"/>
      <c r="H179" s="1018"/>
      <c r="I179" s="659">
        <f>ROUND(Trial_2Cut[[#This Row],[Net]]/10^3,2)</f>
        <v>0</v>
      </c>
      <c r="J179" s="475" t="s">
        <v>629</v>
      </c>
      <c r="K179" s="475" t="str">
        <f>'Sch - assets'!$A$54</f>
        <v>Cash In Hand</v>
      </c>
      <c r="L17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79" s="475"/>
    </row>
    <row r="180" spans="1:13">
      <c r="A180" s="446" t="s">
        <v>427</v>
      </c>
      <c r="B180" s="446" t="s">
        <v>1775</v>
      </c>
      <c r="C180" s="446" t="s">
        <v>216</v>
      </c>
      <c r="D180" s="446" t="s">
        <v>830</v>
      </c>
      <c r="E180" s="1017"/>
      <c r="F180" s="1018"/>
      <c r="G180" s="1018"/>
      <c r="H180" s="1018"/>
      <c r="I180" s="659">
        <f>ROUND(Trial_2Cut[[#This Row],[Net]]/10^3,2)</f>
        <v>0</v>
      </c>
      <c r="J180" s="475" t="s">
        <v>629</v>
      </c>
      <c r="K180" s="475" t="str">
        <f>'Sch - assets'!$A$54</f>
        <v>Cash In Hand</v>
      </c>
      <c r="L18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0" s="475"/>
    </row>
    <row r="181" spans="1:13">
      <c r="A181" s="446" t="s">
        <v>427</v>
      </c>
      <c r="B181" s="446" t="s">
        <v>1775</v>
      </c>
      <c r="C181" s="446" t="s">
        <v>216</v>
      </c>
      <c r="D181" s="446" t="s">
        <v>831</v>
      </c>
      <c r="E181" s="1017"/>
      <c r="F181" s="1018"/>
      <c r="G181" s="1018"/>
      <c r="H181" s="1018"/>
      <c r="I181" s="659">
        <f>ROUND(Trial_2Cut[[#This Row],[Net]]/10^3,2)</f>
        <v>0</v>
      </c>
      <c r="J181" s="475" t="s">
        <v>216</v>
      </c>
      <c r="K181" s="475" t="s">
        <v>1839</v>
      </c>
      <c r="L18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1" s="475"/>
    </row>
    <row r="182" spans="1:13">
      <c r="A182" s="446" t="s">
        <v>427</v>
      </c>
      <c r="B182" s="446" t="s">
        <v>1775</v>
      </c>
      <c r="C182" s="446" t="s">
        <v>216</v>
      </c>
      <c r="D182" s="446" t="s">
        <v>832</v>
      </c>
      <c r="E182" s="1017"/>
      <c r="F182" s="1018"/>
      <c r="G182" s="1018"/>
      <c r="H182" s="1018"/>
      <c r="I182" s="659">
        <f>ROUND(Trial_2Cut[[#This Row],[Net]]/10^3,2)</f>
        <v>0</v>
      </c>
      <c r="J182" s="475" t="s">
        <v>216</v>
      </c>
      <c r="K182" s="475" t="s">
        <v>1839</v>
      </c>
      <c r="L18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2" s="475"/>
    </row>
    <row r="183" spans="1:13">
      <c r="A183" s="446" t="s">
        <v>427</v>
      </c>
      <c r="B183" s="446" t="s">
        <v>1775</v>
      </c>
      <c r="C183" s="446" t="s">
        <v>216</v>
      </c>
      <c r="D183" s="446" t="s">
        <v>833</v>
      </c>
      <c r="E183" s="1017"/>
      <c r="F183" s="1018"/>
      <c r="G183" s="1018"/>
      <c r="H183" s="1018"/>
      <c r="I183" s="659">
        <f>ROUND(Trial_2Cut[[#This Row],[Net]]/10^3,2)</f>
        <v>0</v>
      </c>
      <c r="J183" s="475"/>
      <c r="K183" s="475"/>
      <c r="L18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3" s="475"/>
    </row>
    <row r="184" spans="1:13">
      <c r="A184" s="446" t="s">
        <v>427</v>
      </c>
      <c r="B184" s="446" t="s">
        <v>1775</v>
      </c>
      <c r="C184" s="446" t="s">
        <v>216</v>
      </c>
      <c r="D184" s="446" t="s">
        <v>834</v>
      </c>
      <c r="E184" s="1017"/>
      <c r="F184" s="1018"/>
      <c r="G184" s="1018"/>
      <c r="H184" s="1018"/>
      <c r="I184" s="659">
        <f>ROUND(Trial_2Cut[[#This Row],[Net]]/10^3,2)</f>
        <v>0</v>
      </c>
      <c r="J184" s="475" t="s">
        <v>216</v>
      </c>
      <c r="K184" s="475" t="str">
        <f>'Sch - assets'!$A$79</f>
        <v>Security with government authorities</v>
      </c>
      <c r="L18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4" s="475"/>
    </row>
    <row r="185" spans="1:13">
      <c r="A185" s="446" t="s">
        <v>427</v>
      </c>
      <c r="B185" s="446" t="s">
        <v>1775</v>
      </c>
      <c r="C185" s="446" t="s">
        <v>216</v>
      </c>
      <c r="D185" s="446" t="s">
        <v>835</v>
      </c>
      <c r="E185" s="1017"/>
      <c r="F185" s="1018"/>
      <c r="G185" s="1018"/>
      <c r="H185" s="1018"/>
      <c r="I185" s="659">
        <f>ROUND(Trial_2Cut[[#This Row],[Net]]/10^3,2)</f>
        <v>0</v>
      </c>
      <c r="J185" s="475"/>
      <c r="K185" s="475"/>
      <c r="L18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5" s="475"/>
    </row>
    <row r="186" spans="1:13">
      <c r="A186" s="446" t="s">
        <v>427</v>
      </c>
      <c r="B186" s="446" t="s">
        <v>1775</v>
      </c>
      <c r="C186" s="446" t="s">
        <v>216</v>
      </c>
      <c r="D186" s="446" t="s">
        <v>836</v>
      </c>
      <c r="E186" s="1017"/>
      <c r="F186" s="1018"/>
      <c r="G186" s="1018"/>
      <c r="H186" s="1018"/>
      <c r="I186" s="659">
        <f>ROUND(Trial_2Cut[[#This Row],[Net]]/10^3,2)</f>
        <v>0</v>
      </c>
      <c r="J186" s="475" t="s">
        <v>216</v>
      </c>
      <c r="K186" s="475" t="str">
        <f>'Sch - assets'!$A$77</f>
        <v>Balance with revenue authorities</v>
      </c>
      <c r="L18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6" s="475"/>
    </row>
    <row r="187" spans="1:13">
      <c r="A187" s="446" t="s">
        <v>427</v>
      </c>
      <c r="B187" s="446" t="s">
        <v>1775</v>
      </c>
      <c r="C187" s="446" t="s">
        <v>216</v>
      </c>
      <c r="D187" s="446" t="s">
        <v>837</v>
      </c>
      <c r="E187" s="1017"/>
      <c r="F187" s="1018"/>
      <c r="G187" s="1018"/>
      <c r="H187" s="1018"/>
      <c r="I187" s="659">
        <f>ROUND(Trial_2Cut[[#This Row],[Net]]/10^3,2)</f>
        <v>0</v>
      </c>
      <c r="J187" s="475" t="s">
        <v>216</v>
      </c>
      <c r="K187" s="475" t="str">
        <f>'Sch - assets'!$A$79</f>
        <v>Security with government authorities</v>
      </c>
      <c r="L18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7" s="475"/>
    </row>
    <row r="188" spans="1:13">
      <c r="A188" s="446" t="s">
        <v>427</v>
      </c>
      <c r="B188" s="446" t="s">
        <v>1775</v>
      </c>
      <c r="C188" s="446" t="s">
        <v>216</v>
      </c>
      <c r="D188" s="446" t="s">
        <v>838</v>
      </c>
      <c r="E188" s="1017"/>
      <c r="F188" s="1018"/>
      <c r="G188" s="1018"/>
      <c r="H188" s="1018"/>
      <c r="I188" s="659">
        <f>ROUND(Trial_2Cut[[#This Row],[Net]]/10^3,2)</f>
        <v>0</v>
      </c>
      <c r="J188" s="475" t="s">
        <v>1843</v>
      </c>
      <c r="K188" s="475" t="s">
        <v>1843</v>
      </c>
      <c r="L18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188" s="475"/>
    </row>
    <row r="189" spans="1:13">
      <c r="A189" s="446" t="s">
        <v>430</v>
      </c>
      <c r="B189" s="446" t="s">
        <v>1775</v>
      </c>
      <c r="C189" s="446" t="s">
        <v>386</v>
      </c>
      <c r="D189" s="446" t="s">
        <v>839</v>
      </c>
      <c r="E189" s="1017"/>
      <c r="F189" s="1018"/>
      <c r="G189" s="1018"/>
      <c r="H189" s="1018"/>
      <c r="I189" s="659">
        <f>ROUND(Trial_2Cut[[#This Row],[Net]]/10^3,2)</f>
        <v>0</v>
      </c>
      <c r="J189" s="475" t="s">
        <v>1847</v>
      </c>
      <c r="K189" s="475" t="str">
        <f>'Sch - PL'!$A$10</f>
        <v>Sale of Services</v>
      </c>
      <c r="L18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89" s="475"/>
    </row>
    <row r="190" spans="1:13">
      <c r="A190" s="446" t="s">
        <v>430</v>
      </c>
      <c r="B190" s="446" t="s">
        <v>1775</v>
      </c>
      <c r="C190" s="446" t="s">
        <v>386</v>
      </c>
      <c r="D190" s="446" t="s">
        <v>840</v>
      </c>
      <c r="E190" s="1017"/>
      <c r="F190" s="1018"/>
      <c r="G190" s="1018"/>
      <c r="H190" s="1018"/>
      <c r="I190" s="659">
        <f>ROUND(Trial_2Cut[[#This Row],[Net]]/10^3,2)</f>
        <v>0</v>
      </c>
      <c r="J190" s="475" t="s">
        <v>1847</v>
      </c>
      <c r="K190" s="475" t="str">
        <f>'Sch - PL'!$A$10</f>
        <v>Sale of Services</v>
      </c>
      <c r="L19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0" s="475"/>
    </row>
    <row r="191" spans="1:13">
      <c r="A191" s="446" t="s">
        <v>430</v>
      </c>
      <c r="B191" s="446" t="s">
        <v>1775</v>
      </c>
      <c r="C191" s="446" t="s">
        <v>386</v>
      </c>
      <c r="D191" s="446" t="s">
        <v>841</v>
      </c>
      <c r="E191" s="1017"/>
      <c r="F191" s="1018"/>
      <c r="G191" s="1018"/>
      <c r="H191" s="1018"/>
      <c r="I191" s="659">
        <f>ROUND(Trial_2Cut[[#This Row],[Net]]/10^3,2)</f>
        <v>0</v>
      </c>
      <c r="J191" s="475" t="s">
        <v>1847</v>
      </c>
      <c r="K191" s="475" t="s">
        <v>1789</v>
      </c>
      <c r="L19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1" s="475"/>
    </row>
    <row r="192" spans="1:13">
      <c r="A192" s="446" t="s">
        <v>83</v>
      </c>
      <c r="B192" s="446" t="s">
        <v>1775</v>
      </c>
      <c r="C192" s="446" t="s">
        <v>1661</v>
      </c>
      <c r="D192" s="446" t="s">
        <v>842</v>
      </c>
      <c r="E192" s="1017"/>
      <c r="F192" s="1018"/>
      <c r="G192" s="1018"/>
      <c r="H192" s="1018"/>
      <c r="I192" s="659">
        <f>ROUND(Trial_2Cut[[#This Row],[Net]]/10^3,2)</f>
        <v>0</v>
      </c>
      <c r="J192" s="475" t="s">
        <v>1848</v>
      </c>
      <c r="K192" s="475" t="str">
        <f>'Sch - PL'!$A$48</f>
        <v>Purchase of Stock in trade</v>
      </c>
      <c r="L19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2" s="475"/>
    </row>
    <row r="193" spans="1:16">
      <c r="A193" s="446" t="s">
        <v>430</v>
      </c>
      <c r="B193" s="446" t="s">
        <v>1775</v>
      </c>
      <c r="C193" s="446" t="s">
        <v>1779</v>
      </c>
      <c r="D193" s="446" t="s">
        <v>843</v>
      </c>
      <c r="E193" s="1017"/>
      <c r="F193" s="1018"/>
      <c r="G193" s="1018"/>
      <c r="H193" s="1018"/>
      <c r="I193" s="659">
        <f>ROUND(Trial_2Cut[[#This Row],[Net]]/10^3,2)</f>
        <v>0</v>
      </c>
      <c r="J193" s="475" t="s">
        <v>1779</v>
      </c>
      <c r="K193" s="475" t="str">
        <f>'Sch - PL'!$A$21</f>
        <v>Courier Charges Received</v>
      </c>
      <c r="L19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3" s="475"/>
    </row>
    <row r="194" spans="1:16">
      <c r="A194" s="446" t="s">
        <v>430</v>
      </c>
      <c r="B194" s="446" t="s">
        <v>1775</v>
      </c>
      <c r="C194" s="446" t="s">
        <v>1779</v>
      </c>
      <c r="D194" s="446" t="s">
        <v>844</v>
      </c>
      <c r="E194" s="1017"/>
      <c r="F194" s="1018"/>
      <c r="G194" s="1018"/>
      <c r="H194" s="1018"/>
      <c r="I194" s="659">
        <f>ROUND(Trial_2Cut[[#This Row],[Net]]/10^3,2)</f>
        <v>0</v>
      </c>
      <c r="J194" s="475" t="s">
        <v>1779</v>
      </c>
      <c r="K194" s="475" t="str">
        <f>'Sch - PL'!$A$25</f>
        <v>Misc. Income</v>
      </c>
      <c r="L19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4" s="475"/>
    </row>
    <row r="195" spans="1:16">
      <c r="A195" s="446" t="s">
        <v>430</v>
      </c>
      <c r="B195" s="446" t="s">
        <v>1775</v>
      </c>
      <c r="C195" s="446" t="s">
        <v>1779</v>
      </c>
      <c r="D195" s="446" t="s">
        <v>845</v>
      </c>
      <c r="E195" s="1017"/>
      <c r="F195" s="1018"/>
      <c r="G195" s="1018"/>
      <c r="H195" s="1018"/>
      <c r="I195" s="659">
        <f>ROUND(Trial_2Cut[[#This Row],[Net]]/10^3,2)</f>
        <v>0</v>
      </c>
      <c r="J195" s="475" t="s">
        <v>1779</v>
      </c>
      <c r="K195" s="475" t="str">
        <f>'Sch - PL'!$A$25</f>
        <v>Misc. Income</v>
      </c>
      <c r="L19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5" s="475"/>
    </row>
    <row r="196" spans="1:16">
      <c r="A196" s="446" t="s">
        <v>430</v>
      </c>
      <c r="B196" s="446" t="s">
        <v>1775</v>
      </c>
      <c r="C196" s="446" t="s">
        <v>1779</v>
      </c>
      <c r="D196" s="446" t="s">
        <v>846</v>
      </c>
      <c r="E196" s="1017"/>
      <c r="F196" s="1018"/>
      <c r="G196" s="1018"/>
      <c r="H196" s="1018"/>
      <c r="I196" s="659">
        <f>ROUND(Trial_2Cut[[#This Row],[Net]]/10^3,2)</f>
        <v>0</v>
      </c>
      <c r="J196" s="475" t="s">
        <v>1779</v>
      </c>
      <c r="K196" s="475" t="str">
        <f>'Sch - PL'!$A$25</f>
        <v>Misc. Income</v>
      </c>
      <c r="L19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6" s="475"/>
    </row>
    <row r="197" spans="1:16">
      <c r="A197" s="446" t="s">
        <v>83</v>
      </c>
      <c r="B197" s="446" t="s">
        <v>1775</v>
      </c>
      <c r="C197" s="446" t="s">
        <v>433</v>
      </c>
      <c r="D197" s="446" t="s">
        <v>847</v>
      </c>
      <c r="E197" s="1017"/>
      <c r="F197" s="1018"/>
      <c r="G197" s="1018"/>
      <c r="H197" s="1018"/>
      <c r="I197" s="659">
        <f>ROUND(Trial_2Cut[[#This Row],[Net]]/10^3,2)</f>
        <v>0</v>
      </c>
      <c r="J197" s="475" t="s">
        <v>1851</v>
      </c>
      <c r="K197" s="475" t="str">
        <f>'Sch - PL'!$A$76</f>
        <v>Bonus Expenses</v>
      </c>
      <c r="L19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7" s="475"/>
    </row>
    <row r="198" spans="1:16">
      <c r="A198" s="446" t="s">
        <v>83</v>
      </c>
      <c r="B198" s="446" t="s">
        <v>1775</v>
      </c>
      <c r="C198" s="446" t="s">
        <v>433</v>
      </c>
      <c r="D198" s="446" t="s">
        <v>848</v>
      </c>
      <c r="E198" s="1017"/>
      <c r="F198" s="1018"/>
      <c r="G198" s="1018"/>
      <c r="H198" s="1018"/>
      <c r="I198" s="659">
        <f>ROUND(Trial_2Cut[[#This Row],[Net]]/10^3,2)</f>
        <v>0</v>
      </c>
      <c r="J198" s="475" t="s">
        <v>1763</v>
      </c>
      <c r="K198" s="475" t="str">
        <f>'Sch - PL'!$A$111</f>
        <v xml:space="preserve">      - Vehicle</v>
      </c>
      <c r="L19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8" s="475"/>
    </row>
    <row r="199" spans="1:16">
      <c r="A199" s="446" t="s">
        <v>83</v>
      </c>
      <c r="B199" s="446" t="s">
        <v>1775</v>
      </c>
      <c r="C199" s="446" t="s">
        <v>433</v>
      </c>
      <c r="D199" s="446" t="s">
        <v>849</v>
      </c>
      <c r="E199" s="1017"/>
      <c r="F199" s="1018"/>
      <c r="G199" s="1018"/>
      <c r="H199" s="1018"/>
      <c r="I199" s="659">
        <f>ROUND(Trial_2Cut[[#This Row],[Net]]/10^3,2)</f>
        <v>0</v>
      </c>
      <c r="J199" s="475" t="s">
        <v>1763</v>
      </c>
      <c r="K199" s="475" t="str">
        <f>'Sch - PL'!$A$111</f>
        <v xml:space="preserve">      - Vehicle</v>
      </c>
      <c r="L19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199" s="475"/>
    </row>
    <row r="200" spans="1:16">
      <c r="A200" s="446" t="s">
        <v>83</v>
      </c>
      <c r="B200" s="446" t="s">
        <v>1775</v>
      </c>
      <c r="C200" s="446" t="s">
        <v>433</v>
      </c>
      <c r="D200" s="446" t="s">
        <v>850</v>
      </c>
      <c r="E200" s="1017"/>
      <c r="F200" s="1018"/>
      <c r="G200" s="1018"/>
      <c r="H200" s="1018"/>
      <c r="I200" s="659">
        <f>ROUND(Trial_2Cut[[#This Row],[Net]]/10^3,2)</f>
        <v>0</v>
      </c>
      <c r="J200" s="475" t="s">
        <v>1763</v>
      </c>
      <c r="K200" s="475" t="str">
        <f>'Sch - PL'!$A$111</f>
        <v xml:space="preserve">      - Vehicle</v>
      </c>
      <c r="L20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0" s="475"/>
    </row>
    <row r="201" spans="1:16">
      <c r="A201" s="446" t="s">
        <v>83</v>
      </c>
      <c r="B201" s="446" t="s">
        <v>1775</v>
      </c>
      <c r="C201" s="446" t="s">
        <v>433</v>
      </c>
      <c r="D201" s="446" t="s">
        <v>851</v>
      </c>
      <c r="E201" s="1017"/>
      <c r="F201" s="1018"/>
      <c r="G201" s="1018"/>
      <c r="H201" s="1018"/>
      <c r="I201" s="659">
        <f>ROUND(Trial_2Cut[[#This Row],[Net]]/10^3,2)</f>
        <v>0</v>
      </c>
      <c r="J201" s="475" t="s">
        <v>1763</v>
      </c>
      <c r="K201" s="475" t="s">
        <v>1801</v>
      </c>
      <c r="L20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1" s="475"/>
      <c r="P201" s="443" t="e">
        <f>VLOOKUP(Trial_2Cut[[#This Row],[Account]],[108]Trial!$B:$G,6,FALSE)</f>
        <v>#N/A</v>
      </c>
    </row>
    <row r="202" spans="1:16">
      <c r="A202" s="446" t="s">
        <v>83</v>
      </c>
      <c r="B202" s="446" t="s">
        <v>1775</v>
      </c>
      <c r="C202" s="446" t="s">
        <v>433</v>
      </c>
      <c r="D202" s="446" t="s">
        <v>852</v>
      </c>
      <c r="E202" s="1017"/>
      <c r="F202" s="1018"/>
      <c r="G202" s="1018"/>
      <c r="H202" s="1018"/>
      <c r="I202" s="659">
        <f>ROUND(Trial_2Cut[[#This Row],[Net]]/10^3,2)</f>
        <v>0</v>
      </c>
      <c r="J202" s="475" t="s">
        <v>1763</v>
      </c>
      <c r="K202" s="475" t="str">
        <f>'Sch - PL'!$A$141</f>
        <v>Consumable Exp.</v>
      </c>
      <c r="L20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2" s="475"/>
    </row>
    <row r="203" spans="1:16">
      <c r="A203" s="446" t="s">
        <v>83</v>
      </c>
      <c r="B203" s="446" t="s">
        <v>1775</v>
      </c>
      <c r="C203" s="446" t="s">
        <v>433</v>
      </c>
      <c r="D203" s="446" t="s">
        <v>853</v>
      </c>
      <c r="E203" s="1017"/>
      <c r="F203" s="1018"/>
      <c r="G203" s="1018"/>
      <c r="H203" s="1018"/>
      <c r="I203" s="659">
        <f>ROUND(Trial_2Cut[[#This Row],[Net]]/10^3,2)</f>
        <v>0</v>
      </c>
      <c r="J203" s="475" t="s">
        <v>1763</v>
      </c>
      <c r="K203" s="475" t="str">
        <f>'Sch - PL'!$A$141</f>
        <v>Consumable Exp.</v>
      </c>
      <c r="L20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3" s="475"/>
    </row>
    <row r="204" spans="1:16">
      <c r="A204" s="446" t="s">
        <v>83</v>
      </c>
      <c r="B204" s="446" t="s">
        <v>1775</v>
      </c>
      <c r="C204" s="446" t="s">
        <v>433</v>
      </c>
      <c r="D204" s="446" t="s">
        <v>854</v>
      </c>
      <c r="E204" s="1017"/>
      <c r="F204" s="1018"/>
      <c r="G204" s="1018"/>
      <c r="H204" s="1018"/>
      <c r="I204" s="659">
        <f>ROUND(Trial_2Cut[[#This Row],[Net]]/10^3,2)</f>
        <v>0</v>
      </c>
      <c r="J204" s="475" t="s">
        <v>1763</v>
      </c>
      <c r="K204" s="475" t="str">
        <f>'Sch - PL'!$A$141</f>
        <v>Consumable Exp.</v>
      </c>
      <c r="L20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4" s="475"/>
    </row>
    <row r="205" spans="1:16">
      <c r="A205" s="446" t="s">
        <v>83</v>
      </c>
      <c r="B205" s="446" t="s">
        <v>1775</v>
      </c>
      <c r="C205" s="446" t="s">
        <v>433</v>
      </c>
      <c r="D205" s="446" t="s">
        <v>855</v>
      </c>
      <c r="E205" s="1017"/>
      <c r="F205" s="1018"/>
      <c r="G205" s="1018"/>
      <c r="H205" s="1018"/>
      <c r="I205" s="659">
        <f>ROUND(Trial_2Cut[[#This Row],[Net]]/10^3,2)</f>
        <v>0</v>
      </c>
      <c r="J205" s="475" t="s">
        <v>1763</v>
      </c>
      <c r="K205" s="475" t="str">
        <f>'Sch - PL'!$A$141</f>
        <v>Consumable Exp.</v>
      </c>
      <c r="L20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5" s="475"/>
    </row>
    <row r="206" spans="1:16">
      <c r="A206" s="446" t="s">
        <v>83</v>
      </c>
      <c r="B206" s="446" t="s">
        <v>1775</v>
      </c>
      <c r="C206" s="446" t="s">
        <v>433</v>
      </c>
      <c r="D206" s="446" t="s">
        <v>856</v>
      </c>
      <c r="E206" s="1017"/>
      <c r="F206" s="1018"/>
      <c r="G206" s="1018"/>
      <c r="H206" s="1018"/>
      <c r="I206" s="659">
        <f>ROUND(Trial_2Cut[[#This Row],[Net]]/10^3,2)</f>
        <v>0</v>
      </c>
      <c r="J206" s="475" t="s">
        <v>1763</v>
      </c>
      <c r="K206" s="475" t="s">
        <v>1821</v>
      </c>
      <c r="L20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6" s="475"/>
      <c r="P206" s="443" t="e">
        <f>VLOOKUP(Trial_2Cut[[#This Row],[Account]],[108]Trial!$B:$G,6,FALSE)</f>
        <v>#N/A</v>
      </c>
    </row>
    <row r="207" spans="1:16">
      <c r="A207" s="446" t="s">
        <v>83</v>
      </c>
      <c r="B207" s="446" t="s">
        <v>1775</v>
      </c>
      <c r="C207" s="446" t="s">
        <v>433</v>
      </c>
      <c r="D207" s="446" t="s">
        <v>857</v>
      </c>
      <c r="E207" s="1017"/>
      <c r="F207" s="1018"/>
      <c r="G207" s="1018"/>
      <c r="H207" s="1018"/>
      <c r="I207" s="659">
        <f>ROUND(Trial_2Cut[[#This Row],[Net]]/10^3,2)</f>
        <v>0</v>
      </c>
      <c r="J207" s="475" t="s">
        <v>1763</v>
      </c>
      <c r="K207" s="475" t="s">
        <v>1802</v>
      </c>
      <c r="L20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7" s="475"/>
      <c r="P207" s="443" t="e">
        <f>VLOOKUP(Trial_2Cut[[#This Row],[Account]],[108]Trial!$B:$G,6,FALSE)</f>
        <v>#N/A</v>
      </c>
    </row>
    <row r="208" spans="1:16">
      <c r="A208" s="446" t="s">
        <v>83</v>
      </c>
      <c r="B208" s="446" t="s">
        <v>1775</v>
      </c>
      <c r="C208" s="446" t="s">
        <v>433</v>
      </c>
      <c r="D208" s="446" t="s">
        <v>858</v>
      </c>
      <c r="E208" s="1017"/>
      <c r="F208" s="1018"/>
      <c r="G208" s="1018"/>
      <c r="H208" s="1018"/>
      <c r="I208" s="659">
        <f>ROUND(Trial_2Cut[[#This Row],[Net]]/10^3,2)</f>
        <v>0</v>
      </c>
      <c r="J208" s="475" t="s">
        <v>1853</v>
      </c>
      <c r="K208" s="475"/>
      <c r="L20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8" s="475"/>
      <c r="P208" s="443" t="e">
        <f>VLOOKUP(Trial_2Cut[[#This Row],[Account]],[108]Trial!$B:$G,6,FALSE)</f>
        <v>#N/A</v>
      </c>
    </row>
    <row r="209" spans="1:16">
      <c r="A209" s="446" t="s">
        <v>83</v>
      </c>
      <c r="B209" s="446" t="s">
        <v>1775</v>
      </c>
      <c r="C209" s="446" t="s">
        <v>433</v>
      </c>
      <c r="D209" s="446" t="s">
        <v>859</v>
      </c>
      <c r="E209" s="1017"/>
      <c r="F209" s="1018"/>
      <c r="G209" s="1018"/>
      <c r="H209" s="1018"/>
      <c r="I209" s="659">
        <f>ROUND(Trial_2Cut[[#This Row],[Net]]/10^3,2)</f>
        <v>0</v>
      </c>
      <c r="J209" s="475" t="s">
        <v>1763</v>
      </c>
      <c r="K209" s="475" t="s">
        <v>1804</v>
      </c>
      <c r="L20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09" s="475"/>
      <c r="P209" s="443" t="e">
        <f>VLOOKUP(Trial_2Cut[[#This Row],[Account]],[108]Trial!$B:$G,6,FALSE)</f>
        <v>#N/A</v>
      </c>
    </row>
    <row r="210" spans="1:16">
      <c r="A210" s="446" t="s">
        <v>83</v>
      </c>
      <c r="B210" s="446" t="s">
        <v>1775</v>
      </c>
      <c r="C210" s="446" t="s">
        <v>433</v>
      </c>
      <c r="D210" s="446" t="s">
        <v>860</v>
      </c>
      <c r="E210" s="1017"/>
      <c r="F210" s="1018"/>
      <c r="G210" s="1018"/>
      <c r="H210" s="1018"/>
      <c r="I210" s="659">
        <f>ROUND(Trial_2Cut[[#This Row],[Net]]/10^3,2)</f>
        <v>0</v>
      </c>
      <c r="J210" s="475" t="s">
        <v>1763</v>
      </c>
      <c r="K210" s="475" t="str">
        <f>'Sch - PL'!$A$112</f>
        <v xml:space="preserve">      - Others</v>
      </c>
      <c r="L21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0" s="475"/>
    </row>
    <row r="211" spans="1:16">
      <c r="A211" s="446" t="s">
        <v>83</v>
      </c>
      <c r="B211" s="446" t="s">
        <v>1775</v>
      </c>
      <c r="C211" s="446" t="s">
        <v>433</v>
      </c>
      <c r="D211" s="446" t="s">
        <v>861</v>
      </c>
      <c r="E211" s="1017"/>
      <c r="F211" s="1018"/>
      <c r="G211" s="1018"/>
      <c r="H211" s="1018"/>
      <c r="I211" s="659">
        <f>ROUND(Trial_2Cut[[#This Row],[Net]]/10^3,2)</f>
        <v>0</v>
      </c>
      <c r="J211" s="475" t="s">
        <v>1763</v>
      </c>
      <c r="K211" s="475" t="str">
        <f>'Sch - PL'!$A$112</f>
        <v xml:space="preserve">      - Others</v>
      </c>
      <c r="L21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1" s="475"/>
    </row>
    <row r="212" spans="1:16">
      <c r="A212" s="446" t="s">
        <v>83</v>
      </c>
      <c r="B212" s="446" t="s">
        <v>1775</v>
      </c>
      <c r="C212" s="446" t="s">
        <v>433</v>
      </c>
      <c r="D212" s="446" t="s">
        <v>862</v>
      </c>
      <c r="E212" s="1017"/>
      <c r="F212" s="1018"/>
      <c r="G212" s="1018"/>
      <c r="H212" s="1018"/>
      <c r="I212" s="659">
        <f>ROUND(Trial_2Cut[[#This Row],[Net]]/10^3,2)</f>
        <v>0</v>
      </c>
      <c r="J212" s="475" t="s">
        <v>1763</v>
      </c>
      <c r="K212" s="475" t="str">
        <f>'Sch - PL'!$A$112</f>
        <v xml:space="preserve">      - Others</v>
      </c>
      <c r="L21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2" s="475"/>
    </row>
    <row r="213" spans="1:16">
      <c r="A213" s="446" t="s">
        <v>83</v>
      </c>
      <c r="B213" s="446" t="s">
        <v>1775</v>
      </c>
      <c r="C213" s="446" t="s">
        <v>433</v>
      </c>
      <c r="D213" s="446" t="s">
        <v>863</v>
      </c>
      <c r="E213" s="1017"/>
      <c r="F213" s="1018"/>
      <c r="G213" s="1018"/>
      <c r="H213" s="1018"/>
      <c r="I213" s="659">
        <f>ROUND(Trial_2Cut[[#This Row],[Net]]/10^3,2)</f>
        <v>0</v>
      </c>
      <c r="J213" s="475" t="s">
        <v>1763</v>
      </c>
      <c r="K213" s="475" t="str">
        <f>'Sch - PL'!$A$117</f>
        <v>Electricity, Power &amp; Fuel</v>
      </c>
      <c r="L21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3" s="475"/>
    </row>
    <row r="214" spans="1:16">
      <c r="A214" s="446" t="s">
        <v>83</v>
      </c>
      <c r="B214" s="446" t="s">
        <v>1775</v>
      </c>
      <c r="C214" s="446" t="s">
        <v>433</v>
      </c>
      <c r="D214" s="446" t="s">
        <v>864</v>
      </c>
      <c r="E214" s="1017"/>
      <c r="F214" s="1018"/>
      <c r="G214" s="1018"/>
      <c r="H214" s="1018"/>
      <c r="I214" s="659">
        <f>ROUND(Trial_2Cut[[#This Row],[Net]]/10^3,2)</f>
        <v>0</v>
      </c>
      <c r="J214" s="475" t="s">
        <v>1851</v>
      </c>
      <c r="K214" s="475" t="str">
        <f>'Sch - PL'!$A$77</f>
        <v>Contributions to ESI, PF and Others</v>
      </c>
      <c r="L21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4" s="475"/>
    </row>
    <row r="215" spans="1:16">
      <c r="A215" s="446" t="s">
        <v>83</v>
      </c>
      <c r="B215" s="446" t="s">
        <v>1775</v>
      </c>
      <c r="C215" s="446" t="s">
        <v>433</v>
      </c>
      <c r="D215" s="446" t="s">
        <v>865</v>
      </c>
      <c r="E215" s="1017"/>
      <c r="F215" s="1018"/>
      <c r="G215" s="1018"/>
      <c r="H215" s="1018"/>
      <c r="I215" s="659">
        <f>ROUND(Trial_2Cut[[#This Row],[Net]]/10^3,2)</f>
        <v>0</v>
      </c>
      <c r="J215" s="475" t="s">
        <v>1851</v>
      </c>
      <c r="K215" s="475" t="str">
        <f>'Sch - PL'!$A$77</f>
        <v>Contributions to ESI, PF and Others</v>
      </c>
      <c r="L21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5" s="475"/>
    </row>
    <row r="216" spans="1:16">
      <c r="A216" s="446" t="s">
        <v>83</v>
      </c>
      <c r="B216" s="446" t="s">
        <v>1775</v>
      </c>
      <c r="C216" s="446" t="s">
        <v>433</v>
      </c>
      <c r="D216" s="446" t="s">
        <v>866</v>
      </c>
      <c r="E216" s="1017"/>
      <c r="F216" s="1018"/>
      <c r="G216" s="1018"/>
      <c r="H216" s="1018"/>
      <c r="I216" s="659">
        <f>ROUND(Trial_2Cut[[#This Row],[Net]]/10^3,2)</f>
        <v>0</v>
      </c>
      <c r="J216" s="475" t="s">
        <v>1763</v>
      </c>
      <c r="K216" s="475" t="s">
        <v>1758</v>
      </c>
      <c r="L21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6" s="475"/>
      <c r="P216" s="443" t="e">
        <f>VLOOKUP(Trial_2Cut[[#This Row],[Account]],[108]Trial!$B:$G,6,FALSE)</f>
        <v>#N/A</v>
      </c>
    </row>
    <row r="217" spans="1:16">
      <c r="A217" s="446" t="s">
        <v>83</v>
      </c>
      <c r="B217" s="446" t="s">
        <v>1775</v>
      </c>
      <c r="C217" s="446" t="s">
        <v>433</v>
      </c>
      <c r="D217" s="412" t="s">
        <v>663</v>
      </c>
      <c r="E217" s="1017"/>
      <c r="F217" s="1018"/>
      <c r="G217" s="1018"/>
      <c r="H217" s="1018"/>
      <c r="I217" s="659">
        <f>ROUND(Trial_2Cut[[#This Row],[Net]]/10^3,2)</f>
        <v>0</v>
      </c>
      <c r="J217" s="475" t="s">
        <v>1763</v>
      </c>
      <c r="K217" s="475" t="s">
        <v>1758</v>
      </c>
      <c r="L21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7" s="475"/>
      <c r="P217" s="443" t="e">
        <f>VLOOKUP(Trial_2Cut[[#This Row],[Account]],[108]Trial!$B:$G,6,FALSE)</f>
        <v>#N/A</v>
      </c>
    </row>
    <row r="218" spans="1:16">
      <c r="A218" s="446" t="s">
        <v>83</v>
      </c>
      <c r="B218" s="446" t="s">
        <v>1775</v>
      </c>
      <c r="C218" s="446" t="s">
        <v>433</v>
      </c>
      <c r="D218" s="412" t="s">
        <v>664</v>
      </c>
      <c r="E218" s="1017"/>
      <c r="F218" s="1018"/>
      <c r="G218" s="1018"/>
      <c r="H218" s="1018"/>
      <c r="I218" s="659">
        <f>ROUND(Trial_2Cut[[#This Row],[Net]]/10^3,2)</f>
        <v>0</v>
      </c>
      <c r="J218" s="475" t="s">
        <v>1763</v>
      </c>
      <c r="K218" s="475" t="str">
        <f>'Sch - PL'!$A$117</f>
        <v>Electricity, Power &amp; Fuel</v>
      </c>
      <c r="L21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8" s="475"/>
    </row>
    <row r="219" spans="1:16">
      <c r="A219" s="446" t="s">
        <v>83</v>
      </c>
      <c r="B219" s="446" t="s">
        <v>1775</v>
      </c>
      <c r="C219" s="446" t="s">
        <v>433</v>
      </c>
      <c r="D219" s="412" t="s">
        <v>665</v>
      </c>
      <c r="E219" s="1017"/>
      <c r="F219" s="1018"/>
      <c r="G219" s="1018"/>
      <c r="H219" s="1018"/>
      <c r="I219" s="659">
        <f>ROUND(Trial_2Cut[[#This Row],[Net]]/10^3,2)</f>
        <v>0</v>
      </c>
      <c r="J219" s="475" t="s">
        <v>1763</v>
      </c>
      <c r="K219" s="475" t="str">
        <f>'Sch - PL'!$A$117</f>
        <v>Electricity, Power &amp; Fuel</v>
      </c>
      <c r="L21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19" s="475"/>
    </row>
    <row r="220" spans="1:16">
      <c r="A220" s="446" t="s">
        <v>83</v>
      </c>
      <c r="B220" s="446" t="s">
        <v>1775</v>
      </c>
      <c r="C220" s="446" t="s">
        <v>433</v>
      </c>
      <c r="D220" s="412" t="s">
        <v>666</v>
      </c>
      <c r="E220" s="1017"/>
      <c r="F220" s="1018"/>
      <c r="G220" s="1018"/>
      <c r="H220" s="1018"/>
      <c r="I220" s="659">
        <f>ROUND(Trial_2Cut[[#This Row],[Net]]/10^3,2)</f>
        <v>0</v>
      </c>
      <c r="J220" s="475" t="s">
        <v>1763</v>
      </c>
      <c r="K220" s="475" t="str">
        <f>'Sch - PL'!$A$112</f>
        <v xml:space="preserve">      - Others</v>
      </c>
      <c r="L22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0" s="475"/>
    </row>
    <row r="221" spans="1:16">
      <c r="A221" s="446" t="s">
        <v>83</v>
      </c>
      <c r="B221" s="446" t="s">
        <v>1775</v>
      </c>
      <c r="C221" s="446" t="s">
        <v>433</v>
      </c>
      <c r="D221" s="412" t="s">
        <v>667</v>
      </c>
      <c r="E221" s="1017"/>
      <c r="F221" s="1018"/>
      <c r="G221" s="1018"/>
      <c r="H221" s="1018"/>
      <c r="I221" s="659">
        <f>ROUND(Trial_2Cut[[#This Row],[Net]]/10^3,2)</f>
        <v>0</v>
      </c>
      <c r="J221" s="475" t="s">
        <v>1763</v>
      </c>
      <c r="K221" s="475" t="str">
        <f>'Sch - PL'!$A$123</f>
        <v>Legal &amp; Professional Charges</v>
      </c>
      <c r="L22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1" s="475"/>
      <c r="P221" s="443" t="e">
        <f>VLOOKUP(Trial_2Cut[[#This Row],[Account]],[108]Trial!$B:$G,6,FALSE)</f>
        <v>#N/A</v>
      </c>
    </row>
    <row r="222" spans="1:16">
      <c r="A222" s="446" t="s">
        <v>83</v>
      </c>
      <c r="B222" s="446" t="s">
        <v>1775</v>
      </c>
      <c r="C222" s="446" t="s">
        <v>433</v>
      </c>
      <c r="D222" s="412" t="s">
        <v>668</v>
      </c>
      <c r="E222" s="1017"/>
      <c r="F222" s="1018"/>
      <c r="G222" s="1018"/>
      <c r="H222" s="1018"/>
      <c r="I222" s="659">
        <f>ROUND(Trial_2Cut[[#This Row],[Net]]/10^3,2)</f>
        <v>0</v>
      </c>
      <c r="J222" s="475" t="s">
        <v>1763</v>
      </c>
      <c r="K222" s="475" t="s">
        <v>1810</v>
      </c>
      <c r="L22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2" s="475"/>
      <c r="P222" s="443" t="e">
        <f>VLOOKUP(Trial_2Cut[[#This Row],[Account]],[108]Trial!$B:$G,6,FALSE)</f>
        <v>#N/A</v>
      </c>
    </row>
    <row r="223" spans="1:16">
      <c r="A223" s="446" t="s">
        <v>83</v>
      </c>
      <c r="B223" s="446" t="s">
        <v>1775</v>
      </c>
      <c r="C223" s="446" t="s">
        <v>433</v>
      </c>
      <c r="D223" s="412" t="s">
        <v>669</v>
      </c>
      <c r="E223" s="1017"/>
      <c r="F223" s="1018"/>
      <c r="G223" s="1018"/>
      <c r="H223" s="1018"/>
      <c r="I223" s="659">
        <f>ROUND(Trial_2Cut[[#This Row],[Net]]/10^3,2)</f>
        <v>0</v>
      </c>
      <c r="J223" s="475" t="s">
        <v>1763</v>
      </c>
      <c r="K223" s="475" t="str">
        <f>'Sch - PL'!$A$123</f>
        <v>Legal &amp; Professional Charges</v>
      </c>
      <c r="L22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3" s="475"/>
      <c r="P223" s="443" t="e">
        <f>VLOOKUP(Trial_2Cut[[#This Row],[Account]],[108]Trial!$B:$G,6,FALSE)</f>
        <v>#N/A</v>
      </c>
    </row>
    <row r="224" spans="1:16">
      <c r="A224" s="446" t="s">
        <v>83</v>
      </c>
      <c r="B224" s="446" t="s">
        <v>1775</v>
      </c>
      <c r="C224" s="446" t="s">
        <v>433</v>
      </c>
      <c r="D224" s="412" t="s">
        <v>670</v>
      </c>
      <c r="E224" s="1017"/>
      <c r="F224" s="1018"/>
      <c r="G224" s="1018"/>
      <c r="H224" s="1018"/>
      <c r="I224" s="659">
        <f>ROUND(Trial_2Cut[[#This Row],[Net]]/10^3,2)</f>
        <v>0</v>
      </c>
      <c r="J224" s="475" t="s">
        <v>1763</v>
      </c>
      <c r="K224" s="475" t="str">
        <f>'Sch - PL'!$A$123</f>
        <v>Legal &amp; Professional Charges</v>
      </c>
      <c r="L22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4" s="475"/>
      <c r="P224" s="443" t="e">
        <f>VLOOKUP(Trial_2Cut[[#This Row],[Account]],[108]Trial!$B:$G,6,FALSE)</f>
        <v>#N/A</v>
      </c>
    </row>
    <row r="225" spans="1:16">
      <c r="A225" s="446" t="s">
        <v>83</v>
      </c>
      <c r="B225" s="446" t="s">
        <v>1775</v>
      </c>
      <c r="C225" s="446" t="s">
        <v>433</v>
      </c>
      <c r="D225" s="412" t="s">
        <v>671</v>
      </c>
      <c r="E225" s="1017"/>
      <c r="F225" s="1018"/>
      <c r="G225" s="1018"/>
      <c r="H225" s="1018"/>
      <c r="I225" s="659">
        <f>ROUND(Trial_2Cut[[#This Row],[Net]]/10^3,2)</f>
        <v>0</v>
      </c>
      <c r="J225" s="475" t="s">
        <v>1763</v>
      </c>
      <c r="K225" s="475" t="s">
        <v>1825</v>
      </c>
      <c r="L22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5" s="475"/>
      <c r="P225" s="443" t="e">
        <f>VLOOKUP(Trial_2Cut[[#This Row],[Account]],[108]Trial!$B:$G,6,FALSE)</f>
        <v>#N/A</v>
      </c>
    </row>
    <row r="226" spans="1:16">
      <c r="A226" s="446" t="s">
        <v>83</v>
      </c>
      <c r="B226" s="446" t="s">
        <v>1775</v>
      </c>
      <c r="C226" s="446" t="s">
        <v>433</v>
      </c>
      <c r="D226" s="412" t="s">
        <v>672</v>
      </c>
      <c r="E226" s="1017"/>
      <c r="F226" s="1018"/>
      <c r="G226" s="1018"/>
      <c r="H226" s="1018"/>
      <c r="I226" s="659">
        <f>ROUND(Trial_2Cut[[#This Row],[Net]]/10^3,2)</f>
        <v>0</v>
      </c>
      <c r="J226" s="475" t="s">
        <v>1763</v>
      </c>
      <c r="K226" s="475" t="str">
        <f>'Sch - PL'!$A$37</f>
        <v>Job Work Expenses</v>
      </c>
      <c r="L22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6" s="475"/>
      <c r="P226" s="443" t="e">
        <f>VLOOKUP(Trial_2Cut[[#This Row],[Account]],[108]Trial!$B:$G,6,FALSE)</f>
        <v>#N/A</v>
      </c>
    </row>
    <row r="227" spans="1:16">
      <c r="A227" s="446" t="s">
        <v>83</v>
      </c>
      <c r="B227" s="446" t="s">
        <v>1775</v>
      </c>
      <c r="C227" s="446" t="s">
        <v>433</v>
      </c>
      <c r="D227" s="412" t="s">
        <v>673</v>
      </c>
      <c r="E227" s="1017"/>
      <c r="F227" s="1018"/>
      <c r="G227" s="1018"/>
      <c r="H227" s="1018"/>
      <c r="I227" s="659">
        <f>ROUND(Trial_2Cut[[#This Row],[Net]]/10^3,2)</f>
        <v>0</v>
      </c>
      <c r="J227" s="475" t="s">
        <v>1763</v>
      </c>
      <c r="K227" s="475" t="s">
        <v>1810</v>
      </c>
      <c r="L22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7" s="475"/>
      <c r="P227" s="443" t="e">
        <f>VLOOKUP(Trial_2Cut[[#This Row],[Account]],[108]Trial!$B:$G,6,FALSE)</f>
        <v>#N/A</v>
      </c>
    </row>
    <row r="228" spans="1:16">
      <c r="A228" s="446" t="s">
        <v>83</v>
      </c>
      <c r="B228" s="446" t="s">
        <v>1775</v>
      </c>
      <c r="C228" s="446" t="s">
        <v>433</v>
      </c>
      <c r="D228" s="412" t="s">
        <v>674</v>
      </c>
      <c r="E228" s="1017"/>
      <c r="F228" s="1018"/>
      <c r="G228" s="1018"/>
      <c r="H228" s="1018"/>
      <c r="I228" s="659">
        <f>ROUND(Trial_2Cut[[#This Row],[Net]]/10^3,2)</f>
        <v>0</v>
      </c>
      <c r="J228" s="475" t="s">
        <v>1763</v>
      </c>
      <c r="K228" s="475" t="s">
        <v>1813</v>
      </c>
      <c r="L22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8" s="475"/>
      <c r="P228" s="443" t="e">
        <f>VLOOKUP(Trial_2Cut[[#This Row],[Account]],[108]Trial!$B:$G,6,FALSE)</f>
        <v>#N/A</v>
      </c>
    </row>
    <row r="229" spans="1:16">
      <c r="A229" s="446" t="s">
        <v>83</v>
      </c>
      <c r="B229" s="446" t="s">
        <v>1775</v>
      </c>
      <c r="C229" s="446" t="s">
        <v>433</v>
      </c>
      <c r="D229" s="412" t="s">
        <v>675</v>
      </c>
      <c r="E229" s="1017"/>
      <c r="F229" s="1018"/>
      <c r="G229" s="1018"/>
      <c r="H229" s="1018"/>
      <c r="I229" s="659">
        <f>ROUND(Trial_2Cut[[#This Row],[Net]]/10^3,2)</f>
        <v>0</v>
      </c>
      <c r="J229" s="475" t="s">
        <v>1763</v>
      </c>
      <c r="K229" s="475" t="s">
        <v>1821</v>
      </c>
      <c r="L22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29" s="475"/>
      <c r="P229" s="443" t="e">
        <f>VLOOKUP(Trial_2Cut[[#This Row],[Account]],[108]Trial!$B:$G,6,FALSE)</f>
        <v>#N/A</v>
      </c>
    </row>
    <row r="230" spans="1:16">
      <c r="A230" s="446" t="s">
        <v>83</v>
      </c>
      <c r="B230" s="446" t="s">
        <v>1775</v>
      </c>
      <c r="C230" s="446" t="s">
        <v>433</v>
      </c>
      <c r="D230" s="412" t="s">
        <v>676</v>
      </c>
      <c r="E230" s="1017"/>
      <c r="F230" s="1018"/>
      <c r="G230" s="1018"/>
      <c r="H230" s="1018"/>
      <c r="I230" s="659">
        <f>ROUND(Trial_2Cut[[#This Row],[Net]]/10^3,2)</f>
        <v>0</v>
      </c>
      <c r="J230" s="475" t="s">
        <v>1763</v>
      </c>
      <c r="K230" s="475" t="s">
        <v>1815</v>
      </c>
      <c r="L23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0" s="475"/>
      <c r="P230" s="443" t="e">
        <f>VLOOKUP(Trial_2Cut[[#This Row],[Account]],[108]Trial!$B:$G,6,FALSE)</f>
        <v>#N/A</v>
      </c>
    </row>
    <row r="231" spans="1:16">
      <c r="A231" s="446" t="s">
        <v>83</v>
      </c>
      <c r="B231" s="446" t="s">
        <v>1775</v>
      </c>
      <c r="C231" s="446" t="s">
        <v>433</v>
      </c>
      <c r="D231" s="412" t="s">
        <v>677</v>
      </c>
      <c r="E231" s="1017"/>
      <c r="F231" s="1018"/>
      <c r="G231" s="1018"/>
      <c r="H231" s="1018"/>
      <c r="I231" s="659">
        <f>ROUND(Trial_2Cut[[#This Row],[Net]]/10^3,2)</f>
        <v>0</v>
      </c>
      <c r="J231" s="475" t="s">
        <v>1763</v>
      </c>
      <c r="K231" s="475" t="s">
        <v>1815</v>
      </c>
      <c r="L23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1" s="475"/>
      <c r="P231" s="443" t="e">
        <f>VLOOKUP(Trial_2Cut[[#This Row],[Account]],[108]Trial!$B:$G,6,FALSE)</f>
        <v>#N/A</v>
      </c>
    </row>
    <row r="232" spans="1:16">
      <c r="A232" s="446" t="s">
        <v>83</v>
      </c>
      <c r="B232" s="446" t="s">
        <v>1775</v>
      </c>
      <c r="C232" s="446" t="s">
        <v>433</v>
      </c>
      <c r="D232" s="412" t="s">
        <v>678</v>
      </c>
      <c r="E232" s="1017"/>
      <c r="F232" s="1018"/>
      <c r="G232" s="1018"/>
      <c r="H232" s="1018"/>
      <c r="I232" s="659">
        <f>ROUND(Trial_2Cut[[#This Row],[Net]]/10^3,2)</f>
        <v>0</v>
      </c>
      <c r="J232" s="475" t="s">
        <v>1763</v>
      </c>
      <c r="K232" s="475" t="s">
        <v>1815</v>
      </c>
      <c r="L23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2" s="475"/>
      <c r="P232" s="443" t="e">
        <f>VLOOKUP(Trial_2Cut[[#This Row],[Account]],[108]Trial!$B:$G,6,FALSE)</f>
        <v>#N/A</v>
      </c>
    </row>
    <row r="233" spans="1:16">
      <c r="A233" s="446" t="s">
        <v>83</v>
      </c>
      <c r="B233" s="446" t="s">
        <v>1775</v>
      </c>
      <c r="C233" s="446" t="s">
        <v>433</v>
      </c>
      <c r="D233" s="412" t="s">
        <v>677</v>
      </c>
      <c r="E233" s="1017"/>
      <c r="F233" s="1018"/>
      <c r="G233" s="1018"/>
      <c r="H233" s="1018"/>
      <c r="I233" s="659">
        <f>ROUND(Trial_2Cut[[#This Row],[Net]]/10^3,2)</f>
        <v>0</v>
      </c>
      <c r="J233" s="475" t="s">
        <v>1847</v>
      </c>
      <c r="K233" s="475" t="str">
        <f>'Sch - PL'!$A$9</f>
        <v>Domestic Sale</v>
      </c>
      <c r="L23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3" s="475"/>
      <c r="P233" s="443" t="e">
        <f>VLOOKUP(Trial_2Cut[[#This Row],[Account]],[108]Trial!$B:$G,6,FALSE)</f>
        <v>#N/A</v>
      </c>
    </row>
    <row r="234" spans="1:16">
      <c r="A234" s="446" t="s">
        <v>83</v>
      </c>
      <c r="B234" s="446" t="s">
        <v>1775</v>
      </c>
      <c r="C234" s="446" t="s">
        <v>433</v>
      </c>
      <c r="D234" s="412" t="s">
        <v>679</v>
      </c>
      <c r="E234" s="1017"/>
      <c r="F234" s="1018"/>
      <c r="G234" s="1018"/>
      <c r="H234" s="1018"/>
      <c r="I234" s="659">
        <f>ROUND(Trial_2Cut[[#This Row],[Net]]/10^3,2)</f>
        <v>0</v>
      </c>
      <c r="J234" s="475" t="s">
        <v>1763</v>
      </c>
      <c r="K234" s="475" t="str">
        <f>'Sch - PL'!$A$111</f>
        <v xml:space="preserve">      - Vehicle</v>
      </c>
      <c r="L23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4" s="475"/>
    </row>
    <row r="235" spans="1:16">
      <c r="A235" s="446" t="s">
        <v>83</v>
      </c>
      <c r="B235" s="446" t="s">
        <v>1775</v>
      </c>
      <c r="C235" s="446" t="s">
        <v>433</v>
      </c>
      <c r="D235" s="412" t="s">
        <v>680</v>
      </c>
      <c r="E235" s="1017"/>
      <c r="F235" s="1018"/>
      <c r="G235" s="1018"/>
      <c r="H235" s="1018"/>
      <c r="I235" s="659">
        <f>ROUND(Trial_2Cut[[#This Row],[Net]]/10^3,2)</f>
        <v>0</v>
      </c>
      <c r="J235" s="475" t="s">
        <v>1763</v>
      </c>
      <c r="K235" s="475" t="str">
        <f>'Sch - PL'!$A$112</f>
        <v xml:space="preserve">      - Others</v>
      </c>
      <c r="L23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5" s="475"/>
    </row>
    <row r="236" spans="1:16">
      <c r="A236" s="446" t="s">
        <v>83</v>
      </c>
      <c r="B236" s="446" t="s">
        <v>1775</v>
      </c>
      <c r="C236" s="446" t="s">
        <v>433</v>
      </c>
      <c r="D236" s="412" t="s">
        <v>681</v>
      </c>
      <c r="E236" s="1017"/>
      <c r="F236" s="1018"/>
      <c r="G236" s="1018"/>
      <c r="H236" s="1018"/>
      <c r="I236" s="659">
        <f>ROUND(Trial_2Cut[[#This Row],[Net]]/10^3,2)</f>
        <v>0</v>
      </c>
      <c r="J236" s="475" t="s">
        <v>1763</v>
      </c>
      <c r="K236" s="475" t="str">
        <f>'Sch - PL'!$A$112</f>
        <v xml:space="preserve">      - Others</v>
      </c>
      <c r="L23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6" s="475"/>
    </row>
    <row r="237" spans="1:16">
      <c r="A237" s="446" t="s">
        <v>83</v>
      </c>
      <c r="B237" s="446" t="s">
        <v>1775</v>
      </c>
      <c r="C237" s="446" t="s">
        <v>433</v>
      </c>
      <c r="D237" s="412" t="s">
        <v>682</v>
      </c>
      <c r="E237" s="1017"/>
      <c r="F237" s="1018"/>
      <c r="G237" s="1018"/>
      <c r="H237" s="1018"/>
      <c r="I237" s="659">
        <f>ROUND(Trial_2Cut[[#This Row],[Net]]/10^3,2)</f>
        <v>0</v>
      </c>
      <c r="J237" s="475" t="s">
        <v>1763</v>
      </c>
      <c r="K237" s="475" t="str">
        <f>'Sch - PL'!$A$111</f>
        <v xml:space="preserve">      - Vehicle</v>
      </c>
      <c r="L23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7" s="475"/>
    </row>
    <row r="238" spans="1:16">
      <c r="A238" s="446" t="s">
        <v>83</v>
      </c>
      <c r="B238" s="446" t="s">
        <v>1775</v>
      </c>
      <c r="C238" s="446" t="s">
        <v>433</v>
      </c>
      <c r="D238" s="412" t="s">
        <v>683</v>
      </c>
      <c r="E238" s="1017"/>
      <c r="F238" s="1018"/>
      <c r="G238" s="1018"/>
      <c r="H238" s="1018"/>
      <c r="I238" s="659">
        <f>ROUND(Trial_2Cut[[#This Row],[Net]]/10^3,2)</f>
        <v>0</v>
      </c>
      <c r="J238" s="475" t="s">
        <v>1763</v>
      </c>
      <c r="K238" s="475" t="s">
        <v>1821</v>
      </c>
      <c r="L23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8" s="475"/>
      <c r="P238" s="443" t="e">
        <f>VLOOKUP(Trial_2Cut[[#This Row],[Account]],[108]Trial!$B:$G,6,FALSE)</f>
        <v>#N/A</v>
      </c>
    </row>
    <row r="239" spans="1:16">
      <c r="A239" s="446" t="s">
        <v>83</v>
      </c>
      <c r="B239" s="446" t="s">
        <v>1775</v>
      </c>
      <c r="C239" s="446" t="s">
        <v>433</v>
      </c>
      <c r="D239" s="412" t="s">
        <v>684</v>
      </c>
      <c r="E239" s="1017"/>
      <c r="F239" s="1018"/>
      <c r="G239" s="1018"/>
      <c r="H239" s="1018"/>
      <c r="I239" s="659">
        <f>ROUND(Trial_2Cut[[#This Row],[Net]]/10^3,2)</f>
        <v>0</v>
      </c>
      <c r="J239" s="475" t="s">
        <v>1763</v>
      </c>
      <c r="K239" s="475" t="str">
        <f>'Sch - PL'!$A$123</f>
        <v>Legal &amp; Professional Charges</v>
      </c>
      <c r="L23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39" s="475"/>
      <c r="P239" s="443" t="e">
        <f>VLOOKUP(Trial_2Cut[[#This Row],[Account]],[108]Trial!$B:$G,6,FALSE)</f>
        <v>#N/A</v>
      </c>
    </row>
    <row r="240" spans="1:16">
      <c r="A240" s="446" t="s">
        <v>83</v>
      </c>
      <c r="B240" s="446" t="s">
        <v>1775</v>
      </c>
      <c r="C240" s="446" t="s">
        <v>433</v>
      </c>
      <c r="D240" s="412" t="s">
        <v>685</v>
      </c>
      <c r="E240" s="1017"/>
      <c r="F240" s="1018"/>
      <c r="G240" s="1018"/>
      <c r="H240" s="1018"/>
      <c r="I240" s="659">
        <f>ROUND(Trial_2Cut[[#This Row],[Net]]/10^3,2)</f>
        <v>0</v>
      </c>
      <c r="J240" s="475" t="s">
        <v>1851</v>
      </c>
      <c r="K240" s="475" t="str">
        <f>'Sch - PL'!$A$75</f>
        <v>Salary &amp; Wages</v>
      </c>
      <c r="L24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0" s="475"/>
    </row>
    <row r="241" spans="1:16">
      <c r="A241" s="446" t="s">
        <v>83</v>
      </c>
      <c r="B241" s="446" t="s">
        <v>1775</v>
      </c>
      <c r="C241" s="446" t="s">
        <v>433</v>
      </c>
      <c r="D241" s="412" t="s">
        <v>686</v>
      </c>
      <c r="E241" s="1017"/>
      <c r="F241" s="1018"/>
      <c r="G241" s="1018"/>
      <c r="H241" s="1018"/>
      <c r="I241" s="659">
        <f>ROUND(Trial_2Cut[[#This Row],[Net]]/10^3,2)</f>
        <v>0</v>
      </c>
      <c r="J241" s="475" t="s">
        <v>1763</v>
      </c>
      <c r="K241" s="475" t="s">
        <v>1819</v>
      </c>
      <c r="L24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1" s="475"/>
      <c r="P241" s="443" t="e">
        <f>VLOOKUP(Trial_2Cut[[#This Row],[Account]],[108]Trial!$B:$G,6,FALSE)</f>
        <v>#N/A</v>
      </c>
    </row>
    <row r="242" spans="1:16">
      <c r="A242" s="446" t="s">
        <v>83</v>
      </c>
      <c r="B242" s="446" t="s">
        <v>1775</v>
      </c>
      <c r="C242" s="446" t="s">
        <v>433</v>
      </c>
      <c r="D242" s="412" t="s">
        <v>687</v>
      </c>
      <c r="E242" s="1017"/>
      <c r="F242" s="1018"/>
      <c r="G242" s="1018"/>
      <c r="H242" s="1018"/>
      <c r="I242" s="659">
        <f>ROUND(Trial_2Cut[[#This Row],[Net]]/10^3,2)</f>
        <v>0</v>
      </c>
      <c r="J242" s="475" t="s">
        <v>1763</v>
      </c>
      <c r="K242" s="475" t="s">
        <v>1819</v>
      </c>
      <c r="L24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2" s="475"/>
      <c r="P242" s="443" t="e">
        <f>VLOOKUP(Trial_2Cut[[#This Row],[Account]],[108]Trial!$B:$G,6,FALSE)</f>
        <v>#N/A</v>
      </c>
    </row>
    <row r="243" spans="1:16">
      <c r="A243" s="446" t="s">
        <v>83</v>
      </c>
      <c r="B243" s="446" t="s">
        <v>1775</v>
      </c>
      <c r="C243" s="446" t="s">
        <v>433</v>
      </c>
      <c r="D243" s="412" t="s">
        <v>680</v>
      </c>
      <c r="E243" s="1017"/>
      <c r="F243" s="1018"/>
      <c r="G243" s="1018"/>
      <c r="H243" s="1018"/>
      <c r="I243" s="659">
        <f>ROUND(Trial_2Cut[[#This Row],[Net]]/10^3,2)</f>
        <v>0</v>
      </c>
      <c r="J243" s="475" t="s">
        <v>1763</v>
      </c>
      <c r="K243" s="475" t="s">
        <v>1819</v>
      </c>
      <c r="L24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3" s="475"/>
      <c r="P243" s="443" t="e">
        <f>VLOOKUP(Trial_2Cut[[#This Row],[Account]],[108]Trial!$B:$G,6,FALSE)</f>
        <v>#N/A</v>
      </c>
    </row>
    <row r="244" spans="1:16">
      <c r="A244" s="446" t="s">
        <v>83</v>
      </c>
      <c r="B244" s="446" t="s">
        <v>1775</v>
      </c>
      <c r="C244" s="446" t="s">
        <v>433</v>
      </c>
      <c r="D244" s="412" t="s">
        <v>681</v>
      </c>
      <c r="E244" s="1017"/>
      <c r="F244" s="1018"/>
      <c r="G244" s="1018"/>
      <c r="H244" s="1018"/>
      <c r="I244" s="659">
        <f>ROUND(Trial_2Cut[[#This Row],[Net]]/10^3,2)</f>
        <v>0</v>
      </c>
      <c r="J244" s="475" t="s">
        <v>1763</v>
      </c>
      <c r="K244" s="475" t="s">
        <v>1819</v>
      </c>
      <c r="L24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4" s="475"/>
      <c r="P244" s="443" t="e">
        <f>VLOOKUP(Trial_2Cut[[#This Row],[Account]],[108]Trial!$B:$G,6,FALSE)</f>
        <v>#N/A</v>
      </c>
    </row>
    <row r="245" spans="1:16">
      <c r="A245" s="446" t="s">
        <v>83</v>
      </c>
      <c r="B245" s="446" t="s">
        <v>1775</v>
      </c>
      <c r="C245" s="446" t="s">
        <v>433</v>
      </c>
      <c r="D245" s="412" t="s">
        <v>682</v>
      </c>
      <c r="E245" s="1017"/>
      <c r="F245" s="1018"/>
      <c r="G245" s="1018"/>
      <c r="H245" s="1018"/>
      <c r="I245" s="659">
        <f>ROUND(Trial_2Cut[[#This Row],[Net]]/10^3,2)</f>
        <v>0</v>
      </c>
      <c r="J245" s="475" t="s">
        <v>1851</v>
      </c>
      <c r="K245" s="475" t="str">
        <f>'Sch - PL'!$A$75</f>
        <v>Salary &amp; Wages</v>
      </c>
      <c r="L24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5" s="475"/>
      <c r="P245" s="443" t="e">
        <f>VLOOKUP(Trial_2Cut[[#This Row],[Account]],[108]Trial!$B:$G,6,FALSE)</f>
        <v>#N/A</v>
      </c>
    </row>
    <row r="246" spans="1:16">
      <c r="A246" s="446" t="s">
        <v>83</v>
      </c>
      <c r="B246" s="446" t="s">
        <v>1775</v>
      </c>
      <c r="C246" s="446" t="s">
        <v>433</v>
      </c>
      <c r="D246" s="412" t="s">
        <v>688</v>
      </c>
      <c r="E246" s="1017"/>
      <c r="F246" s="1018"/>
      <c r="G246" s="1018"/>
      <c r="H246" s="1018"/>
      <c r="I246" s="659">
        <f>ROUND(Trial_2Cut[[#This Row],[Net]]/10^3,2)</f>
        <v>0</v>
      </c>
      <c r="J246" s="475" t="s">
        <v>1763</v>
      </c>
      <c r="K246" s="475" t="s">
        <v>1782</v>
      </c>
      <c r="L24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6" s="475"/>
      <c r="P246" s="443" t="e">
        <f>VLOOKUP(Trial_2Cut[[#This Row],[Account]],[108]Trial!$B:$G,6,FALSE)</f>
        <v>#N/A</v>
      </c>
    </row>
    <row r="247" spans="1:16">
      <c r="A247" s="446" t="s">
        <v>83</v>
      </c>
      <c r="B247" s="446" t="s">
        <v>1775</v>
      </c>
      <c r="C247" s="446" t="s">
        <v>433</v>
      </c>
      <c r="D247" s="412" t="s">
        <v>689</v>
      </c>
      <c r="E247" s="1017"/>
      <c r="F247" s="1018"/>
      <c r="G247" s="1018"/>
      <c r="H247" s="1018"/>
      <c r="I247" s="659">
        <f>ROUND(Trial_2Cut[[#This Row],[Net]]/10^3,2)</f>
        <v>0</v>
      </c>
      <c r="J247" s="475" t="s">
        <v>1763</v>
      </c>
      <c r="K247" s="475" t="s">
        <v>1783</v>
      </c>
      <c r="L24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7" s="475"/>
      <c r="P247" s="443" t="e">
        <f>VLOOKUP(Trial_2Cut[[#This Row],[Account]],[108]Trial!$B:$G,6,FALSE)</f>
        <v>#N/A</v>
      </c>
    </row>
    <row r="248" spans="1:16">
      <c r="A248" s="446" t="s">
        <v>83</v>
      </c>
      <c r="B248" s="446" t="s">
        <v>1775</v>
      </c>
      <c r="C248" s="446" t="s">
        <v>433</v>
      </c>
      <c r="D248" s="412" t="s">
        <v>690</v>
      </c>
      <c r="E248" s="1017"/>
      <c r="F248" s="1018"/>
      <c r="G248" s="1018"/>
      <c r="H248" s="1018"/>
      <c r="I248" s="659">
        <f>ROUND(Trial_2Cut[[#This Row],[Net]]/10^3,2)</f>
        <v>0</v>
      </c>
      <c r="J248" s="475" t="s">
        <v>1763</v>
      </c>
      <c r="K248" s="475" t="s">
        <v>1821</v>
      </c>
      <c r="L24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8" s="475"/>
      <c r="P248" s="443" t="e">
        <f>VLOOKUP(Trial_2Cut[[#This Row],[Account]],[108]Trial!$B:$G,6,FALSE)</f>
        <v>#N/A</v>
      </c>
    </row>
    <row r="249" spans="1:16">
      <c r="A249" s="446" t="s">
        <v>83</v>
      </c>
      <c r="B249" s="446" t="s">
        <v>1775</v>
      </c>
      <c r="C249" s="446" t="s">
        <v>433</v>
      </c>
      <c r="D249" s="412" t="s">
        <v>691</v>
      </c>
      <c r="E249" s="1017"/>
      <c r="F249" s="1018"/>
      <c r="G249" s="1018"/>
      <c r="H249" s="1018"/>
      <c r="I249" s="659">
        <f>ROUND(Trial_2Cut[[#This Row],[Net]]/10^3,2)</f>
        <v>0</v>
      </c>
      <c r="J249" s="475" t="s">
        <v>1763</v>
      </c>
      <c r="K249" s="475" t="str">
        <f>'Sch - PL'!$A$39</f>
        <v>Water Expenses</v>
      </c>
      <c r="L24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249" s="475"/>
      <c r="P249" s="443" t="e">
        <f>VLOOKUP(Trial_2Cut[[#This Row],[Account]],[108]Trial!$B:$G,6,FALSE)</f>
        <v>#N/A</v>
      </c>
    </row>
    <row r="250" spans="1:16">
      <c r="A250" s="446" t="s">
        <v>621</v>
      </c>
      <c r="B250" s="446" t="s">
        <v>1774</v>
      </c>
      <c r="C250" s="446" t="s">
        <v>1776</v>
      </c>
      <c r="D250" s="412" t="s">
        <v>692</v>
      </c>
      <c r="E250" s="1017"/>
      <c r="F250" s="1018"/>
      <c r="G250" s="1018"/>
      <c r="H250" s="1018"/>
      <c r="I250" s="659">
        <f>ROUND(Trial_2Cut[[#This Row],[Net]]/10^3,2)</f>
        <v>0</v>
      </c>
      <c r="J250" s="475"/>
      <c r="K250" s="475"/>
      <c r="L25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0" s="475"/>
    </row>
    <row r="251" spans="1:16">
      <c r="A251" s="446" t="s">
        <v>621</v>
      </c>
      <c r="B251" s="446" t="s">
        <v>1774</v>
      </c>
      <c r="C251" s="446" t="s">
        <v>1776</v>
      </c>
      <c r="D251" s="412" t="s">
        <v>693</v>
      </c>
      <c r="E251" s="1017"/>
      <c r="F251" s="1018"/>
      <c r="G251" s="1018"/>
      <c r="H251" s="1018"/>
      <c r="I251" s="659">
        <f>ROUND(Trial_2Cut[[#This Row],[Net]]/10^3,2)</f>
        <v>0</v>
      </c>
      <c r="J251" s="475" t="s">
        <v>1844</v>
      </c>
      <c r="K251" s="475" t="s">
        <v>1844</v>
      </c>
      <c r="L25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1" s="475"/>
    </row>
    <row r="252" spans="1:16">
      <c r="A252" s="446" t="s">
        <v>621</v>
      </c>
      <c r="B252" s="446" t="s">
        <v>1774</v>
      </c>
      <c r="C252" s="446" t="s">
        <v>1776</v>
      </c>
      <c r="D252" s="412" t="s">
        <v>688</v>
      </c>
      <c r="E252" s="1017"/>
      <c r="F252" s="1018"/>
      <c r="G252" s="1018"/>
      <c r="H252" s="1018"/>
      <c r="I252" s="659">
        <f>ROUND(Trial_2Cut[[#This Row],[Net]]/10^3,2)</f>
        <v>0</v>
      </c>
      <c r="J252" s="475" t="s">
        <v>1844</v>
      </c>
      <c r="K252" s="475" t="s">
        <v>1844</v>
      </c>
      <c r="L25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2" s="475"/>
    </row>
    <row r="253" spans="1:16">
      <c r="A253" s="446" t="s">
        <v>621</v>
      </c>
      <c r="B253" s="446" t="s">
        <v>1774</v>
      </c>
      <c r="C253" s="446" t="s">
        <v>1776</v>
      </c>
      <c r="D253" s="412" t="s">
        <v>689</v>
      </c>
      <c r="E253" s="1017"/>
      <c r="F253" s="1018"/>
      <c r="G253" s="1018"/>
      <c r="H253" s="1018"/>
      <c r="I253" s="659">
        <f>ROUND(Trial_2Cut[[#This Row],[Net]]/10^3,2)</f>
        <v>0</v>
      </c>
      <c r="J253" s="475" t="s">
        <v>1844</v>
      </c>
      <c r="K253" s="475" t="s">
        <v>1844</v>
      </c>
      <c r="L25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3" s="475"/>
    </row>
    <row r="254" spans="1:16">
      <c r="A254" s="446" t="s">
        <v>621</v>
      </c>
      <c r="B254" s="446" t="s">
        <v>1774</v>
      </c>
      <c r="C254" s="446" t="s">
        <v>1776</v>
      </c>
      <c r="D254" s="412" t="s">
        <v>694</v>
      </c>
      <c r="E254" s="1017"/>
      <c r="F254" s="1018"/>
      <c r="G254" s="1018"/>
      <c r="H254" s="1018"/>
      <c r="I254" s="659">
        <f>ROUND(Trial_2Cut[[#This Row],[Net]]/10^3,2)</f>
        <v>0</v>
      </c>
      <c r="J254" s="475" t="s">
        <v>1844</v>
      </c>
      <c r="K254" s="475" t="s">
        <v>1844</v>
      </c>
      <c r="L25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4" s="475"/>
    </row>
    <row r="255" spans="1:16">
      <c r="A255" s="446" t="s">
        <v>621</v>
      </c>
      <c r="B255" s="446" t="s">
        <v>1774</v>
      </c>
      <c r="C255" s="446" t="s">
        <v>1785</v>
      </c>
      <c r="D255" s="412" t="s">
        <v>695</v>
      </c>
      <c r="E255" s="1017"/>
      <c r="F255" s="1018"/>
      <c r="G255" s="1018"/>
      <c r="H255" s="1018"/>
      <c r="I255" s="659">
        <f>ROUND(Trial_2Cut[[#This Row],[Net]]/10^3,2)</f>
        <v>0</v>
      </c>
      <c r="J255" s="475" t="s">
        <v>617</v>
      </c>
      <c r="K255" s="475" t="str">
        <f>'Sch - liab'!$A$28</f>
        <v>Secured From Banks</v>
      </c>
      <c r="L25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5" s="475"/>
    </row>
    <row r="256" spans="1:16">
      <c r="A256" s="446" t="s">
        <v>621</v>
      </c>
      <c r="B256" s="446" t="s">
        <v>1774</v>
      </c>
      <c r="C256" s="446" t="s">
        <v>1785</v>
      </c>
      <c r="D256" s="412" t="s">
        <v>696</v>
      </c>
      <c r="E256" s="1017"/>
      <c r="F256" s="1018"/>
      <c r="G256" s="1018"/>
      <c r="H256" s="1018"/>
      <c r="I256" s="659">
        <f>ROUND(Trial_2Cut[[#This Row],[Net]]/10^3,2)</f>
        <v>0</v>
      </c>
      <c r="J256" s="475" t="s">
        <v>617</v>
      </c>
      <c r="K256" s="475" t="str">
        <f>'Sch - liab'!$A$28</f>
        <v>Secured From Banks</v>
      </c>
      <c r="L25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6" s="475"/>
    </row>
    <row r="257" spans="1:13">
      <c r="A257" s="446" t="s">
        <v>621</v>
      </c>
      <c r="B257" s="446" t="s">
        <v>1774</v>
      </c>
      <c r="C257" s="446" t="s">
        <v>1785</v>
      </c>
      <c r="D257" s="412" t="s">
        <v>697</v>
      </c>
      <c r="E257" s="1017"/>
      <c r="F257" s="1018"/>
      <c r="G257" s="1018"/>
      <c r="H257" s="1018"/>
      <c r="I257" s="659">
        <f>ROUND(Trial_2Cut[[#This Row],[Net]]/10^3,2)</f>
        <v>0</v>
      </c>
      <c r="J257" s="475" t="s">
        <v>617</v>
      </c>
      <c r="K257" s="475" t="str">
        <f>'Sch - liab'!$A$28</f>
        <v>Secured From Banks</v>
      </c>
      <c r="L25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7" s="475"/>
    </row>
    <row r="258" spans="1:13">
      <c r="A258" s="446" t="s">
        <v>621</v>
      </c>
      <c r="B258" s="446" t="s">
        <v>1774</v>
      </c>
      <c r="C258" s="446" t="s">
        <v>1785</v>
      </c>
      <c r="D258" s="412" t="s">
        <v>698</v>
      </c>
      <c r="E258" s="1017"/>
      <c r="F258" s="1018"/>
      <c r="G258" s="1018"/>
      <c r="H258" s="1018"/>
      <c r="I258" s="659">
        <f>ROUND(Trial_2Cut[[#This Row],[Net]]/10^3,2)</f>
        <v>0</v>
      </c>
      <c r="J258" s="475"/>
      <c r="K258" s="475"/>
      <c r="L25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8" s="475"/>
    </row>
    <row r="259" spans="1:13">
      <c r="A259" s="446" t="s">
        <v>621</v>
      </c>
      <c r="B259" s="446" t="s">
        <v>1774</v>
      </c>
      <c r="C259" s="446" t="s">
        <v>1785</v>
      </c>
      <c r="D259" s="412" t="s">
        <v>699</v>
      </c>
      <c r="E259" s="1017"/>
      <c r="F259" s="1018"/>
      <c r="G259" s="1018"/>
      <c r="H259" s="1018"/>
      <c r="I259" s="659">
        <f>ROUND(Trial_2Cut[[#This Row],[Net]]/10^3,2)</f>
        <v>0</v>
      </c>
      <c r="J259" s="475"/>
      <c r="K259" s="475"/>
      <c r="L25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59" s="475"/>
    </row>
    <row r="260" spans="1:13">
      <c r="A260" s="446" t="s">
        <v>621</v>
      </c>
      <c r="B260" s="446" t="s">
        <v>1774</v>
      </c>
      <c r="C260" s="446" t="s">
        <v>1785</v>
      </c>
      <c r="D260" s="412" t="s">
        <v>700</v>
      </c>
      <c r="E260" s="1017"/>
      <c r="F260" s="1018"/>
      <c r="G260" s="1018"/>
      <c r="H260" s="1018"/>
      <c r="I260" s="659">
        <f>ROUND(Trial_2Cut[[#This Row],[Net]]/10^3,2)</f>
        <v>0</v>
      </c>
      <c r="J260" s="475" t="s">
        <v>617</v>
      </c>
      <c r="K260" s="475" t="str">
        <f>'Sch - liab'!$A$31</f>
        <v>Unsecured from others</v>
      </c>
      <c r="L26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0" s="475"/>
    </row>
    <row r="261" spans="1:13">
      <c r="A261" s="446" t="s">
        <v>621</v>
      </c>
      <c r="B261" s="446" t="s">
        <v>1774</v>
      </c>
      <c r="C261" s="446" t="s">
        <v>1785</v>
      </c>
      <c r="D261" s="412" t="s">
        <v>701</v>
      </c>
      <c r="E261" s="1017"/>
      <c r="F261" s="1018"/>
      <c r="G261" s="1018"/>
      <c r="H261" s="1018"/>
      <c r="I261" s="659">
        <f>ROUND(Trial_2Cut[[#This Row],[Net]]/10^3,2)</f>
        <v>0</v>
      </c>
      <c r="J261" s="475" t="s">
        <v>617</v>
      </c>
      <c r="K261" s="475" t="str">
        <f>'Sch - liab'!$A$31</f>
        <v>Unsecured from others</v>
      </c>
      <c r="L26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1" s="475"/>
    </row>
    <row r="262" spans="1:13">
      <c r="A262" s="446" t="s">
        <v>621</v>
      </c>
      <c r="B262" s="446" t="s">
        <v>1774</v>
      </c>
      <c r="C262" s="446" t="s">
        <v>1785</v>
      </c>
      <c r="D262" s="412" t="s">
        <v>702</v>
      </c>
      <c r="E262" s="1017"/>
      <c r="F262" s="1018"/>
      <c r="G262" s="1018"/>
      <c r="H262" s="1018"/>
      <c r="I262" s="659">
        <f>ROUND(Trial_2Cut[[#This Row],[Net]]/10^3,2)</f>
        <v>0</v>
      </c>
      <c r="J262" s="475" t="s">
        <v>617</v>
      </c>
      <c r="K262" s="475" t="str">
        <f>'Sch - liab'!$A$33</f>
        <v>Long term borrowings from Directors</v>
      </c>
      <c r="L26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2" s="475"/>
    </row>
    <row r="263" spans="1:13">
      <c r="A263" s="446" t="s">
        <v>621</v>
      </c>
      <c r="B263" s="446" t="s">
        <v>1774</v>
      </c>
      <c r="C263" s="446" t="s">
        <v>1785</v>
      </c>
      <c r="D263" s="412" t="s">
        <v>703</v>
      </c>
      <c r="E263" s="1017"/>
      <c r="F263" s="1018"/>
      <c r="G263" s="1018"/>
      <c r="H263" s="1018"/>
      <c r="I263" s="659">
        <f>ROUND(Trial_2Cut[[#This Row],[Net]]/10^3,2)</f>
        <v>0</v>
      </c>
      <c r="J263" s="475"/>
      <c r="K263" s="475"/>
      <c r="L26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3" s="475"/>
    </row>
    <row r="264" spans="1:13">
      <c r="A264" s="446" t="s">
        <v>621</v>
      </c>
      <c r="B264" s="446" t="s">
        <v>1774</v>
      </c>
      <c r="C264" s="446" t="s">
        <v>1785</v>
      </c>
      <c r="D264" s="412" t="s">
        <v>615</v>
      </c>
      <c r="E264" s="1017"/>
      <c r="F264" s="1018"/>
      <c r="G264" s="1018"/>
      <c r="H264" s="1018"/>
      <c r="I264" s="659">
        <f>ROUND(Trial_2Cut[[#This Row],[Net]]/10^3,2)</f>
        <v>0</v>
      </c>
      <c r="J264" s="475"/>
      <c r="K264" s="475"/>
      <c r="L26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4" s="475"/>
    </row>
    <row r="265" spans="1:13">
      <c r="A265" s="446" t="s">
        <v>621</v>
      </c>
      <c r="B265" s="446" t="s">
        <v>1774</v>
      </c>
      <c r="C265" s="446" t="s">
        <v>1785</v>
      </c>
      <c r="D265" s="412" t="s">
        <v>704</v>
      </c>
      <c r="E265" s="1017"/>
      <c r="F265" s="1018"/>
      <c r="G265" s="1018"/>
      <c r="H265" s="1018"/>
      <c r="I265" s="659">
        <f>ROUND(Trial_2Cut[[#This Row],[Net]]/10^3,2)</f>
        <v>0</v>
      </c>
      <c r="J265" s="475" t="s">
        <v>617</v>
      </c>
      <c r="K265" s="475" t="str">
        <f>'Sch - liab'!$A$31</f>
        <v>Unsecured from others</v>
      </c>
      <c r="L26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5" s="475"/>
    </row>
    <row r="266" spans="1:13">
      <c r="A266" s="446" t="s">
        <v>621</v>
      </c>
      <c r="B266" s="446" t="s">
        <v>1774</v>
      </c>
      <c r="C266" s="446" t="s">
        <v>1785</v>
      </c>
      <c r="D266" s="412" t="s">
        <v>705</v>
      </c>
      <c r="E266" s="1017"/>
      <c r="F266" s="1018"/>
      <c r="G266" s="1018"/>
      <c r="H266" s="1018"/>
      <c r="I266" s="659">
        <f>ROUND(Trial_2Cut[[#This Row],[Net]]/10^3,2)</f>
        <v>0</v>
      </c>
      <c r="J266" s="475" t="s">
        <v>617</v>
      </c>
      <c r="K266" s="475" t="str">
        <f>'Sch - liab'!$A$31</f>
        <v>Unsecured from others</v>
      </c>
      <c r="L26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6" s="475"/>
    </row>
    <row r="267" spans="1:13">
      <c r="A267" s="446" t="s">
        <v>621</v>
      </c>
      <c r="B267" s="446" t="s">
        <v>1774</v>
      </c>
      <c r="C267" s="446" t="s">
        <v>1785</v>
      </c>
      <c r="D267" s="412" t="s">
        <v>706</v>
      </c>
      <c r="E267" s="1017"/>
      <c r="F267" s="1018"/>
      <c r="G267" s="1018"/>
      <c r="H267" s="1018"/>
      <c r="I267" s="659">
        <f>ROUND(Trial_2Cut[[#This Row],[Net]]/10^3,2)</f>
        <v>0</v>
      </c>
      <c r="J267" s="475"/>
      <c r="K267" s="475"/>
      <c r="L26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7" s="475"/>
    </row>
    <row r="268" spans="1:13">
      <c r="A268" s="446" t="s">
        <v>621</v>
      </c>
      <c r="B268" s="446" t="s">
        <v>1774</v>
      </c>
      <c r="C268" s="446" t="s">
        <v>1785</v>
      </c>
      <c r="D268" s="412" t="s">
        <v>707</v>
      </c>
      <c r="E268" s="1017"/>
      <c r="F268" s="1018"/>
      <c r="G268" s="1018"/>
      <c r="H268" s="1018"/>
      <c r="I268" s="659">
        <f>ROUND(Trial_2Cut[[#This Row],[Net]]/10^3,2)</f>
        <v>0</v>
      </c>
      <c r="J268" s="475" t="s">
        <v>617</v>
      </c>
      <c r="K268" s="475" t="str">
        <f>'Sch - liab'!$A$31</f>
        <v>Unsecured from others</v>
      </c>
      <c r="L26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8" s="475"/>
    </row>
    <row r="269" spans="1:13">
      <c r="A269" s="446" t="s">
        <v>621</v>
      </c>
      <c r="B269" s="446" t="s">
        <v>1774</v>
      </c>
      <c r="C269" s="446" t="s">
        <v>1785</v>
      </c>
      <c r="D269" s="412" t="s">
        <v>708</v>
      </c>
      <c r="E269" s="1017"/>
      <c r="F269" s="1018"/>
      <c r="G269" s="1018"/>
      <c r="H269" s="1018"/>
      <c r="I269" s="659">
        <f>ROUND(Trial_2Cut[[#This Row],[Net]]/10^3,2)</f>
        <v>0</v>
      </c>
      <c r="J269" s="475" t="s">
        <v>617</v>
      </c>
      <c r="K269" s="475" t="str">
        <f>'Sch - liab'!$A$31</f>
        <v>Unsecured from others</v>
      </c>
      <c r="L26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69" s="475"/>
    </row>
    <row r="270" spans="1:13">
      <c r="A270" s="446" t="s">
        <v>621</v>
      </c>
      <c r="B270" s="446" t="s">
        <v>1774</v>
      </c>
      <c r="C270" s="446" t="s">
        <v>1785</v>
      </c>
      <c r="D270" s="412" t="s">
        <v>709</v>
      </c>
      <c r="E270" s="1017"/>
      <c r="F270" s="1018"/>
      <c r="G270" s="1018"/>
      <c r="H270" s="1018"/>
      <c r="I270" s="659">
        <f>ROUND(Trial_2Cut[[#This Row],[Net]]/10^3,2)</f>
        <v>0</v>
      </c>
      <c r="J270" s="475" t="s">
        <v>1845</v>
      </c>
      <c r="K270" s="475" t="s">
        <v>1836</v>
      </c>
      <c r="L27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0" s="475"/>
    </row>
    <row r="271" spans="1:13">
      <c r="A271" s="446" t="s">
        <v>621</v>
      </c>
      <c r="B271" s="446" t="s">
        <v>1774</v>
      </c>
      <c r="C271" s="446" t="s">
        <v>1785</v>
      </c>
      <c r="D271" s="412" t="s">
        <v>710</v>
      </c>
      <c r="E271" s="1017"/>
      <c r="F271" s="1018"/>
      <c r="G271" s="1018"/>
      <c r="H271" s="1018"/>
      <c r="I271" s="659">
        <f>ROUND(Trial_2Cut[[#This Row],[Net]]/10^3,2)</f>
        <v>0</v>
      </c>
      <c r="J271" s="475" t="s">
        <v>617</v>
      </c>
      <c r="K271" s="475" t="str">
        <f>'Sch - liab'!$A$31</f>
        <v>Unsecured from others</v>
      </c>
      <c r="L27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1" s="475"/>
    </row>
    <row r="272" spans="1:13">
      <c r="A272" s="446" t="s">
        <v>621</v>
      </c>
      <c r="B272" s="446" t="s">
        <v>1774</v>
      </c>
      <c r="C272" s="446" t="s">
        <v>1785</v>
      </c>
      <c r="D272" s="412" t="s">
        <v>711</v>
      </c>
      <c r="E272" s="1017"/>
      <c r="F272" s="1018"/>
      <c r="G272" s="1018"/>
      <c r="H272" s="1018"/>
      <c r="I272" s="659">
        <f>ROUND(Trial_2Cut[[#This Row],[Net]]/10^3,2)</f>
        <v>0</v>
      </c>
      <c r="J272" s="475" t="s">
        <v>1845</v>
      </c>
      <c r="K272" s="475" t="s">
        <v>1836</v>
      </c>
      <c r="L27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2" s="475"/>
    </row>
    <row r="273" spans="1:13">
      <c r="A273" s="446" t="s">
        <v>621</v>
      </c>
      <c r="B273" s="446" t="s">
        <v>1774</v>
      </c>
      <c r="C273" s="446" t="s">
        <v>422</v>
      </c>
      <c r="D273" s="412" t="s">
        <v>712</v>
      </c>
      <c r="E273" s="1017"/>
      <c r="F273" s="1018"/>
      <c r="G273" s="1018"/>
      <c r="H273" s="1018"/>
      <c r="I273" s="659">
        <f>ROUND(Trial_2Cut[[#This Row],[Net]]/10^3,2)</f>
        <v>0</v>
      </c>
      <c r="J273" s="475" t="s">
        <v>216</v>
      </c>
      <c r="K273" s="475" t="s">
        <v>1839</v>
      </c>
      <c r="L27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3" s="475"/>
    </row>
    <row r="274" spans="1:13">
      <c r="A274" s="446" t="s">
        <v>621</v>
      </c>
      <c r="B274" s="446" t="s">
        <v>1774</v>
      </c>
      <c r="C274" s="446" t="s">
        <v>422</v>
      </c>
      <c r="D274" s="412" t="s">
        <v>713</v>
      </c>
      <c r="E274" s="1017"/>
      <c r="F274" s="1018"/>
      <c r="G274" s="1018"/>
      <c r="H274" s="1018"/>
      <c r="I274" s="659">
        <f>ROUND(Trial_2Cut[[#This Row],[Net]]/10^3,2)</f>
        <v>0</v>
      </c>
      <c r="J274" s="475" t="s">
        <v>216</v>
      </c>
      <c r="K274" s="475" t="s">
        <v>1839</v>
      </c>
      <c r="L27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4" s="475"/>
    </row>
    <row r="275" spans="1:13">
      <c r="A275" s="446" t="s">
        <v>621</v>
      </c>
      <c r="B275" s="446" t="s">
        <v>1774</v>
      </c>
      <c r="C275" s="446" t="s">
        <v>422</v>
      </c>
      <c r="D275" s="412" t="s">
        <v>714</v>
      </c>
      <c r="E275" s="1017"/>
      <c r="F275" s="1018"/>
      <c r="G275" s="1018"/>
      <c r="H275" s="1018"/>
      <c r="I275" s="659">
        <f>ROUND(Trial_2Cut[[#This Row],[Net]]/10^3,2)</f>
        <v>0</v>
      </c>
      <c r="J275" s="475" t="s">
        <v>216</v>
      </c>
      <c r="K275" s="475" t="s">
        <v>1839</v>
      </c>
      <c r="L27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5" s="475"/>
    </row>
    <row r="276" spans="1:13">
      <c r="A276" s="446" t="s">
        <v>621</v>
      </c>
      <c r="B276" s="446" t="s">
        <v>1774</v>
      </c>
      <c r="C276" s="446" t="s">
        <v>422</v>
      </c>
      <c r="D276" s="412" t="s">
        <v>715</v>
      </c>
      <c r="E276" s="1017"/>
      <c r="F276" s="1018"/>
      <c r="G276" s="1018"/>
      <c r="H276" s="1018"/>
      <c r="I276" s="659">
        <f>ROUND(Trial_2Cut[[#This Row],[Net]]/10^3,2)</f>
        <v>0</v>
      </c>
      <c r="J276" s="475" t="s">
        <v>216</v>
      </c>
      <c r="K276" s="475" t="s">
        <v>1839</v>
      </c>
      <c r="L27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6" s="475"/>
    </row>
    <row r="277" spans="1:13">
      <c r="A277" s="446" t="s">
        <v>621</v>
      </c>
      <c r="B277" s="446" t="s">
        <v>1774</v>
      </c>
      <c r="C277" s="446" t="s">
        <v>422</v>
      </c>
      <c r="D277" s="412" t="s">
        <v>716</v>
      </c>
      <c r="E277" s="1017"/>
      <c r="F277" s="1018"/>
      <c r="G277" s="1018"/>
      <c r="H277" s="1018"/>
      <c r="I277" s="659">
        <f>ROUND(Trial_2Cut[[#This Row],[Net]]/10^3,2)</f>
        <v>0</v>
      </c>
      <c r="J277" s="475" t="s">
        <v>216</v>
      </c>
      <c r="K277" s="475" t="s">
        <v>1839</v>
      </c>
      <c r="L27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7" s="475"/>
    </row>
    <row r="278" spans="1:13">
      <c r="A278" s="446" t="s">
        <v>621</v>
      </c>
      <c r="B278" s="446" t="s">
        <v>1774</v>
      </c>
      <c r="C278" s="446" t="s">
        <v>422</v>
      </c>
      <c r="D278" s="412" t="s">
        <v>717</v>
      </c>
      <c r="E278" s="1017"/>
      <c r="F278" s="1018"/>
      <c r="G278" s="1018"/>
      <c r="H278" s="1018"/>
      <c r="I278" s="659">
        <f>ROUND(Trial_2Cut[[#This Row],[Net]]/10^3,2)</f>
        <v>0</v>
      </c>
      <c r="J278" s="475" t="s">
        <v>216</v>
      </c>
      <c r="K278" s="475" t="s">
        <v>1839</v>
      </c>
      <c r="L27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8" s="475"/>
    </row>
    <row r="279" spans="1:13">
      <c r="A279" s="446" t="s">
        <v>621</v>
      </c>
      <c r="B279" s="446" t="s">
        <v>1774</v>
      </c>
      <c r="C279" s="446" t="s">
        <v>422</v>
      </c>
      <c r="D279" s="412" t="s">
        <v>718</v>
      </c>
      <c r="E279" s="1017"/>
      <c r="F279" s="1018"/>
      <c r="G279" s="1018"/>
      <c r="H279" s="1018"/>
      <c r="I279" s="659">
        <f>ROUND(Trial_2Cut[[#This Row],[Net]]/10^3,2)</f>
        <v>0</v>
      </c>
      <c r="J279" s="475" t="s">
        <v>216</v>
      </c>
      <c r="K279" s="475" t="s">
        <v>1839</v>
      </c>
      <c r="L27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79" s="475"/>
    </row>
    <row r="280" spans="1:13">
      <c r="A280" s="446" t="s">
        <v>621</v>
      </c>
      <c r="B280" s="446" t="s">
        <v>1774</v>
      </c>
      <c r="C280" s="446" t="s">
        <v>422</v>
      </c>
      <c r="D280" s="412" t="s">
        <v>719</v>
      </c>
      <c r="E280" s="1017"/>
      <c r="F280" s="1018"/>
      <c r="G280" s="1018"/>
      <c r="H280" s="1018"/>
      <c r="I280" s="659">
        <f>ROUND(Trial_2Cut[[#This Row],[Net]]/10^3,2)</f>
        <v>0</v>
      </c>
      <c r="J280" s="475" t="s">
        <v>216</v>
      </c>
      <c r="K280" s="475" t="s">
        <v>1839</v>
      </c>
      <c r="L28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0" s="475"/>
    </row>
    <row r="281" spans="1:13">
      <c r="A281" s="446" t="s">
        <v>621</v>
      </c>
      <c r="B281" s="446" t="s">
        <v>1774</v>
      </c>
      <c r="C281" s="446" t="s">
        <v>422</v>
      </c>
      <c r="D281" s="412" t="s">
        <v>720</v>
      </c>
      <c r="E281" s="1017"/>
      <c r="F281" s="1018"/>
      <c r="G281" s="1018"/>
      <c r="H281" s="1018"/>
      <c r="I281" s="659">
        <f>ROUND(Trial_2Cut[[#This Row],[Net]]/10^3,2)</f>
        <v>0</v>
      </c>
      <c r="J281" s="475" t="s">
        <v>216</v>
      </c>
      <c r="K281" s="475" t="s">
        <v>1839</v>
      </c>
      <c r="L28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1" s="475"/>
    </row>
    <row r="282" spans="1:13">
      <c r="A282" s="446" t="s">
        <v>621</v>
      </c>
      <c r="B282" s="446" t="s">
        <v>1774</v>
      </c>
      <c r="C282" s="446" t="s">
        <v>422</v>
      </c>
      <c r="D282" s="412" t="s">
        <v>721</v>
      </c>
      <c r="E282" s="1017"/>
      <c r="F282" s="1018"/>
      <c r="G282" s="1018"/>
      <c r="H282" s="1018"/>
      <c r="I282" s="659">
        <f>ROUND(Trial_2Cut[[#This Row],[Net]]/10^3,2)</f>
        <v>0</v>
      </c>
      <c r="J282" s="475" t="s">
        <v>216</v>
      </c>
      <c r="K282" s="475" t="s">
        <v>1839</v>
      </c>
      <c r="L28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2" s="475"/>
    </row>
    <row r="283" spans="1:13">
      <c r="A283" s="446" t="s">
        <v>621</v>
      </c>
      <c r="B283" s="446" t="s">
        <v>1774</v>
      </c>
      <c r="C283" s="446" t="s">
        <v>422</v>
      </c>
      <c r="D283" s="412" t="s">
        <v>722</v>
      </c>
      <c r="E283" s="1017"/>
      <c r="F283" s="1018"/>
      <c r="G283" s="1018"/>
      <c r="H283" s="1018"/>
      <c r="I283" s="659">
        <f>ROUND(Trial_2Cut[[#This Row],[Net]]/10^3,2)</f>
        <v>0</v>
      </c>
      <c r="J283" s="475" t="s">
        <v>216</v>
      </c>
      <c r="K283" s="475" t="s">
        <v>1839</v>
      </c>
      <c r="L28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3" s="475"/>
    </row>
    <row r="284" spans="1:13">
      <c r="A284" s="446" t="s">
        <v>621</v>
      </c>
      <c r="B284" s="446" t="s">
        <v>1774</v>
      </c>
      <c r="C284" s="446" t="s">
        <v>422</v>
      </c>
      <c r="D284" s="412" t="s">
        <v>723</v>
      </c>
      <c r="E284" s="1017"/>
      <c r="F284" s="1018"/>
      <c r="G284" s="1018"/>
      <c r="H284" s="1018"/>
      <c r="I284" s="659">
        <f>ROUND(Trial_2Cut[[#This Row],[Net]]/10^3,2)</f>
        <v>0</v>
      </c>
      <c r="J284" s="475" t="s">
        <v>216</v>
      </c>
      <c r="K284" s="475" t="s">
        <v>1839</v>
      </c>
      <c r="L28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4" s="475"/>
    </row>
    <row r="285" spans="1:13">
      <c r="A285" s="446" t="s">
        <v>621</v>
      </c>
      <c r="B285" s="446" t="s">
        <v>1774</v>
      </c>
      <c r="C285" s="446" t="s">
        <v>422</v>
      </c>
      <c r="D285" s="412" t="s">
        <v>724</v>
      </c>
      <c r="E285" s="1017"/>
      <c r="F285" s="1018"/>
      <c r="G285" s="1018"/>
      <c r="H285" s="1018"/>
      <c r="I285" s="659">
        <f>ROUND(Trial_2Cut[[#This Row],[Net]]/10^3,2)</f>
        <v>0</v>
      </c>
      <c r="J285" s="475" t="s">
        <v>216</v>
      </c>
      <c r="K285" s="475" t="s">
        <v>1839</v>
      </c>
      <c r="L28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5" s="475"/>
    </row>
    <row r="286" spans="1:13">
      <c r="A286" s="446" t="s">
        <v>621</v>
      </c>
      <c r="B286" s="446" t="s">
        <v>1774</v>
      </c>
      <c r="C286" s="446" t="s">
        <v>422</v>
      </c>
      <c r="D286" s="412" t="s">
        <v>725</v>
      </c>
      <c r="E286" s="1017"/>
      <c r="F286" s="1018"/>
      <c r="G286" s="1018"/>
      <c r="H286" s="1018"/>
      <c r="I286" s="659">
        <f>ROUND(Trial_2Cut[[#This Row],[Net]]/10^3,2)</f>
        <v>0</v>
      </c>
      <c r="J286" s="475" t="s">
        <v>216</v>
      </c>
      <c r="K286" s="475" t="s">
        <v>1839</v>
      </c>
      <c r="L28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6" s="475"/>
    </row>
    <row r="287" spans="1:13">
      <c r="A287" s="446" t="s">
        <v>621</v>
      </c>
      <c r="B287" s="446" t="s">
        <v>1774</v>
      </c>
      <c r="C287" s="446" t="s">
        <v>422</v>
      </c>
      <c r="D287" s="412" t="s">
        <v>726</v>
      </c>
      <c r="E287" s="1017"/>
      <c r="F287" s="1018"/>
      <c r="G287" s="1018"/>
      <c r="H287" s="1018"/>
      <c r="I287" s="659">
        <f>ROUND(Trial_2Cut[[#This Row],[Net]]/10^3,2)</f>
        <v>0</v>
      </c>
      <c r="J287" s="475" t="s">
        <v>216</v>
      </c>
      <c r="K287" s="475" t="s">
        <v>1839</v>
      </c>
      <c r="L28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7" s="475"/>
    </row>
    <row r="288" spans="1:13">
      <c r="A288" s="446" t="s">
        <v>621</v>
      </c>
      <c r="B288" s="446" t="s">
        <v>1774</v>
      </c>
      <c r="C288" s="446" t="s">
        <v>422</v>
      </c>
      <c r="D288" s="412" t="s">
        <v>727</v>
      </c>
      <c r="E288" s="1017"/>
      <c r="F288" s="1018"/>
      <c r="G288" s="1018"/>
      <c r="H288" s="1018"/>
      <c r="I288" s="659">
        <f>ROUND(Trial_2Cut[[#This Row],[Net]]/10^3,2)</f>
        <v>0</v>
      </c>
      <c r="J288" s="475" t="s">
        <v>216</v>
      </c>
      <c r="K288" s="475" t="s">
        <v>1839</v>
      </c>
      <c r="L28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8" s="475"/>
    </row>
    <row r="289" spans="1:13">
      <c r="A289" s="446" t="s">
        <v>621</v>
      </c>
      <c r="B289" s="446" t="s">
        <v>1774</v>
      </c>
      <c r="C289" s="446" t="s">
        <v>422</v>
      </c>
      <c r="D289" s="412" t="s">
        <v>728</v>
      </c>
      <c r="E289" s="1017"/>
      <c r="F289" s="1018"/>
      <c r="G289" s="1018"/>
      <c r="H289" s="1018"/>
      <c r="I289" s="659">
        <f>ROUND(Trial_2Cut[[#This Row],[Net]]/10^3,2)</f>
        <v>0</v>
      </c>
      <c r="J289" s="475" t="s">
        <v>216</v>
      </c>
      <c r="K289" s="475" t="s">
        <v>1839</v>
      </c>
      <c r="L28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89" s="475"/>
    </row>
    <row r="290" spans="1:13">
      <c r="A290" s="446" t="s">
        <v>621</v>
      </c>
      <c r="B290" s="446" t="s">
        <v>1774</v>
      </c>
      <c r="C290" s="446" t="s">
        <v>422</v>
      </c>
      <c r="D290" s="412" t="s">
        <v>729</v>
      </c>
      <c r="E290" s="1017"/>
      <c r="F290" s="1018"/>
      <c r="G290" s="1018"/>
      <c r="H290" s="1018"/>
      <c r="I290" s="659">
        <f>ROUND(Trial_2Cut[[#This Row],[Net]]/10^3,2)</f>
        <v>0</v>
      </c>
      <c r="J290" s="475" t="s">
        <v>216</v>
      </c>
      <c r="K290" s="475" t="s">
        <v>1839</v>
      </c>
      <c r="L29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0" s="475"/>
    </row>
    <row r="291" spans="1:13">
      <c r="A291" s="446" t="s">
        <v>621</v>
      </c>
      <c r="B291" s="446" t="s">
        <v>1774</v>
      </c>
      <c r="C291" s="446" t="s">
        <v>422</v>
      </c>
      <c r="D291" s="412" t="s">
        <v>730</v>
      </c>
      <c r="E291" s="1017"/>
      <c r="F291" s="1018"/>
      <c r="G291" s="1018"/>
      <c r="H291" s="1018"/>
      <c r="I291" s="659">
        <f>ROUND(Trial_2Cut[[#This Row],[Net]]/10^3,2)</f>
        <v>0</v>
      </c>
      <c r="J291" s="475" t="s">
        <v>216</v>
      </c>
      <c r="K291" s="475" t="s">
        <v>1839</v>
      </c>
      <c r="L29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1" s="475"/>
    </row>
    <row r="292" spans="1:13">
      <c r="A292" s="446" t="s">
        <v>621</v>
      </c>
      <c r="B292" s="446" t="s">
        <v>1774</v>
      </c>
      <c r="C292" s="446" t="s">
        <v>422</v>
      </c>
      <c r="D292" s="412" t="s">
        <v>731</v>
      </c>
      <c r="E292" s="1017"/>
      <c r="F292" s="1018"/>
      <c r="G292" s="1018"/>
      <c r="H292" s="1018"/>
      <c r="I292" s="659">
        <f>ROUND(Trial_2Cut[[#This Row],[Net]]/10^3,2)</f>
        <v>0</v>
      </c>
      <c r="J292" s="475" t="s">
        <v>216</v>
      </c>
      <c r="K292" s="475" t="s">
        <v>1839</v>
      </c>
      <c r="L29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2" s="475"/>
    </row>
    <row r="293" spans="1:13">
      <c r="A293" s="446" t="s">
        <v>621</v>
      </c>
      <c r="B293" s="446" t="s">
        <v>1774</v>
      </c>
      <c r="C293" s="446" t="s">
        <v>422</v>
      </c>
      <c r="D293" s="412" t="s">
        <v>732</v>
      </c>
      <c r="E293" s="1017"/>
      <c r="F293" s="1018"/>
      <c r="G293" s="1018"/>
      <c r="H293" s="1018"/>
      <c r="I293" s="659">
        <f>ROUND(Trial_2Cut[[#This Row],[Net]]/10^3,2)</f>
        <v>0</v>
      </c>
      <c r="J293" s="475" t="s">
        <v>216</v>
      </c>
      <c r="K293" s="475" t="s">
        <v>1839</v>
      </c>
      <c r="L29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3" s="475"/>
    </row>
    <row r="294" spans="1:13">
      <c r="A294" s="446" t="s">
        <v>621</v>
      </c>
      <c r="B294" s="446" t="s">
        <v>1774</v>
      </c>
      <c r="C294" s="446" t="s">
        <v>422</v>
      </c>
      <c r="D294" s="412" t="s">
        <v>733</v>
      </c>
      <c r="E294" s="1017"/>
      <c r="F294" s="1018"/>
      <c r="G294" s="1018"/>
      <c r="H294" s="1018"/>
      <c r="I294" s="659">
        <f>ROUND(Trial_2Cut[[#This Row],[Net]]/10^3,2)</f>
        <v>0</v>
      </c>
      <c r="J294" s="475" t="s">
        <v>216</v>
      </c>
      <c r="K294" s="475" t="s">
        <v>1839</v>
      </c>
      <c r="L29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4" s="475"/>
    </row>
    <row r="295" spans="1:13">
      <c r="A295" s="446" t="s">
        <v>621</v>
      </c>
      <c r="B295" s="446" t="s">
        <v>1774</v>
      </c>
      <c r="C295" s="446" t="s">
        <v>422</v>
      </c>
      <c r="D295" s="412" t="s">
        <v>734</v>
      </c>
      <c r="E295" s="1017"/>
      <c r="F295" s="1018"/>
      <c r="G295" s="1018"/>
      <c r="H295" s="1018"/>
      <c r="I295" s="659">
        <f>ROUND(Trial_2Cut[[#This Row],[Net]]/10^3,2)</f>
        <v>0</v>
      </c>
      <c r="J295" s="475" t="s">
        <v>216</v>
      </c>
      <c r="K295" s="475" t="s">
        <v>1839</v>
      </c>
      <c r="L29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5" s="475"/>
    </row>
    <row r="296" spans="1:13">
      <c r="A296" s="446" t="s">
        <v>621</v>
      </c>
      <c r="B296" s="446" t="s">
        <v>1774</v>
      </c>
      <c r="C296" s="446" t="s">
        <v>422</v>
      </c>
      <c r="D296" s="412" t="s">
        <v>735</v>
      </c>
      <c r="E296" s="1017"/>
      <c r="F296" s="1018"/>
      <c r="G296" s="1018"/>
      <c r="H296" s="1018"/>
      <c r="I296" s="659">
        <f>ROUND(Trial_2Cut[[#This Row],[Net]]/10^3,2)</f>
        <v>0</v>
      </c>
      <c r="J296" s="475" t="s">
        <v>216</v>
      </c>
      <c r="K296" s="475" t="s">
        <v>1839</v>
      </c>
      <c r="L29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6" s="475"/>
    </row>
    <row r="297" spans="1:13">
      <c r="A297" s="446" t="s">
        <v>621</v>
      </c>
      <c r="B297" s="446" t="s">
        <v>1774</v>
      </c>
      <c r="C297" s="446" t="s">
        <v>625</v>
      </c>
      <c r="D297" s="412" t="s">
        <v>736</v>
      </c>
      <c r="E297" s="1017"/>
      <c r="F297" s="1018"/>
      <c r="G297" s="1018"/>
      <c r="H297" s="1018"/>
      <c r="I297" s="659">
        <f>ROUND(Trial_2Cut[[#This Row],[Net]]/10^3,2)</f>
        <v>0</v>
      </c>
      <c r="J297" s="447" t="s">
        <v>625</v>
      </c>
      <c r="K297" s="447" t="str">
        <f>'Sch-Debtor_Creditors'!$A$12</f>
        <v>Total trade payables</v>
      </c>
      <c r="L29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7" s="475"/>
    </row>
    <row r="298" spans="1:13">
      <c r="A298" s="446" t="s">
        <v>621</v>
      </c>
      <c r="B298" s="446" t="s">
        <v>1774</v>
      </c>
      <c r="C298" s="446" t="s">
        <v>625</v>
      </c>
      <c r="D298" s="412" t="s">
        <v>737</v>
      </c>
      <c r="E298" s="1017"/>
      <c r="F298" s="1018"/>
      <c r="G298" s="1018"/>
      <c r="H298" s="1018"/>
      <c r="I298" s="659">
        <f>ROUND(Trial_2Cut[[#This Row],[Net]]/10^3,2)</f>
        <v>0</v>
      </c>
      <c r="J298" s="475"/>
      <c r="K298" s="475"/>
      <c r="L29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8" s="475"/>
    </row>
    <row r="299" spans="1:13">
      <c r="A299" s="446" t="s">
        <v>621</v>
      </c>
      <c r="B299" s="446" t="s">
        <v>1774</v>
      </c>
      <c r="C299" s="446" t="s">
        <v>625</v>
      </c>
      <c r="D299" s="412" t="s">
        <v>738</v>
      </c>
      <c r="E299" s="1017"/>
      <c r="F299" s="1018"/>
      <c r="G299" s="1018"/>
      <c r="H299" s="1018"/>
      <c r="I299" s="659">
        <f>ROUND(Trial_2Cut[[#This Row],[Net]]/10^3,2)</f>
        <v>0</v>
      </c>
      <c r="J299" s="475"/>
      <c r="K299" s="475"/>
      <c r="L29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299" s="475"/>
    </row>
    <row r="300" spans="1:13">
      <c r="A300" s="446" t="s">
        <v>621</v>
      </c>
      <c r="B300" s="446" t="s">
        <v>1774</v>
      </c>
      <c r="C300" s="446" t="s">
        <v>625</v>
      </c>
      <c r="D300" s="412" t="s">
        <v>739</v>
      </c>
      <c r="E300" s="1017"/>
      <c r="F300" s="1018"/>
      <c r="G300" s="1018"/>
      <c r="H300" s="1018"/>
      <c r="I300" s="659">
        <f>ROUND(Trial_2Cut[[#This Row],[Net]]/10^3,2)</f>
        <v>0</v>
      </c>
      <c r="J300" s="475"/>
      <c r="K300" s="475"/>
      <c r="L30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0" s="475"/>
    </row>
    <row r="301" spans="1:13">
      <c r="A301" s="446" t="s">
        <v>621</v>
      </c>
      <c r="B301" s="446" t="s">
        <v>1774</v>
      </c>
      <c r="C301" s="446" t="s">
        <v>625</v>
      </c>
      <c r="D301" s="412" t="s">
        <v>740</v>
      </c>
      <c r="E301" s="1017"/>
      <c r="F301" s="1018"/>
      <c r="G301" s="1018"/>
      <c r="H301" s="1018"/>
      <c r="I301" s="659">
        <f>ROUND(Trial_2Cut[[#This Row],[Net]]/10^3,2)</f>
        <v>0</v>
      </c>
      <c r="J301" s="475"/>
      <c r="K301" s="475"/>
      <c r="L30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1" s="475"/>
    </row>
    <row r="302" spans="1:13">
      <c r="A302" s="446" t="s">
        <v>621</v>
      </c>
      <c r="B302" s="446" t="s">
        <v>1774</v>
      </c>
      <c r="C302" s="446" t="s">
        <v>625</v>
      </c>
      <c r="D302" s="412" t="s">
        <v>741</v>
      </c>
      <c r="E302" s="1017"/>
      <c r="F302" s="1018"/>
      <c r="G302" s="1018"/>
      <c r="H302" s="1018"/>
      <c r="I302" s="659">
        <f>ROUND(Trial_2Cut[[#This Row],[Net]]/10^3,2)</f>
        <v>0</v>
      </c>
      <c r="J302" s="475"/>
      <c r="K302" s="475"/>
      <c r="L30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2" s="475"/>
    </row>
    <row r="303" spans="1:13">
      <c r="A303" s="446" t="s">
        <v>621</v>
      </c>
      <c r="B303" s="446" t="s">
        <v>1774</v>
      </c>
      <c r="C303" s="446" t="s">
        <v>625</v>
      </c>
      <c r="D303" s="412" t="s">
        <v>742</v>
      </c>
      <c r="E303" s="1017"/>
      <c r="F303" s="1018"/>
      <c r="G303" s="1018"/>
      <c r="H303" s="1018"/>
      <c r="I303" s="659">
        <f>ROUND(Trial_2Cut[[#This Row],[Net]]/10^3,2)</f>
        <v>0</v>
      </c>
      <c r="J303" s="475"/>
      <c r="K303" s="475"/>
      <c r="L30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3" s="475"/>
    </row>
    <row r="304" spans="1:13">
      <c r="A304" s="446" t="s">
        <v>621</v>
      </c>
      <c r="B304" s="446" t="s">
        <v>1774</v>
      </c>
      <c r="C304" s="446" t="s">
        <v>625</v>
      </c>
      <c r="D304" s="412" t="s">
        <v>743</v>
      </c>
      <c r="E304" s="1017"/>
      <c r="F304" s="1018"/>
      <c r="G304" s="1018"/>
      <c r="H304" s="1018"/>
      <c r="I304" s="659">
        <f>ROUND(Trial_2Cut[[#This Row],[Net]]/10^3,2)</f>
        <v>0</v>
      </c>
      <c r="J304" s="475"/>
      <c r="K304" s="475"/>
      <c r="L30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4" s="475"/>
    </row>
    <row r="305" spans="1:13">
      <c r="A305" s="446" t="s">
        <v>621</v>
      </c>
      <c r="B305" s="446" t="s">
        <v>1774</v>
      </c>
      <c r="C305" s="446" t="s">
        <v>625</v>
      </c>
      <c r="D305" s="412" t="s">
        <v>744</v>
      </c>
      <c r="E305" s="1017"/>
      <c r="F305" s="1018"/>
      <c r="G305" s="1018"/>
      <c r="H305" s="1018"/>
      <c r="I305" s="659">
        <f>ROUND(Trial_2Cut[[#This Row],[Net]]/10^3,2)</f>
        <v>0</v>
      </c>
      <c r="J305" s="475"/>
      <c r="K305" s="475"/>
      <c r="L30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5" s="475"/>
    </row>
    <row r="306" spans="1:13">
      <c r="A306" s="446" t="s">
        <v>621</v>
      </c>
      <c r="B306" s="446" t="s">
        <v>1774</v>
      </c>
      <c r="C306" s="446" t="s">
        <v>625</v>
      </c>
      <c r="D306" s="412" t="s">
        <v>745</v>
      </c>
      <c r="E306" s="1017"/>
      <c r="F306" s="1018"/>
      <c r="G306" s="1018"/>
      <c r="H306" s="1018"/>
      <c r="I306" s="659">
        <f>ROUND(Trial_2Cut[[#This Row],[Net]]/10^3,2)</f>
        <v>0</v>
      </c>
      <c r="J306" s="475"/>
      <c r="K306" s="475"/>
      <c r="L30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6" s="475"/>
    </row>
    <row r="307" spans="1:13">
      <c r="A307" s="446" t="s">
        <v>621</v>
      </c>
      <c r="B307" s="446" t="s">
        <v>1774</v>
      </c>
      <c r="C307" s="446" t="s">
        <v>625</v>
      </c>
      <c r="D307" s="412" t="s">
        <v>746</v>
      </c>
      <c r="E307" s="1017"/>
      <c r="F307" s="1018"/>
      <c r="G307" s="1018"/>
      <c r="H307" s="1018"/>
      <c r="I307" s="659">
        <f>ROUND(Trial_2Cut[[#This Row],[Net]]/10^3,2)</f>
        <v>0</v>
      </c>
      <c r="J307" s="475"/>
      <c r="K307" s="475"/>
      <c r="L30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7" s="475"/>
    </row>
    <row r="308" spans="1:13">
      <c r="A308" s="446" t="s">
        <v>621</v>
      </c>
      <c r="B308" s="446" t="s">
        <v>1774</v>
      </c>
      <c r="C308" s="446" t="s">
        <v>625</v>
      </c>
      <c r="D308" s="412" t="s">
        <v>747</v>
      </c>
      <c r="E308" s="1017"/>
      <c r="F308" s="1018"/>
      <c r="G308" s="1018"/>
      <c r="H308" s="1018"/>
      <c r="I308" s="659">
        <f>ROUND(Trial_2Cut[[#This Row],[Net]]/10^3,2)</f>
        <v>0</v>
      </c>
      <c r="J308" s="475"/>
      <c r="K308" s="475"/>
      <c r="L30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8" s="475"/>
    </row>
    <row r="309" spans="1:13">
      <c r="A309" s="446" t="s">
        <v>621</v>
      </c>
      <c r="B309" s="446" t="s">
        <v>1774</v>
      </c>
      <c r="C309" s="446" t="s">
        <v>625</v>
      </c>
      <c r="D309" s="412" t="s">
        <v>748</v>
      </c>
      <c r="E309" s="1017"/>
      <c r="F309" s="1018"/>
      <c r="G309" s="1018"/>
      <c r="H309" s="1018"/>
      <c r="I309" s="659">
        <f>ROUND(Trial_2Cut[[#This Row],[Net]]/10^3,2)</f>
        <v>0</v>
      </c>
      <c r="J309" s="475"/>
      <c r="K309" s="475"/>
      <c r="L30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09" s="475"/>
    </row>
    <row r="310" spans="1:13">
      <c r="A310" s="446" t="s">
        <v>621</v>
      </c>
      <c r="B310" s="446" t="s">
        <v>1774</v>
      </c>
      <c r="C310" s="446" t="s">
        <v>625</v>
      </c>
      <c r="D310" s="412" t="s">
        <v>749</v>
      </c>
      <c r="E310" s="1017"/>
      <c r="F310" s="1018"/>
      <c r="G310" s="1018"/>
      <c r="H310" s="1018"/>
      <c r="I310" s="659">
        <f>ROUND(Trial_2Cut[[#This Row],[Net]]/10^3,2)</f>
        <v>0</v>
      </c>
      <c r="J310" s="475"/>
      <c r="K310" s="475"/>
      <c r="L31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0" s="475"/>
    </row>
    <row r="311" spans="1:13">
      <c r="A311" s="446" t="s">
        <v>621</v>
      </c>
      <c r="B311" s="446" t="s">
        <v>1774</v>
      </c>
      <c r="C311" s="446" t="s">
        <v>625</v>
      </c>
      <c r="D311" s="412" t="s">
        <v>750</v>
      </c>
      <c r="E311" s="1017"/>
      <c r="F311" s="1018"/>
      <c r="G311" s="1018"/>
      <c r="H311" s="1018"/>
      <c r="I311" s="659">
        <f>ROUND(Trial_2Cut[[#This Row],[Net]]/10^3,2)</f>
        <v>0</v>
      </c>
      <c r="J311" s="475"/>
      <c r="K311" s="475"/>
      <c r="L31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1" s="475"/>
    </row>
    <row r="312" spans="1:13">
      <c r="A312" s="446" t="s">
        <v>621</v>
      </c>
      <c r="B312" s="446" t="s">
        <v>1774</v>
      </c>
      <c r="C312" s="446" t="s">
        <v>625</v>
      </c>
      <c r="D312" s="412" t="s">
        <v>751</v>
      </c>
      <c r="E312" s="1017"/>
      <c r="F312" s="1018"/>
      <c r="G312" s="1018"/>
      <c r="H312" s="1018"/>
      <c r="I312" s="659">
        <f>ROUND(Trial_2Cut[[#This Row],[Net]]/10^3,2)</f>
        <v>0</v>
      </c>
      <c r="J312" s="475"/>
      <c r="K312" s="475"/>
      <c r="L31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2" s="475"/>
    </row>
    <row r="313" spans="1:13">
      <c r="A313" s="446" t="s">
        <v>621</v>
      </c>
      <c r="B313" s="446" t="s">
        <v>1774</v>
      </c>
      <c r="C313" s="446" t="s">
        <v>625</v>
      </c>
      <c r="D313" s="412" t="s">
        <v>752</v>
      </c>
      <c r="E313" s="1017"/>
      <c r="F313" s="1018"/>
      <c r="G313" s="1018"/>
      <c r="H313" s="1018"/>
      <c r="I313" s="659">
        <f>ROUND(Trial_2Cut[[#This Row],[Net]]/10^3,2)</f>
        <v>0</v>
      </c>
      <c r="J313" s="447" t="s">
        <v>625</v>
      </c>
      <c r="K313" s="447" t="str">
        <f>'Sch-Debtor_Creditors'!$A$12</f>
        <v>Total trade payables</v>
      </c>
      <c r="L31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3" s="475"/>
    </row>
    <row r="314" spans="1:13">
      <c r="A314" s="446" t="s">
        <v>621</v>
      </c>
      <c r="B314" s="446" t="s">
        <v>1774</v>
      </c>
      <c r="C314" s="446" t="s">
        <v>625</v>
      </c>
      <c r="D314" s="412" t="s">
        <v>753</v>
      </c>
      <c r="E314" s="1017"/>
      <c r="F314" s="1018"/>
      <c r="G314" s="1018"/>
      <c r="H314" s="1018"/>
      <c r="I314" s="659">
        <f>ROUND(Trial_2Cut[[#This Row],[Net]]/10^3,2)</f>
        <v>0</v>
      </c>
      <c r="J314" s="475"/>
      <c r="K314" s="475"/>
      <c r="L31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4" s="475"/>
    </row>
    <row r="315" spans="1:13">
      <c r="A315" s="446" t="s">
        <v>621</v>
      </c>
      <c r="B315" s="446" t="s">
        <v>1774</v>
      </c>
      <c r="C315" s="446" t="s">
        <v>625</v>
      </c>
      <c r="D315" s="412" t="s">
        <v>754</v>
      </c>
      <c r="E315" s="1017"/>
      <c r="F315" s="1018"/>
      <c r="G315" s="1018"/>
      <c r="H315" s="1018"/>
      <c r="I315" s="659">
        <f>ROUND(Trial_2Cut[[#This Row],[Net]]/10^3,2)</f>
        <v>0</v>
      </c>
      <c r="J315" s="475"/>
      <c r="K315" s="475"/>
      <c r="L31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5" s="475"/>
    </row>
    <row r="316" spans="1:13">
      <c r="A316" s="446" t="s">
        <v>621</v>
      </c>
      <c r="B316" s="446" t="s">
        <v>1774</v>
      </c>
      <c r="C316" s="446" t="s">
        <v>625</v>
      </c>
      <c r="D316" s="412" t="s">
        <v>755</v>
      </c>
      <c r="E316" s="1017"/>
      <c r="F316" s="1018"/>
      <c r="G316" s="1018"/>
      <c r="H316" s="1018"/>
      <c r="I316" s="659">
        <f>ROUND(Trial_2Cut[[#This Row],[Net]]/10^3,2)</f>
        <v>0</v>
      </c>
      <c r="J316" s="475"/>
      <c r="K316" s="475"/>
      <c r="L31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6" s="475"/>
    </row>
    <row r="317" spans="1:13">
      <c r="A317" s="446" t="s">
        <v>621</v>
      </c>
      <c r="B317" s="446" t="s">
        <v>1774</v>
      </c>
      <c r="C317" s="446" t="s">
        <v>625</v>
      </c>
      <c r="D317" s="412" t="s">
        <v>756</v>
      </c>
      <c r="E317" s="1017"/>
      <c r="F317" s="1018"/>
      <c r="G317" s="1018"/>
      <c r="H317" s="1018"/>
      <c r="I317" s="659">
        <f>ROUND(Trial_2Cut[[#This Row],[Net]]/10^3,2)</f>
        <v>0</v>
      </c>
      <c r="J317" s="475"/>
      <c r="K317" s="475"/>
      <c r="L31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7" s="475"/>
    </row>
    <row r="318" spans="1:13">
      <c r="A318" s="446" t="s">
        <v>621</v>
      </c>
      <c r="B318" s="446" t="s">
        <v>1774</v>
      </c>
      <c r="C318" s="446" t="s">
        <v>625</v>
      </c>
      <c r="D318" s="412" t="s">
        <v>757</v>
      </c>
      <c r="E318" s="1017"/>
      <c r="F318" s="1018"/>
      <c r="G318" s="1018"/>
      <c r="H318" s="1018"/>
      <c r="I318" s="659">
        <f>ROUND(Trial_2Cut[[#This Row],[Net]]/10^3,2)</f>
        <v>0</v>
      </c>
      <c r="J318" s="475"/>
      <c r="K318" s="475"/>
      <c r="L31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8" s="475"/>
    </row>
    <row r="319" spans="1:13">
      <c r="A319" s="446" t="s">
        <v>621</v>
      </c>
      <c r="B319" s="446" t="s">
        <v>1774</v>
      </c>
      <c r="C319" s="446" t="s">
        <v>625</v>
      </c>
      <c r="D319" s="412" t="s">
        <v>758</v>
      </c>
      <c r="E319" s="1017"/>
      <c r="F319" s="1018"/>
      <c r="G319" s="1018"/>
      <c r="H319" s="1018"/>
      <c r="I319" s="659">
        <f>ROUND(Trial_2Cut[[#This Row],[Net]]/10^3,2)</f>
        <v>0</v>
      </c>
      <c r="J319" s="475"/>
      <c r="K319" s="475"/>
      <c r="L31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19" s="475"/>
    </row>
    <row r="320" spans="1:13">
      <c r="A320" s="446" t="s">
        <v>621</v>
      </c>
      <c r="B320" s="446" t="s">
        <v>1774</v>
      </c>
      <c r="C320" s="446" t="s">
        <v>625</v>
      </c>
      <c r="D320" s="412" t="s">
        <v>759</v>
      </c>
      <c r="E320" s="1017"/>
      <c r="F320" s="1018"/>
      <c r="G320" s="1018"/>
      <c r="H320" s="1018"/>
      <c r="I320" s="659">
        <f>ROUND(Trial_2Cut[[#This Row],[Net]]/10^3,2)</f>
        <v>0</v>
      </c>
      <c r="J320" s="475"/>
      <c r="K320" s="475"/>
      <c r="L32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0" s="475"/>
    </row>
    <row r="321" spans="1:13">
      <c r="A321" s="446" t="s">
        <v>621</v>
      </c>
      <c r="B321" s="446" t="s">
        <v>1774</v>
      </c>
      <c r="C321" s="446" t="s">
        <v>625</v>
      </c>
      <c r="D321" s="412" t="s">
        <v>760</v>
      </c>
      <c r="E321" s="1017"/>
      <c r="F321" s="1018"/>
      <c r="G321" s="1018"/>
      <c r="H321" s="1018"/>
      <c r="I321" s="659">
        <f>ROUND(Trial_2Cut[[#This Row],[Net]]/10^3,2)</f>
        <v>0</v>
      </c>
      <c r="J321" s="475"/>
      <c r="K321" s="475"/>
      <c r="L32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1" s="475"/>
    </row>
    <row r="322" spans="1:13">
      <c r="A322" s="446" t="s">
        <v>621</v>
      </c>
      <c r="B322" s="446" t="s">
        <v>1774</v>
      </c>
      <c r="C322" s="446" t="s">
        <v>625</v>
      </c>
      <c r="D322" s="412" t="s">
        <v>761</v>
      </c>
      <c r="E322" s="1017"/>
      <c r="F322" s="1018"/>
      <c r="G322" s="1018"/>
      <c r="H322" s="1018"/>
      <c r="I322" s="659">
        <f>ROUND(Trial_2Cut[[#This Row],[Net]]/10^3,2)</f>
        <v>0</v>
      </c>
      <c r="J322" s="447" t="s">
        <v>625</v>
      </c>
      <c r="K322" s="447" t="str">
        <f>'Sch-Debtor_Creditors'!$A$12</f>
        <v>Total trade payables</v>
      </c>
      <c r="L32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2" s="475"/>
    </row>
    <row r="323" spans="1:13">
      <c r="A323" s="446" t="s">
        <v>621</v>
      </c>
      <c r="B323" s="446" t="s">
        <v>1774</v>
      </c>
      <c r="C323" s="446" t="s">
        <v>625</v>
      </c>
      <c r="D323" s="412" t="s">
        <v>762</v>
      </c>
      <c r="E323" s="1017"/>
      <c r="F323" s="1018"/>
      <c r="G323" s="1018"/>
      <c r="H323" s="1018"/>
      <c r="I323" s="659">
        <f>ROUND(Trial_2Cut[[#This Row],[Net]]/10^3,2)</f>
        <v>0</v>
      </c>
      <c r="J323" s="475"/>
      <c r="K323" s="475"/>
      <c r="L32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3" s="475"/>
    </row>
    <row r="324" spans="1:13">
      <c r="A324" s="446" t="s">
        <v>621</v>
      </c>
      <c r="B324" s="446" t="s">
        <v>1774</v>
      </c>
      <c r="C324" s="446" t="s">
        <v>625</v>
      </c>
      <c r="D324" s="412" t="s">
        <v>763</v>
      </c>
      <c r="E324" s="1017"/>
      <c r="F324" s="1018"/>
      <c r="G324" s="1018"/>
      <c r="H324" s="1018"/>
      <c r="I324" s="659">
        <f>ROUND(Trial_2Cut[[#This Row],[Net]]/10^3,2)</f>
        <v>0</v>
      </c>
      <c r="J324" s="475"/>
      <c r="K324" s="475"/>
      <c r="L32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4" s="475"/>
    </row>
    <row r="325" spans="1:13">
      <c r="A325" s="446" t="s">
        <v>621</v>
      </c>
      <c r="B325" s="446" t="s">
        <v>1774</v>
      </c>
      <c r="C325" s="446" t="s">
        <v>625</v>
      </c>
      <c r="D325" s="412" t="s">
        <v>764</v>
      </c>
      <c r="E325" s="1017"/>
      <c r="F325" s="1018"/>
      <c r="G325" s="1018"/>
      <c r="H325" s="1018"/>
      <c r="I325" s="659">
        <f>ROUND(Trial_2Cut[[#This Row],[Net]]/10^3,2)</f>
        <v>0</v>
      </c>
      <c r="J325" s="475"/>
      <c r="K325" s="475"/>
      <c r="L32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5" s="475"/>
    </row>
    <row r="326" spans="1:13">
      <c r="A326" s="446" t="s">
        <v>621</v>
      </c>
      <c r="B326" s="446" t="s">
        <v>1774</v>
      </c>
      <c r="C326" s="446" t="s">
        <v>625</v>
      </c>
      <c r="D326" s="412" t="s">
        <v>765</v>
      </c>
      <c r="E326" s="1017"/>
      <c r="F326" s="1018"/>
      <c r="G326" s="1018"/>
      <c r="H326" s="1018"/>
      <c r="I326" s="659">
        <f>ROUND(Trial_2Cut[[#This Row],[Net]]/10^3,2)</f>
        <v>0</v>
      </c>
      <c r="J326" s="475"/>
      <c r="K326" s="475"/>
      <c r="L32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6" s="475"/>
    </row>
    <row r="327" spans="1:13">
      <c r="A327" s="446" t="s">
        <v>621</v>
      </c>
      <c r="B327" s="446" t="s">
        <v>1774</v>
      </c>
      <c r="C327" s="446" t="s">
        <v>625</v>
      </c>
      <c r="D327" s="412" t="s">
        <v>766</v>
      </c>
      <c r="E327" s="1017"/>
      <c r="F327" s="1018"/>
      <c r="G327" s="1018"/>
      <c r="H327" s="1018"/>
      <c r="I327" s="659">
        <f>ROUND(Trial_2Cut[[#This Row],[Net]]/10^3,2)</f>
        <v>0</v>
      </c>
      <c r="J327" s="475"/>
      <c r="K327" s="475"/>
      <c r="L32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7" s="475"/>
    </row>
    <row r="328" spans="1:13">
      <c r="A328" s="446" t="s">
        <v>621</v>
      </c>
      <c r="B328" s="446" t="s">
        <v>1774</v>
      </c>
      <c r="C328" s="446" t="s">
        <v>625</v>
      </c>
      <c r="D328" s="412" t="s">
        <v>767</v>
      </c>
      <c r="E328" s="1017"/>
      <c r="F328" s="1018"/>
      <c r="G328" s="1018"/>
      <c r="H328" s="1018"/>
      <c r="I328" s="659">
        <f>ROUND(Trial_2Cut[[#This Row],[Net]]/10^3,2)</f>
        <v>0</v>
      </c>
      <c r="J328" s="475"/>
      <c r="K328" s="475"/>
      <c r="L32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8" s="475"/>
    </row>
    <row r="329" spans="1:13">
      <c r="A329" s="446" t="s">
        <v>621</v>
      </c>
      <c r="B329" s="446" t="s">
        <v>1774</v>
      </c>
      <c r="C329" s="446" t="s">
        <v>625</v>
      </c>
      <c r="D329" s="412" t="s">
        <v>768</v>
      </c>
      <c r="E329" s="1017"/>
      <c r="F329" s="1018"/>
      <c r="G329" s="1018"/>
      <c r="H329" s="1018"/>
      <c r="I329" s="659">
        <f>ROUND(Trial_2Cut[[#This Row],[Net]]/10^3,2)</f>
        <v>0</v>
      </c>
      <c r="J329" s="475"/>
      <c r="K329" s="475"/>
      <c r="L32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29" s="475"/>
    </row>
    <row r="330" spans="1:13">
      <c r="A330" s="446" t="s">
        <v>621</v>
      </c>
      <c r="B330" s="446" t="s">
        <v>1774</v>
      </c>
      <c r="C330" s="446" t="s">
        <v>625</v>
      </c>
      <c r="D330" s="412" t="s">
        <v>769</v>
      </c>
      <c r="E330" s="1017"/>
      <c r="F330" s="1018"/>
      <c r="G330" s="1018"/>
      <c r="H330" s="1018"/>
      <c r="I330" s="659">
        <f>ROUND(Trial_2Cut[[#This Row],[Net]]/10^3,2)</f>
        <v>0</v>
      </c>
      <c r="J330" s="475"/>
      <c r="K330" s="475"/>
      <c r="L33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0" s="475"/>
    </row>
    <row r="331" spans="1:13">
      <c r="A331" s="446" t="s">
        <v>621</v>
      </c>
      <c r="B331" s="446" t="s">
        <v>1774</v>
      </c>
      <c r="C331" s="446" t="s">
        <v>625</v>
      </c>
      <c r="D331" s="412" t="s">
        <v>770</v>
      </c>
      <c r="E331" s="1017"/>
      <c r="F331" s="1018"/>
      <c r="G331" s="1018"/>
      <c r="H331" s="1018"/>
      <c r="I331" s="659">
        <f>ROUND(Trial_2Cut[[#This Row],[Net]]/10^3,2)</f>
        <v>0</v>
      </c>
      <c r="J331" s="475"/>
      <c r="K331" s="475"/>
      <c r="L33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1" s="475"/>
    </row>
    <row r="332" spans="1:13">
      <c r="A332" s="446" t="s">
        <v>621</v>
      </c>
      <c r="B332" s="446" t="s">
        <v>1774</v>
      </c>
      <c r="C332" s="446" t="s">
        <v>625</v>
      </c>
      <c r="D332" s="412" t="s">
        <v>771</v>
      </c>
      <c r="E332" s="1017"/>
      <c r="F332" s="1018"/>
      <c r="G332" s="1018"/>
      <c r="H332" s="1018"/>
      <c r="I332" s="659">
        <f>ROUND(Trial_2Cut[[#This Row],[Net]]/10^3,2)</f>
        <v>0</v>
      </c>
      <c r="J332" s="475"/>
      <c r="K332" s="475"/>
      <c r="L33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2" s="475"/>
    </row>
    <row r="333" spans="1:13">
      <c r="A333" s="446" t="s">
        <v>621</v>
      </c>
      <c r="B333" s="446" t="s">
        <v>1774</v>
      </c>
      <c r="C333" s="446" t="s">
        <v>625</v>
      </c>
      <c r="D333" s="412" t="s">
        <v>772</v>
      </c>
      <c r="E333" s="1017"/>
      <c r="F333" s="1018"/>
      <c r="G333" s="1018"/>
      <c r="H333" s="1018"/>
      <c r="I333" s="659">
        <f>ROUND(Trial_2Cut[[#This Row],[Net]]/10^3,2)</f>
        <v>0</v>
      </c>
      <c r="J333" s="475"/>
      <c r="K333" s="475"/>
      <c r="L33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3" s="475"/>
    </row>
    <row r="334" spans="1:13">
      <c r="A334" s="446" t="s">
        <v>621</v>
      </c>
      <c r="B334" s="446" t="s">
        <v>1774</v>
      </c>
      <c r="C334" s="446" t="s">
        <v>625</v>
      </c>
      <c r="D334" s="412" t="s">
        <v>773</v>
      </c>
      <c r="E334" s="1017"/>
      <c r="F334" s="1018"/>
      <c r="G334" s="1018"/>
      <c r="H334" s="1018"/>
      <c r="I334" s="659">
        <f>ROUND(Trial_2Cut[[#This Row],[Net]]/10^3,2)</f>
        <v>0</v>
      </c>
      <c r="J334" s="475"/>
      <c r="K334" s="475"/>
      <c r="L33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4" s="475"/>
    </row>
    <row r="335" spans="1:13">
      <c r="A335" s="446" t="s">
        <v>621</v>
      </c>
      <c r="B335" s="446" t="s">
        <v>1774</v>
      </c>
      <c r="C335" s="446" t="s">
        <v>625</v>
      </c>
      <c r="D335" s="412" t="s">
        <v>774</v>
      </c>
      <c r="E335" s="1017"/>
      <c r="F335" s="1018"/>
      <c r="G335" s="1018"/>
      <c r="H335" s="1018"/>
      <c r="I335" s="659">
        <f>ROUND(Trial_2Cut[[#This Row],[Net]]/10^3,2)</f>
        <v>0</v>
      </c>
      <c r="J335" s="475"/>
      <c r="K335" s="475"/>
      <c r="L33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5" s="475"/>
    </row>
    <row r="336" spans="1:13">
      <c r="A336" s="446" t="s">
        <v>621</v>
      </c>
      <c r="B336" s="446" t="s">
        <v>1774</v>
      </c>
      <c r="C336" s="446" t="s">
        <v>625</v>
      </c>
      <c r="D336" s="412" t="s">
        <v>775</v>
      </c>
      <c r="E336" s="1017"/>
      <c r="F336" s="1018"/>
      <c r="G336" s="1018"/>
      <c r="H336" s="1018"/>
      <c r="I336" s="659">
        <f>ROUND(Trial_2Cut[[#This Row],[Net]]/10^3,2)</f>
        <v>0</v>
      </c>
      <c r="J336" s="475"/>
      <c r="K336" s="475"/>
      <c r="L33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6" s="475"/>
    </row>
    <row r="337" spans="1:13">
      <c r="A337" s="446" t="s">
        <v>621</v>
      </c>
      <c r="B337" s="446" t="s">
        <v>1774</v>
      </c>
      <c r="C337" s="446" t="s">
        <v>628</v>
      </c>
      <c r="D337" s="412" t="s">
        <v>776</v>
      </c>
      <c r="E337" s="1017"/>
      <c r="F337" s="1018"/>
      <c r="G337" s="1018"/>
      <c r="H337" s="1018"/>
      <c r="I337" s="659">
        <f>ROUND(Trial_2Cut[[#This Row],[Net]]/10^3,2)</f>
        <v>0</v>
      </c>
      <c r="J337" s="447" t="s">
        <v>624</v>
      </c>
      <c r="K337" s="475" t="s">
        <v>279</v>
      </c>
      <c r="L33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7" s="475"/>
    </row>
    <row r="338" spans="1:13">
      <c r="A338" s="446" t="s">
        <v>621</v>
      </c>
      <c r="B338" s="446" t="s">
        <v>1774</v>
      </c>
      <c r="C338" s="446" t="s">
        <v>628</v>
      </c>
      <c r="D338" s="412" t="s">
        <v>777</v>
      </c>
      <c r="E338" s="1017"/>
      <c r="F338" s="1018"/>
      <c r="G338" s="1018"/>
      <c r="H338" s="1018"/>
      <c r="I338" s="659">
        <f>ROUND(Trial_2Cut[[#This Row],[Net]]/10^3,2)</f>
        <v>0</v>
      </c>
      <c r="J338" s="475" t="s">
        <v>628</v>
      </c>
      <c r="K338" s="475" t="str">
        <f>'Sch - liab'!$A$74</f>
        <v>Other Current Liabilities</v>
      </c>
      <c r="L33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8" s="475"/>
    </row>
    <row r="339" spans="1:13">
      <c r="A339" s="446" t="s">
        <v>621</v>
      </c>
      <c r="B339" s="446" t="s">
        <v>1774</v>
      </c>
      <c r="C339" s="446" t="s">
        <v>628</v>
      </c>
      <c r="D339" s="412" t="s">
        <v>778</v>
      </c>
      <c r="E339" s="1017"/>
      <c r="F339" s="1018"/>
      <c r="G339" s="1018"/>
      <c r="H339" s="1018"/>
      <c r="I339" s="659">
        <f>ROUND(Trial_2Cut[[#This Row],[Net]]/10^3,2)</f>
        <v>0</v>
      </c>
      <c r="J339" s="447" t="s">
        <v>624</v>
      </c>
      <c r="K339" s="475" t="s">
        <v>279</v>
      </c>
      <c r="L33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39" s="475"/>
    </row>
    <row r="340" spans="1:13">
      <c r="A340" s="446" t="s">
        <v>621</v>
      </c>
      <c r="B340" s="446" t="s">
        <v>1774</v>
      </c>
      <c r="C340" s="446" t="s">
        <v>628</v>
      </c>
      <c r="D340" s="412" t="s">
        <v>779</v>
      </c>
      <c r="E340" s="1017"/>
      <c r="F340" s="1018"/>
      <c r="G340" s="1018"/>
      <c r="H340" s="1018"/>
      <c r="I340" s="659">
        <f>ROUND(Trial_2Cut[[#This Row],[Net]]/10^3,2)</f>
        <v>0</v>
      </c>
      <c r="J340" s="475" t="s">
        <v>1845</v>
      </c>
      <c r="K340" s="475" t="s">
        <v>1836</v>
      </c>
      <c r="L34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0" s="475"/>
    </row>
    <row r="341" spans="1:13">
      <c r="A341" s="446" t="s">
        <v>621</v>
      </c>
      <c r="B341" s="446" t="s">
        <v>1774</v>
      </c>
      <c r="C341" s="446" t="s">
        <v>628</v>
      </c>
      <c r="D341" s="412" t="s">
        <v>780</v>
      </c>
      <c r="E341" s="1017"/>
      <c r="F341" s="1018"/>
      <c r="G341" s="1018"/>
      <c r="H341" s="1018"/>
      <c r="I341" s="659">
        <f>ROUND(Trial_2Cut[[#This Row],[Net]]/10^3,2)</f>
        <v>0</v>
      </c>
      <c r="J341" s="447" t="s">
        <v>624</v>
      </c>
      <c r="K341" s="475" t="s">
        <v>279</v>
      </c>
      <c r="L34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1" s="475"/>
    </row>
    <row r="342" spans="1:13">
      <c r="A342" s="446" t="s">
        <v>621</v>
      </c>
      <c r="B342" s="446" t="s">
        <v>1774</v>
      </c>
      <c r="C342" s="446" t="s">
        <v>628</v>
      </c>
      <c r="D342" s="412" t="s">
        <v>781</v>
      </c>
      <c r="E342" s="1017"/>
      <c r="F342" s="1018"/>
      <c r="G342" s="1018"/>
      <c r="H342" s="1018"/>
      <c r="I342" s="659">
        <f>ROUND(Trial_2Cut[[#This Row],[Net]]/10^3,2)</f>
        <v>0</v>
      </c>
      <c r="J342" s="475" t="s">
        <v>628</v>
      </c>
      <c r="K342" s="475" t="str">
        <f>'Sch - liab'!$A$74</f>
        <v>Other Current Liabilities</v>
      </c>
      <c r="L34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2" s="475"/>
    </row>
    <row r="343" spans="1:13">
      <c r="A343" s="446" t="s">
        <v>621</v>
      </c>
      <c r="B343" s="446" t="s">
        <v>1774</v>
      </c>
      <c r="C343" s="446" t="s">
        <v>628</v>
      </c>
      <c r="D343" s="412" t="s">
        <v>616</v>
      </c>
      <c r="E343" s="1017"/>
      <c r="F343" s="1018"/>
      <c r="G343" s="1018"/>
      <c r="H343" s="1018"/>
      <c r="I343" s="659">
        <f>ROUND(Trial_2Cut[[#This Row],[Net]]/10^3,2)</f>
        <v>0</v>
      </c>
      <c r="J343" s="447" t="s">
        <v>624</v>
      </c>
      <c r="K343" s="447" t="s">
        <v>401</v>
      </c>
      <c r="L34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3" s="475"/>
    </row>
    <row r="344" spans="1:13">
      <c r="A344" s="446" t="s">
        <v>621</v>
      </c>
      <c r="B344" s="446" t="s">
        <v>1774</v>
      </c>
      <c r="C344" s="446" t="s">
        <v>628</v>
      </c>
      <c r="D344" s="412" t="s">
        <v>782</v>
      </c>
      <c r="E344" s="1017"/>
      <c r="F344" s="1018"/>
      <c r="G344" s="1018"/>
      <c r="H344" s="1018"/>
      <c r="I344" s="659">
        <f>ROUND(Trial_2Cut[[#This Row],[Net]]/10^3,2)</f>
        <v>0</v>
      </c>
      <c r="J344" s="447" t="s">
        <v>624</v>
      </c>
      <c r="K344" s="447" t="s">
        <v>401</v>
      </c>
      <c r="L34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4" s="475"/>
    </row>
    <row r="345" spans="1:13">
      <c r="A345" s="446" t="s">
        <v>621</v>
      </c>
      <c r="B345" s="446" t="s">
        <v>1774</v>
      </c>
      <c r="C345" s="446" t="s">
        <v>628</v>
      </c>
      <c r="D345" s="412" t="s">
        <v>783</v>
      </c>
      <c r="E345" s="1017"/>
      <c r="F345" s="1018"/>
      <c r="G345" s="1018"/>
      <c r="H345" s="1018"/>
      <c r="I345" s="659">
        <f>ROUND(Trial_2Cut[[#This Row],[Net]]/10^3,2)</f>
        <v>0</v>
      </c>
      <c r="J345" s="447" t="s">
        <v>624</v>
      </c>
      <c r="K345" s="475" t="s">
        <v>279</v>
      </c>
      <c r="L34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5" s="475"/>
    </row>
    <row r="346" spans="1:13">
      <c r="A346" s="446" t="s">
        <v>621</v>
      </c>
      <c r="B346" s="446" t="s">
        <v>1774</v>
      </c>
      <c r="C346" s="446" t="s">
        <v>628</v>
      </c>
      <c r="D346" s="412" t="s">
        <v>784</v>
      </c>
      <c r="E346" s="1017"/>
      <c r="F346" s="1018"/>
      <c r="G346" s="1018"/>
      <c r="H346" s="1018"/>
      <c r="I346" s="659">
        <f>ROUND(Trial_2Cut[[#This Row],[Net]]/10^3,2)</f>
        <v>0</v>
      </c>
      <c r="J346" s="475" t="s">
        <v>628</v>
      </c>
      <c r="K346" s="475" t="str">
        <f>'Sch - liab'!$A$74</f>
        <v>Other Current Liabilities</v>
      </c>
      <c r="L34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6" s="475"/>
    </row>
    <row r="347" spans="1:13">
      <c r="A347" s="446" t="s">
        <v>427</v>
      </c>
      <c r="B347" s="446" t="s">
        <v>1774</v>
      </c>
      <c r="C347" s="446" t="s">
        <v>428</v>
      </c>
      <c r="D347" s="412" t="s">
        <v>785</v>
      </c>
      <c r="E347" s="1017"/>
      <c r="F347" s="1018"/>
      <c r="G347" s="1018"/>
      <c r="H347" s="1018"/>
      <c r="I347" s="659">
        <f>ROUND(Trial_2Cut[[#This Row],[Net]]/10^3,2)</f>
        <v>0</v>
      </c>
      <c r="J347" s="447" t="s">
        <v>1762</v>
      </c>
      <c r="K347" s="447" t="s">
        <v>1762</v>
      </c>
      <c r="L34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7" s="475"/>
    </row>
    <row r="348" spans="1:13">
      <c r="A348" s="446" t="s">
        <v>427</v>
      </c>
      <c r="B348" s="446" t="s">
        <v>1774</v>
      </c>
      <c r="C348" s="446" t="s">
        <v>428</v>
      </c>
      <c r="D348" s="412" t="s">
        <v>786</v>
      </c>
      <c r="E348" s="1017"/>
      <c r="F348" s="1018"/>
      <c r="G348" s="1018"/>
      <c r="H348" s="1018"/>
      <c r="I348" s="659">
        <f>ROUND(Trial_2Cut[[#This Row],[Net]]/10^3,2)</f>
        <v>0</v>
      </c>
      <c r="J348" s="447" t="s">
        <v>1762</v>
      </c>
      <c r="K348" s="447" t="s">
        <v>1762</v>
      </c>
      <c r="L34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8" s="475"/>
    </row>
    <row r="349" spans="1:13">
      <c r="A349" s="446" t="s">
        <v>427</v>
      </c>
      <c r="B349" s="446" t="s">
        <v>1774</v>
      </c>
      <c r="C349" s="446" t="s">
        <v>428</v>
      </c>
      <c r="D349" s="412" t="s">
        <v>787</v>
      </c>
      <c r="E349" s="1017"/>
      <c r="F349" s="1018"/>
      <c r="G349" s="1018"/>
      <c r="H349" s="1018"/>
      <c r="I349" s="659">
        <f>ROUND(Trial_2Cut[[#This Row],[Net]]/10^3,2)</f>
        <v>0</v>
      </c>
      <c r="J349" s="447" t="s">
        <v>1762</v>
      </c>
      <c r="K349" s="447" t="s">
        <v>1762</v>
      </c>
      <c r="L34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49" s="475"/>
    </row>
    <row r="350" spans="1:13">
      <c r="A350" s="446" t="s">
        <v>427</v>
      </c>
      <c r="B350" s="446" t="s">
        <v>1774</v>
      </c>
      <c r="C350" s="446" t="s">
        <v>428</v>
      </c>
      <c r="D350" s="412" t="s">
        <v>788</v>
      </c>
      <c r="E350" s="1017"/>
      <c r="F350" s="1018"/>
      <c r="G350" s="1018"/>
      <c r="H350" s="1018"/>
      <c r="I350" s="659">
        <f>ROUND(Trial_2Cut[[#This Row],[Net]]/10^3,2)</f>
        <v>0</v>
      </c>
      <c r="J350" s="447" t="s">
        <v>1762</v>
      </c>
      <c r="K350" s="447" t="s">
        <v>1762</v>
      </c>
      <c r="L35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0" s="475"/>
    </row>
    <row r="351" spans="1:13">
      <c r="A351" s="446" t="s">
        <v>427</v>
      </c>
      <c r="B351" s="446" t="s">
        <v>1774</v>
      </c>
      <c r="C351" s="446" t="s">
        <v>428</v>
      </c>
      <c r="D351" s="412" t="s">
        <v>789</v>
      </c>
      <c r="E351" s="1017"/>
      <c r="F351" s="1018"/>
      <c r="G351" s="1018"/>
      <c r="H351" s="1018"/>
      <c r="I351" s="659">
        <f>ROUND(Trial_2Cut[[#This Row],[Net]]/10^3,2)</f>
        <v>0</v>
      </c>
      <c r="J351" s="447" t="s">
        <v>1762</v>
      </c>
      <c r="K351" s="447" t="s">
        <v>1762</v>
      </c>
      <c r="L35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1" s="475"/>
    </row>
    <row r="352" spans="1:13">
      <c r="A352" s="446" t="s">
        <v>427</v>
      </c>
      <c r="B352" s="446" t="s">
        <v>1774</v>
      </c>
      <c r="C352" s="446" t="s">
        <v>428</v>
      </c>
      <c r="D352" s="412" t="s">
        <v>790</v>
      </c>
      <c r="E352" s="1017"/>
      <c r="F352" s="1018"/>
      <c r="G352" s="1018"/>
      <c r="H352" s="1018"/>
      <c r="I352" s="659">
        <f>ROUND(Trial_2Cut[[#This Row],[Net]]/10^3,2)</f>
        <v>0</v>
      </c>
      <c r="J352" s="447" t="s">
        <v>1762</v>
      </c>
      <c r="K352" s="447" t="s">
        <v>1762</v>
      </c>
      <c r="L35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2" s="475"/>
    </row>
    <row r="353" spans="1:13">
      <c r="A353" s="446" t="s">
        <v>427</v>
      </c>
      <c r="B353" s="446" t="s">
        <v>1774</v>
      </c>
      <c r="C353" s="446" t="s">
        <v>428</v>
      </c>
      <c r="D353" s="412" t="s">
        <v>791</v>
      </c>
      <c r="E353" s="1017"/>
      <c r="F353" s="1018"/>
      <c r="G353" s="1018"/>
      <c r="H353" s="1018"/>
      <c r="I353" s="659">
        <f>ROUND(Trial_2Cut[[#This Row],[Net]]/10^3,2)</f>
        <v>0</v>
      </c>
      <c r="J353" s="447" t="s">
        <v>1762</v>
      </c>
      <c r="K353" s="447" t="s">
        <v>1762</v>
      </c>
      <c r="L35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3" s="475"/>
    </row>
    <row r="354" spans="1:13">
      <c r="A354" s="446" t="s">
        <v>427</v>
      </c>
      <c r="B354" s="446" t="s">
        <v>1774</v>
      </c>
      <c r="C354" s="446" t="s">
        <v>428</v>
      </c>
      <c r="D354" s="412" t="s">
        <v>792</v>
      </c>
      <c r="E354" s="1017"/>
      <c r="F354" s="1018"/>
      <c r="G354" s="1018"/>
      <c r="H354" s="1018"/>
      <c r="I354" s="659">
        <f>ROUND(Trial_2Cut[[#This Row],[Net]]/10^3,2)</f>
        <v>0</v>
      </c>
      <c r="J354" s="447" t="s">
        <v>1762</v>
      </c>
      <c r="K354" s="447" t="s">
        <v>1762</v>
      </c>
      <c r="L35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4" s="475"/>
    </row>
    <row r="355" spans="1:13">
      <c r="A355" s="446" t="s">
        <v>427</v>
      </c>
      <c r="B355" s="446" t="s">
        <v>1774</v>
      </c>
      <c r="C355" s="446" t="s">
        <v>428</v>
      </c>
      <c r="D355" s="412" t="s">
        <v>793</v>
      </c>
      <c r="E355" s="1017"/>
      <c r="F355" s="1018"/>
      <c r="G355" s="1018"/>
      <c r="H355" s="1018"/>
      <c r="I355" s="659">
        <f>ROUND(Trial_2Cut[[#This Row],[Net]]/10^3,2)</f>
        <v>0</v>
      </c>
      <c r="J355" s="447" t="s">
        <v>1762</v>
      </c>
      <c r="K355" s="447" t="s">
        <v>1762</v>
      </c>
      <c r="L35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5" s="475"/>
    </row>
    <row r="356" spans="1:13">
      <c r="A356" s="446" t="s">
        <v>427</v>
      </c>
      <c r="B356" s="446" t="s">
        <v>1774</v>
      </c>
      <c r="C356" s="446" t="s">
        <v>428</v>
      </c>
      <c r="D356" s="412" t="s">
        <v>794</v>
      </c>
      <c r="E356" s="1017"/>
      <c r="F356" s="1018"/>
      <c r="G356" s="1018"/>
      <c r="H356" s="1018"/>
      <c r="I356" s="659">
        <f>ROUND(Trial_2Cut[[#This Row],[Net]]/10^3,2)</f>
        <v>0</v>
      </c>
      <c r="J356" s="447" t="s">
        <v>1762</v>
      </c>
      <c r="K356" s="447" t="s">
        <v>1762</v>
      </c>
      <c r="L35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6" s="475"/>
    </row>
    <row r="357" spans="1:13">
      <c r="A357" s="446" t="s">
        <v>427</v>
      </c>
      <c r="B357" s="446" t="s">
        <v>1774</v>
      </c>
      <c r="C357" s="446" t="s">
        <v>428</v>
      </c>
      <c r="D357" s="412" t="s">
        <v>795</v>
      </c>
      <c r="E357" s="1017"/>
      <c r="F357" s="1018"/>
      <c r="G357" s="1018"/>
      <c r="H357" s="1018"/>
      <c r="I357" s="659">
        <f>ROUND(Trial_2Cut[[#This Row],[Net]]/10^3,2)</f>
        <v>0</v>
      </c>
      <c r="J357" s="447" t="s">
        <v>1762</v>
      </c>
      <c r="K357" s="447" t="s">
        <v>1762</v>
      </c>
      <c r="L35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7" s="475"/>
    </row>
    <row r="358" spans="1:13">
      <c r="A358" s="446" t="s">
        <v>427</v>
      </c>
      <c r="B358" s="446" t="s">
        <v>1774</v>
      </c>
      <c r="C358" s="446" t="s">
        <v>428</v>
      </c>
      <c r="D358" s="412" t="s">
        <v>796</v>
      </c>
      <c r="E358" s="1017"/>
      <c r="F358" s="1018"/>
      <c r="G358" s="1018"/>
      <c r="H358" s="1018"/>
      <c r="I358" s="659">
        <f>ROUND(Trial_2Cut[[#This Row],[Net]]/10^3,2)</f>
        <v>0</v>
      </c>
      <c r="J358" s="447" t="s">
        <v>1762</v>
      </c>
      <c r="K358" s="447" t="s">
        <v>1762</v>
      </c>
      <c r="L35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8" s="475"/>
    </row>
    <row r="359" spans="1:13">
      <c r="A359" s="446" t="s">
        <v>427</v>
      </c>
      <c r="B359" s="446" t="s">
        <v>1774</v>
      </c>
      <c r="C359" s="446" t="s">
        <v>428</v>
      </c>
      <c r="D359" s="412" t="s">
        <v>797</v>
      </c>
      <c r="E359" s="1017"/>
      <c r="F359" s="1018"/>
      <c r="G359" s="1018"/>
      <c r="H359" s="1018"/>
      <c r="I359" s="659">
        <f>ROUND(Trial_2Cut[[#This Row],[Net]]/10^3,2)</f>
        <v>0</v>
      </c>
      <c r="J359" s="447" t="s">
        <v>1762</v>
      </c>
      <c r="K359" s="447" t="s">
        <v>1762</v>
      </c>
      <c r="L35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59" s="475"/>
    </row>
    <row r="360" spans="1:13">
      <c r="A360" s="446" t="s">
        <v>427</v>
      </c>
      <c r="B360" s="446" t="s">
        <v>1774</v>
      </c>
      <c r="C360" s="446" t="s">
        <v>428</v>
      </c>
      <c r="D360" s="412" t="s">
        <v>798</v>
      </c>
      <c r="E360" s="1017"/>
      <c r="F360" s="1018"/>
      <c r="G360" s="1018"/>
      <c r="H360" s="1018"/>
      <c r="I360" s="659">
        <f>ROUND(Trial_2Cut[[#This Row],[Net]]/10^3,2)</f>
        <v>0</v>
      </c>
      <c r="J360" s="447" t="s">
        <v>1762</v>
      </c>
      <c r="K360" s="447" t="s">
        <v>1762</v>
      </c>
      <c r="L36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0" s="475"/>
    </row>
    <row r="361" spans="1:13">
      <c r="A361" s="446" t="s">
        <v>427</v>
      </c>
      <c r="B361" s="446" t="s">
        <v>1774</v>
      </c>
      <c r="C361" s="446" t="s">
        <v>448</v>
      </c>
      <c r="D361" s="412" t="s">
        <v>799</v>
      </c>
      <c r="E361" s="1017"/>
      <c r="F361" s="1018"/>
      <c r="G361" s="1018"/>
      <c r="H361" s="1018"/>
      <c r="I361" s="659">
        <f>ROUND(Trial_2Cut[[#This Row],[Net]]/10^3,2)</f>
        <v>0</v>
      </c>
      <c r="J361" s="475" t="s">
        <v>1846</v>
      </c>
      <c r="K361" s="475" t="str">
        <f>'Sch - PL'!$A$57</f>
        <v>Finished goods</v>
      </c>
      <c r="L36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1" s="475"/>
    </row>
    <row r="362" spans="1:13">
      <c r="A362" s="446" t="s">
        <v>427</v>
      </c>
      <c r="B362" s="446" t="s">
        <v>1774</v>
      </c>
      <c r="C362" s="446" t="s">
        <v>429</v>
      </c>
      <c r="D362" s="412" t="s">
        <v>800</v>
      </c>
      <c r="E362" s="1017"/>
      <c r="F362" s="1018"/>
      <c r="G362" s="1018"/>
      <c r="H362" s="1018"/>
      <c r="I362" s="659">
        <f>ROUND(Trial_2Cut[[#This Row],[Net]]/10^3,2)</f>
        <v>0</v>
      </c>
      <c r="J362" s="475" t="s">
        <v>429</v>
      </c>
      <c r="K362" s="475" t="str">
        <f>'Sch-Debtor_Creditors'!$A$34</f>
        <v>Total Trade Receivables</v>
      </c>
      <c r="L36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2" s="475"/>
    </row>
    <row r="363" spans="1:13">
      <c r="A363" s="446" t="s">
        <v>427</v>
      </c>
      <c r="B363" s="446" t="s">
        <v>1774</v>
      </c>
      <c r="C363" s="446" t="s">
        <v>448</v>
      </c>
      <c r="D363" s="412" t="s">
        <v>801</v>
      </c>
      <c r="E363" s="1017"/>
      <c r="F363" s="1018"/>
      <c r="G363" s="1018"/>
      <c r="H363" s="1018"/>
      <c r="I363" s="659">
        <f>ROUND(Trial_2Cut[[#This Row],[Net]]/10^3,2)</f>
        <v>0</v>
      </c>
      <c r="J363" s="475"/>
      <c r="K363" s="475"/>
      <c r="L36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3" s="475"/>
    </row>
    <row r="364" spans="1:13">
      <c r="A364" s="446" t="s">
        <v>427</v>
      </c>
      <c r="B364" s="446" t="s">
        <v>1774</v>
      </c>
      <c r="C364" s="446" t="s">
        <v>429</v>
      </c>
      <c r="D364" s="412" t="s">
        <v>802</v>
      </c>
      <c r="E364" s="1017"/>
      <c r="F364" s="1018"/>
      <c r="G364" s="1018"/>
      <c r="H364" s="1018"/>
      <c r="I364" s="659">
        <f>ROUND(Trial_2Cut[[#This Row],[Net]]/10^3,2)</f>
        <v>0</v>
      </c>
      <c r="J364" s="475" t="s">
        <v>429</v>
      </c>
      <c r="K364" s="475" t="str">
        <f>'Sch-Debtor_Creditors'!$A$34</f>
        <v>Total Trade Receivables</v>
      </c>
      <c r="L36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4" s="475"/>
    </row>
    <row r="365" spans="1:13">
      <c r="A365" s="446" t="s">
        <v>427</v>
      </c>
      <c r="B365" s="446" t="s">
        <v>1774</v>
      </c>
      <c r="C365" s="446" t="s">
        <v>448</v>
      </c>
      <c r="D365" s="412" t="s">
        <v>803</v>
      </c>
      <c r="E365" s="1017"/>
      <c r="F365" s="1018"/>
      <c r="G365" s="1018"/>
      <c r="H365" s="1018"/>
      <c r="I365" s="659">
        <f>ROUND(Trial_2Cut[[#This Row],[Net]]/10^3,2)</f>
        <v>0</v>
      </c>
      <c r="J365" s="475"/>
      <c r="K365" s="475"/>
      <c r="L36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5" s="475"/>
    </row>
    <row r="366" spans="1:13">
      <c r="A366" s="446" t="s">
        <v>427</v>
      </c>
      <c r="B366" s="446" t="s">
        <v>1774</v>
      </c>
      <c r="C366" s="446" t="s">
        <v>429</v>
      </c>
      <c r="D366" s="412" t="s">
        <v>804</v>
      </c>
      <c r="E366" s="1017"/>
      <c r="F366" s="1018"/>
      <c r="G366" s="1018"/>
      <c r="H366" s="1018"/>
      <c r="I366" s="659">
        <f>ROUND(Trial_2Cut[[#This Row],[Net]]/10^3,2)</f>
        <v>0</v>
      </c>
      <c r="J366" s="475" t="s">
        <v>429</v>
      </c>
      <c r="K366" s="475" t="str">
        <f>'Sch-Debtor_Creditors'!$A$34</f>
        <v>Total Trade Receivables</v>
      </c>
      <c r="L36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6" s="475"/>
    </row>
    <row r="367" spans="1:13">
      <c r="A367" s="446" t="s">
        <v>427</v>
      </c>
      <c r="B367" s="446" t="s">
        <v>1774</v>
      </c>
      <c r="C367" s="446" t="s">
        <v>448</v>
      </c>
      <c r="D367" s="412" t="s">
        <v>805</v>
      </c>
      <c r="E367" s="1017"/>
      <c r="F367" s="1018"/>
      <c r="G367" s="1018"/>
      <c r="H367" s="1018"/>
      <c r="I367" s="659">
        <f>ROUND(Trial_2Cut[[#This Row],[Net]]/10^3,2)</f>
        <v>0</v>
      </c>
      <c r="J367" s="475"/>
      <c r="K367" s="475"/>
      <c r="L36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7" s="475"/>
    </row>
    <row r="368" spans="1:13">
      <c r="A368" s="446" t="s">
        <v>427</v>
      </c>
      <c r="B368" s="446" t="s">
        <v>1774</v>
      </c>
      <c r="C368" s="446" t="s">
        <v>429</v>
      </c>
      <c r="D368" s="412" t="s">
        <v>806</v>
      </c>
      <c r="E368" s="1017"/>
      <c r="F368" s="1018"/>
      <c r="G368" s="1018"/>
      <c r="H368" s="1018"/>
      <c r="I368" s="659">
        <f>ROUND(Trial_2Cut[[#This Row],[Net]]/10^3,2)</f>
        <v>0</v>
      </c>
      <c r="J368" s="475" t="s">
        <v>429</v>
      </c>
      <c r="K368" s="475" t="str">
        <f>'Sch-Debtor_Creditors'!$A$34</f>
        <v>Total Trade Receivables</v>
      </c>
      <c r="L36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8" s="475"/>
    </row>
    <row r="369" spans="1:13">
      <c r="A369" s="446" t="s">
        <v>427</v>
      </c>
      <c r="B369" s="446" t="s">
        <v>1774</v>
      </c>
      <c r="C369" s="446" t="s">
        <v>429</v>
      </c>
      <c r="D369" s="412" t="s">
        <v>807</v>
      </c>
      <c r="E369" s="1017"/>
      <c r="F369" s="1018"/>
      <c r="G369" s="1018"/>
      <c r="H369" s="1018"/>
      <c r="I369" s="659">
        <f>ROUND(Trial_2Cut[[#This Row],[Net]]/10^3,2)</f>
        <v>0</v>
      </c>
      <c r="J369" s="475" t="s">
        <v>429</v>
      </c>
      <c r="K369" s="475" t="str">
        <f>'Sch-Debtor_Creditors'!$A$34</f>
        <v>Total Trade Receivables</v>
      </c>
      <c r="L36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69" s="475"/>
    </row>
    <row r="370" spans="1:13">
      <c r="A370" s="446" t="s">
        <v>427</v>
      </c>
      <c r="B370" s="446" t="s">
        <v>1774</v>
      </c>
      <c r="C370" s="446" t="s">
        <v>429</v>
      </c>
      <c r="D370" s="412" t="s">
        <v>808</v>
      </c>
      <c r="E370" s="1017"/>
      <c r="F370" s="1018"/>
      <c r="G370" s="1018"/>
      <c r="H370" s="1018"/>
      <c r="I370" s="659">
        <f>ROUND(Trial_2Cut[[#This Row],[Net]]/10^3,2)</f>
        <v>0</v>
      </c>
      <c r="J370" s="475" t="s">
        <v>429</v>
      </c>
      <c r="K370" s="475" t="str">
        <f>'Sch-Debtor_Creditors'!$A$34</f>
        <v>Total Trade Receivables</v>
      </c>
      <c r="L37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0" s="475"/>
    </row>
    <row r="371" spans="1:13">
      <c r="A371" s="446" t="s">
        <v>427</v>
      </c>
      <c r="B371" s="446" t="s">
        <v>1774</v>
      </c>
      <c r="C371" s="446" t="s">
        <v>448</v>
      </c>
      <c r="D371" s="412" t="s">
        <v>809</v>
      </c>
      <c r="E371" s="1017"/>
      <c r="F371" s="1018"/>
      <c r="G371" s="1018"/>
      <c r="H371" s="1018"/>
      <c r="I371" s="659">
        <f>ROUND(Trial_2Cut[[#This Row],[Net]]/10^3,2)</f>
        <v>0</v>
      </c>
      <c r="J371" s="475" t="s">
        <v>629</v>
      </c>
      <c r="K371" s="475" t="str">
        <f>'Sch - assets'!$A$54</f>
        <v>Cash In Hand</v>
      </c>
      <c r="L37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1" s="475"/>
    </row>
    <row r="372" spans="1:13">
      <c r="A372" s="446" t="s">
        <v>427</v>
      </c>
      <c r="B372" s="446" t="s">
        <v>1774</v>
      </c>
      <c r="C372" s="446" t="s">
        <v>448</v>
      </c>
      <c r="D372" s="412" t="s">
        <v>810</v>
      </c>
      <c r="E372" s="1017"/>
      <c r="F372" s="1018"/>
      <c r="G372" s="1018"/>
      <c r="H372" s="1018"/>
      <c r="I372" s="659">
        <f>ROUND(Trial_2Cut[[#This Row],[Net]]/10^3,2)</f>
        <v>0</v>
      </c>
      <c r="J372" s="475"/>
      <c r="K372" s="475"/>
      <c r="L37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2" s="475"/>
    </row>
    <row r="373" spans="1:13">
      <c r="A373" s="446" t="s">
        <v>427</v>
      </c>
      <c r="B373" s="446" t="s">
        <v>1774</v>
      </c>
      <c r="C373" s="446" t="s">
        <v>448</v>
      </c>
      <c r="D373" s="412" t="s">
        <v>811</v>
      </c>
      <c r="E373" s="1017"/>
      <c r="F373" s="1018"/>
      <c r="G373" s="1018"/>
      <c r="H373" s="1018"/>
      <c r="I373" s="659">
        <f>ROUND(Trial_2Cut[[#This Row],[Net]]/10^3,2)</f>
        <v>0</v>
      </c>
      <c r="J373" s="475" t="s">
        <v>629</v>
      </c>
      <c r="K373" s="475" t="str">
        <f>'Sch - assets'!$A$55</f>
        <v>Bank Balance</v>
      </c>
      <c r="L37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3" s="475"/>
    </row>
    <row r="374" spans="1:13">
      <c r="A374" s="446" t="s">
        <v>427</v>
      </c>
      <c r="B374" s="446" t="s">
        <v>1774</v>
      </c>
      <c r="C374" s="446" t="s">
        <v>448</v>
      </c>
      <c r="D374" s="412" t="s">
        <v>812</v>
      </c>
      <c r="E374" s="1017"/>
      <c r="F374" s="1018"/>
      <c r="G374" s="1018"/>
      <c r="H374" s="1018"/>
      <c r="I374" s="659">
        <f>ROUND(Trial_2Cut[[#This Row],[Net]]/10^3,2)</f>
        <v>0</v>
      </c>
      <c r="J374" s="475" t="s">
        <v>629</v>
      </c>
      <c r="K374" s="475" t="str">
        <f>'Sch - assets'!$A$55</f>
        <v>Bank Balance</v>
      </c>
      <c r="L37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4" s="475"/>
    </row>
    <row r="375" spans="1:13">
      <c r="A375" s="446" t="s">
        <v>427</v>
      </c>
      <c r="B375" s="446" t="s">
        <v>1774</v>
      </c>
      <c r="C375" s="446" t="s">
        <v>448</v>
      </c>
      <c r="D375" s="412" t="s">
        <v>813</v>
      </c>
      <c r="E375" s="1017"/>
      <c r="F375" s="1018"/>
      <c r="G375" s="1018"/>
      <c r="H375" s="1018"/>
      <c r="I375" s="659">
        <f>ROUND(Trial_2Cut[[#This Row],[Net]]/10^3,2)</f>
        <v>0</v>
      </c>
      <c r="J375" s="475"/>
      <c r="K375" s="475"/>
      <c r="L37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5" s="475"/>
    </row>
    <row r="376" spans="1:13">
      <c r="A376" s="446" t="s">
        <v>427</v>
      </c>
      <c r="B376" s="446" t="s">
        <v>1774</v>
      </c>
      <c r="C376" s="446" t="s">
        <v>448</v>
      </c>
      <c r="D376" s="412" t="s">
        <v>814</v>
      </c>
      <c r="E376" s="1017"/>
      <c r="F376" s="1018"/>
      <c r="G376" s="1018"/>
      <c r="H376" s="1018"/>
      <c r="I376" s="659">
        <f>ROUND(Trial_2Cut[[#This Row],[Net]]/10^3,2)</f>
        <v>0</v>
      </c>
      <c r="J376" s="475" t="s">
        <v>1844</v>
      </c>
      <c r="K376" s="475" t="s">
        <v>1844</v>
      </c>
      <c r="L37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6" s="475"/>
    </row>
    <row r="377" spans="1:13">
      <c r="A377" s="446" t="s">
        <v>427</v>
      </c>
      <c r="B377" s="446" t="s">
        <v>1774</v>
      </c>
      <c r="C377" s="446" t="s">
        <v>448</v>
      </c>
      <c r="D377" s="412" t="s">
        <v>815</v>
      </c>
      <c r="E377" s="1017"/>
      <c r="F377" s="1018"/>
      <c r="G377" s="1018"/>
      <c r="H377" s="1018"/>
      <c r="I377" s="659">
        <f>ROUND(Trial_2Cut[[#This Row],[Net]]/10^3,2)</f>
        <v>0</v>
      </c>
      <c r="J377" s="475" t="s">
        <v>216</v>
      </c>
      <c r="K377" s="475" t="s">
        <v>1839</v>
      </c>
      <c r="L37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7" s="475"/>
    </row>
    <row r="378" spans="1:13">
      <c r="A378" s="446" t="s">
        <v>427</v>
      </c>
      <c r="B378" s="446" t="s">
        <v>1774</v>
      </c>
      <c r="C378" s="446" t="s">
        <v>448</v>
      </c>
      <c r="D378" s="412" t="s">
        <v>816</v>
      </c>
      <c r="E378" s="1017"/>
      <c r="F378" s="1018"/>
      <c r="G378" s="1018"/>
      <c r="H378" s="1018"/>
      <c r="I378" s="659">
        <f>ROUND(Trial_2Cut[[#This Row],[Net]]/10^3,2)</f>
        <v>0</v>
      </c>
      <c r="J378" s="475" t="s">
        <v>216</v>
      </c>
      <c r="K378" s="475" t="s">
        <v>1839</v>
      </c>
      <c r="L37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8" s="475"/>
    </row>
    <row r="379" spans="1:13">
      <c r="A379" s="446" t="s">
        <v>427</v>
      </c>
      <c r="B379" s="446" t="s">
        <v>1774</v>
      </c>
      <c r="C379" s="446" t="s">
        <v>448</v>
      </c>
      <c r="D379" s="412" t="s">
        <v>817</v>
      </c>
      <c r="E379" s="1017"/>
      <c r="F379" s="1018"/>
      <c r="G379" s="1018"/>
      <c r="H379" s="1018"/>
      <c r="I379" s="659">
        <f>ROUND(Trial_2Cut[[#This Row],[Net]]/10^3,2)</f>
        <v>0</v>
      </c>
      <c r="J379" s="475" t="s">
        <v>216</v>
      </c>
      <c r="K379" s="475" t="str">
        <f>'Sch - assets'!$A$79</f>
        <v>Security with government authorities</v>
      </c>
      <c r="L37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79" s="475"/>
    </row>
    <row r="380" spans="1:13">
      <c r="A380" s="446" t="s">
        <v>427</v>
      </c>
      <c r="B380" s="446" t="s">
        <v>1774</v>
      </c>
      <c r="C380" s="446" t="s">
        <v>448</v>
      </c>
      <c r="D380" s="412" t="s">
        <v>818</v>
      </c>
      <c r="E380" s="1017"/>
      <c r="F380" s="1018"/>
      <c r="G380" s="1018"/>
      <c r="H380" s="1018"/>
      <c r="I380" s="659">
        <f>ROUND(Trial_2Cut[[#This Row],[Net]]/10^3,2)</f>
        <v>0</v>
      </c>
      <c r="J380" s="475" t="s">
        <v>216</v>
      </c>
      <c r="K380" s="475" t="str">
        <f>'Sch - assets'!$A$79</f>
        <v>Security with government authorities</v>
      </c>
      <c r="L38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0" s="475"/>
    </row>
    <row r="381" spans="1:13">
      <c r="A381" s="446" t="s">
        <v>427</v>
      </c>
      <c r="B381" s="446" t="s">
        <v>1774</v>
      </c>
      <c r="C381" s="446" t="s">
        <v>448</v>
      </c>
      <c r="D381" s="412" t="s">
        <v>819</v>
      </c>
      <c r="E381" s="1017"/>
      <c r="F381" s="1018"/>
      <c r="G381" s="1018"/>
      <c r="H381" s="1018"/>
      <c r="I381" s="659">
        <f>ROUND(Trial_2Cut[[#This Row],[Net]]/10^3,2)</f>
        <v>0</v>
      </c>
      <c r="J381" s="475" t="s">
        <v>216</v>
      </c>
      <c r="K381" s="475" t="str">
        <f>'Sch - assets'!$A$76</f>
        <v>Prepaid expenses</v>
      </c>
      <c r="L38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1" s="475"/>
    </row>
    <row r="382" spans="1:13">
      <c r="A382" s="446" t="s">
        <v>427</v>
      </c>
      <c r="B382" s="446" t="s">
        <v>1774</v>
      </c>
      <c r="C382" s="446" t="s">
        <v>448</v>
      </c>
      <c r="D382" s="412" t="s">
        <v>820</v>
      </c>
      <c r="E382" s="1017"/>
      <c r="F382" s="1018"/>
      <c r="G382" s="1018"/>
      <c r="H382" s="1018"/>
      <c r="I382" s="659">
        <f>ROUND(Trial_2Cut[[#This Row],[Net]]/10^3,2)</f>
        <v>0</v>
      </c>
      <c r="J382" s="475" t="s">
        <v>216</v>
      </c>
      <c r="K382" s="475" t="str">
        <f>'Sch - assets'!$A$80</f>
        <v>Security with others</v>
      </c>
      <c r="L38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2" s="475"/>
    </row>
    <row r="383" spans="1:13">
      <c r="A383" s="446" t="s">
        <v>427</v>
      </c>
      <c r="B383" s="446" t="s">
        <v>1774</v>
      </c>
      <c r="C383" s="446" t="s">
        <v>448</v>
      </c>
      <c r="D383" s="412" t="s">
        <v>821</v>
      </c>
      <c r="E383" s="1017"/>
      <c r="F383" s="1018"/>
      <c r="G383" s="1018"/>
      <c r="H383" s="1018"/>
      <c r="I383" s="659">
        <f>ROUND(Trial_2Cut[[#This Row],[Net]]/10^3,2)</f>
        <v>0</v>
      </c>
      <c r="J383" s="475"/>
      <c r="K383" s="475"/>
      <c r="L38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3" s="475"/>
    </row>
    <row r="384" spans="1:13">
      <c r="A384" s="446" t="s">
        <v>427</v>
      </c>
      <c r="B384" s="446" t="s">
        <v>1774</v>
      </c>
      <c r="C384" s="446" t="s">
        <v>448</v>
      </c>
      <c r="D384" s="412" t="s">
        <v>822</v>
      </c>
      <c r="E384" s="1017"/>
      <c r="F384" s="1018"/>
      <c r="G384" s="1018"/>
      <c r="H384" s="1018"/>
      <c r="I384" s="659">
        <f>ROUND(Trial_2Cut[[#This Row],[Net]]/10^3,2)</f>
        <v>0</v>
      </c>
      <c r="J384" s="475" t="s">
        <v>216</v>
      </c>
      <c r="K384" s="475" t="s">
        <v>216</v>
      </c>
      <c r="L38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4" s="475"/>
    </row>
    <row r="385" spans="1:13">
      <c r="A385" s="446" t="s">
        <v>427</v>
      </c>
      <c r="B385" s="446" t="s">
        <v>1774</v>
      </c>
      <c r="C385" s="446" t="s">
        <v>448</v>
      </c>
      <c r="D385" s="412" t="s">
        <v>823</v>
      </c>
      <c r="E385" s="1017"/>
      <c r="F385" s="1018"/>
      <c r="G385" s="1018"/>
      <c r="H385" s="1018"/>
      <c r="I385" s="659">
        <f>ROUND(Trial_2Cut[[#This Row],[Net]]/10^3,2)</f>
        <v>0</v>
      </c>
      <c r="J385" s="475" t="s">
        <v>216</v>
      </c>
      <c r="K385" s="475" t="s">
        <v>216</v>
      </c>
      <c r="L38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5" s="475"/>
    </row>
    <row r="386" spans="1:13">
      <c r="A386" s="446" t="s">
        <v>427</v>
      </c>
      <c r="B386" s="446" t="s">
        <v>1774</v>
      </c>
      <c r="C386" s="446" t="s">
        <v>448</v>
      </c>
      <c r="D386" s="412" t="s">
        <v>824</v>
      </c>
      <c r="E386" s="1017"/>
      <c r="F386" s="1018"/>
      <c r="G386" s="1018"/>
      <c r="H386" s="1018"/>
      <c r="I386" s="659">
        <f>ROUND(Trial_2Cut[[#This Row],[Net]]/10^3,2)</f>
        <v>0</v>
      </c>
      <c r="J386" s="475" t="s">
        <v>216</v>
      </c>
      <c r="K386" s="475" t="s">
        <v>216</v>
      </c>
      <c r="L386"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6" s="475"/>
    </row>
    <row r="387" spans="1:13">
      <c r="A387" s="446" t="s">
        <v>427</v>
      </c>
      <c r="B387" s="446" t="s">
        <v>1774</v>
      </c>
      <c r="C387" s="446" t="s">
        <v>448</v>
      </c>
      <c r="D387" s="412" t="s">
        <v>825</v>
      </c>
      <c r="E387" s="1017"/>
      <c r="F387" s="1018"/>
      <c r="G387" s="1018"/>
      <c r="H387" s="1018"/>
      <c r="I387" s="659">
        <f>ROUND(Trial_2Cut[[#This Row],[Net]]/10^3,2)</f>
        <v>0</v>
      </c>
      <c r="J387" s="475"/>
      <c r="K387" s="475"/>
      <c r="L387"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7" s="475"/>
    </row>
    <row r="388" spans="1:13">
      <c r="A388" s="446" t="s">
        <v>427</v>
      </c>
      <c r="B388" s="446" t="s">
        <v>1774</v>
      </c>
      <c r="C388" s="446" t="s">
        <v>448</v>
      </c>
      <c r="D388" s="412" t="s">
        <v>826</v>
      </c>
      <c r="E388" s="1017"/>
      <c r="F388" s="1018"/>
      <c r="G388" s="1018"/>
      <c r="H388" s="1018"/>
      <c r="I388" s="659">
        <f>ROUND(Trial_2Cut[[#This Row],[Net]]/10^3,2)</f>
        <v>0</v>
      </c>
      <c r="J388" s="475" t="s">
        <v>216</v>
      </c>
      <c r="K388" s="475" t="s">
        <v>216</v>
      </c>
      <c r="L38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8" s="475"/>
    </row>
    <row r="389" spans="1:13">
      <c r="A389" s="446" t="s">
        <v>427</v>
      </c>
      <c r="B389" s="446" t="s">
        <v>1774</v>
      </c>
      <c r="C389" s="446" t="s">
        <v>448</v>
      </c>
      <c r="D389" s="412" t="s">
        <v>827</v>
      </c>
      <c r="E389" s="1017"/>
      <c r="F389" s="1018"/>
      <c r="G389" s="1018"/>
      <c r="H389" s="1018"/>
      <c r="I389" s="659">
        <f>ROUND(Trial_2Cut[[#This Row],[Net]]/10^3,2)</f>
        <v>0</v>
      </c>
      <c r="J389" s="475" t="s">
        <v>216</v>
      </c>
      <c r="K389" s="475" t="s">
        <v>216</v>
      </c>
      <c r="L389"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89" s="475"/>
    </row>
    <row r="390" spans="1:13">
      <c r="A390" s="446" t="s">
        <v>427</v>
      </c>
      <c r="B390" s="446" t="s">
        <v>1774</v>
      </c>
      <c r="C390" s="446" t="s">
        <v>448</v>
      </c>
      <c r="D390" s="446" t="s">
        <v>828</v>
      </c>
      <c r="E390" s="1017"/>
      <c r="F390" s="1018"/>
      <c r="G390" s="1018"/>
      <c r="H390" s="1018"/>
      <c r="I390" s="659">
        <f>ROUND(Trial_2Cut[[#This Row],[Net]]/10^3,2)</f>
        <v>0</v>
      </c>
      <c r="J390" s="475" t="s">
        <v>216</v>
      </c>
      <c r="K390" s="475" t="s">
        <v>216</v>
      </c>
      <c r="L390"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90" s="475"/>
    </row>
    <row r="391" spans="1:13">
      <c r="A391" s="446" t="s">
        <v>427</v>
      </c>
      <c r="B391" s="446" t="s">
        <v>1774</v>
      </c>
      <c r="C391" s="446" t="s">
        <v>448</v>
      </c>
      <c r="D391" s="446" t="s">
        <v>829</v>
      </c>
      <c r="E391" s="1017"/>
      <c r="F391" s="1018"/>
      <c r="G391" s="1018"/>
      <c r="H391" s="1018"/>
      <c r="I391" s="659">
        <f>ROUND(Trial_2Cut[[#This Row],[Net]]/10^3,2)</f>
        <v>0</v>
      </c>
      <c r="J391" s="475" t="s">
        <v>216</v>
      </c>
      <c r="K391" s="475" t="s">
        <v>216</v>
      </c>
      <c r="L391"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91" s="475"/>
    </row>
    <row r="392" spans="1:13">
      <c r="A392" s="446" t="s">
        <v>427</v>
      </c>
      <c r="B392" s="446" t="s">
        <v>1774</v>
      </c>
      <c r="C392" s="446" t="s">
        <v>448</v>
      </c>
      <c r="D392" s="446" t="s">
        <v>830</v>
      </c>
      <c r="E392" s="1017"/>
      <c r="F392" s="1018"/>
      <c r="G392" s="1018"/>
      <c r="H392" s="1018"/>
      <c r="I392" s="659">
        <f>ROUND(Trial_2Cut[[#This Row],[Net]]/10^3,2)</f>
        <v>0</v>
      </c>
      <c r="J392" s="475" t="s">
        <v>216</v>
      </c>
      <c r="K392" s="475" t="s">
        <v>216</v>
      </c>
      <c r="L392"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92" s="475"/>
    </row>
    <row r="393" spans="1:13">
      <c r="A393" s="446" t="s">
        <v>427</v>
      </c>
      <c r="B393" s="446" t="s">
        <v>1774</v>
      </c>
      <c r="C393" s="446" t="s">
        <v>448</v>
      </c>
      <c r="D393" s="446" t="s">
        <v>831</v>
      </c>
      <c r="E393" s="1017"/>
      <c r="F393" s="1018"/>
      <c r="G393" s="1018"/>
      <c r="H393" s="1018"/>
      <c r="I393" s="659">
        <f>ROUND(Trial_2Cut[[#This Row],[Net]]/10^3,2)</f>
        <v>0</v>
      </c>
      <c r="J393" s="475" t="s">
        <v>216</v>
      </c>
      <c r="K393" s="475" t="s">
        <v>216</v>
      </c>
      <c r="L393"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93" s="475"/>
    </row>
    <row r="394" spans="1:13">
      <c r="A394" s="446" t="s">
        <v>427</v>
      </c>
      <c r="B394" s="446" t="s">
        <v>1774</v>
      </c>
      <c r="C394" s="446" t="s">
        <v>448</v>
      </c>
      <c r="D394" s="446" t="s">
        <v>832</v>
      </c>
      <c r="E394" s="1017"/>
      <c r="F394" s="1018"/>
      <c r="G394" s="1018"/>
      <c r="H394" s="1018"/>
      <c r="I394" s="659">
        <f>ROUND(Trial_2Cut[[#This Row],[Net]]/10^3,2)</f>
        <v>0</v>
      </c>
      <c r="J394" s="475" t="s">
        <v>216</v>
      </c>
      <c r="K394" s="475" t="s">
        <v>216</v>
      </c>
      <c r="L394"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94" s="475"/>
    </row>
    <row r="395" spans="1:13">
      <c r="A395" s="446" t="s">
        <v>427</v>
      </c>
      <c r="B395" s="446" t="s">
        <v>1774</v>
      </c>
      <c r="C395" s="446" t="s">
        <v>448</v>
      </c>
      <c r="D395" s="446" t="s">
        <v>833</v>
      </c>
      <c r="E395" s="1017"/>
      <c r="F395" s="1018"/>
      <c r="G395" s="1018"/>
      <c r="H395" s="1018"/>
      <c r="I395" s="659">
        <f>ROUND(Trial_2Cut[[#This Row],[Net]]/10^3,2)</f>
        <v>0</v>
      </c>
      <c r="J395" s="475" t="s">
        <v>1843</v>
      </c>
      <c r="K395" s="475" t="s">
        <v>1843</v>
      </c>
      <c r="L395"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395" s="475"/>
    </row>
    <row r="396" spans="1:13">
      <c r="A396" s="446" t="s">
        <v>430</v>
      </c>
      <c r="B396" s="446" t="s">
        <v>1774</v>
      </c>
      <c r="C396" s="446" t="s">
        <v>386</v>
      </c>
      <c r="D396" s="446" t="s">
        <v>834</v>
      </c>
      <c r="E396" s="1017"/>
      <c r="F396" s="1018"/>
      <c r="G396" s="1018"/>
      <c r="H396" s="1018"/>
      <c r="I396" s="659">
        <f>ROUND(Trial_2Cut[[#This Row],[Net]]/10^3,2)</f>
        <v>0</v>
      </c>
      <c r="J396" s="475" t="s">
        <v>1847</v>
      </c>
      <c r="K396" s="475" t="str">
        <f>'Sch - PL'!$A$10</f>
        <v>Sale of Services</v>
      </c>
      <c r="L39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396" s="475"/>
    </row>
    <row r="397" spans="1:13">
      <c r="A397" s="446" t="s">
        <v>430</v>
      </c>
      <c r="B397" s="446" t="s">
        <v>1774</v>
      </c>
      <c r="C397" s="446" t="s">
        <v>386</v>
      </c>
      <c r="D397" s="446" t="s">
        <v>835</v>
      </c>
      <c r="E397" s="1017"/>
      <c r="F397" s="1018"/>
      <c r="G397" s="1018"/>
      <c r="H397" s="1018"/>
      <c r="I397" s="659">
        <f>ROUND(Trial_2Cut[[#This Row],[Net]]/10^3,2)</f>
        <v>0</v>
      </c>
      <c r="J397" s="475" t="s">
        <v>1847</v>
      </c>
      <c r="K397" s="475" t="str">
        <f>'Sch - PL'!$A$9</f>
        <v>Domestic Sale</v>
      </c>
      <c r="L39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397" s="475"/>
    </row>
    <row r="398" spans="1:13">
      <c r="A398" s="446" t="s">
        <v>430</v>
      </c>
      <c r="B398" s="446" t="s">
        <v>1774</v>
      </c>
      <c r="C398" s="446" t="s">
        <v>386</v>
      </c>
      <c r="D398" s="446" t="s">
        <v>836</v>
      </c>
      <c r="E398" s="1017"/>
      <c r="F398" s="1018"/>
      <c r="G398" s="1018"/>
      <c r="H398" s="1018"/>
      <c r="I398" s="659">
        <f>ROUND(Trial_2Cut[[#This Row],[Net]]/10^3,2)</f>
        <v>0</v>
      </c>
      <c r="J398" s="475" t="s">
        <v>1847</v>
      </c>
      <c r="K398" s="475" t="str">
        <f>'Sch - PL'!$A$9</f>
        <v>Domestic Sale</v>
      </c>
      <c r="L39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398" s="475"/>
    </row>
    <row r="399" spans="1:13">
      <c r="A399" s="446" t="s">
        <v>430</v>
      </c>
      <c r="B399" s="446" t="s">
        <v>1774</v>
      </c>
      <c r="C399" s="446" t="s">
        <v>386</v>
      </c>
      <c r="D399" s="446" t="s">
        <v>837</v>
      </c>
      <c r="E399" s="1017"/>
      <c r="F399" s="1018"/>
      <c r="G399" s="1018"/>
      <c r="H399" s="1018"/>
      <c r="I399" s="659">
        <f>ROUND(Trial_2Cut[[#This Row],[Net]]/10^3,2)</f>
        <v>0</v>
      </c>
      <c r="J399" s="475" t="s">
        <v>1847</v>
      </c>
      <c r="K399" s="475" t="str">
        <f>'Sch - PL'!$A$9</f>
        <v>Domestic Sale</v>
      </c>
      <c r="L39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399" s="475"/>
    </row>
    <row r="400" spans="1:13">
      <c r="A400" s="446" t="s">
        <v>430</v>
      </c>
      <c r="B400" s="446" t="s">
        <v>1774</v>
      </c>
      <c r="C400" s="446" t="s">
        <v>386</v>
      </c>
      <c r="D400" s="446" t="s">
        <v>838</v>
      </c>
      <c r="E400" s="1017"/>
      <c r="F400" s="1018"/>
      <c r="G400" s="1018"/>
      <c r="H400" s="1018"/>
      <c r="I400" s="659">
        <f>ROUND(Trial_2Cut[[#This Row],[Net]]/10^3,2)</f>
        <v>0</v>
      </c>
      <c r="J400" s="475" t="s">
        <v>1847</v>
      </c>
      <c r="K400" s="475" t="str">
        <f>'Sch - PL'!$A$9</f>
        <v>Domestic Sale</v>
      </c>
      <c r="L40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0" s="475"/>
    </row>
    <row r="401" spans="1:16">
      <c r="A401" s="446" t="s">
        <v>83</v>
      </c>
      <c r="B401" s="446" t="s">
        <v>1774</v>
      </c>
      <c r="C401" s="446" t="s">
        <v>1661</v>
      </c>
      <c r="D401" s="446" t="s">
        <v>839</v>
      </c>
      <c r="E401" s="1017"/>
      <c r="F401" s="1018"/>
      <c r="G401" s="1018"/>
      <c r="H401" s="1018"/>
      <c r="I401" s="659">
        <f>ROUND(Trial_2Cut[[#This Row],[Net]]/10^3,2)</f>
        <v>0</v>
      </c>
      <c r="J401" s="475" t="s">
        <v>1848</v>
      </c>
      <c r="K401" s="475" t="str">
        <f>'Sch - PL'!$A$49</f>
        <v>Less:Inter Branch Purchase</v>
      </c>
      <c r="L40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1" s="475"/>
    </row>
    <row r="402" spans="1:16">
      <c r="A402" s="446" t="s">
        <v>83</v>
      </c>
      <c r="B402" s="446" t="s">
        <v>1774</v>
      </c>
      <c r="C402" s="446" t="s">
        <v>1661</v>
      </c>
      <c r="D402" s="446" t="s">
        <v>840</v>
      </c>
      <c r="E402" s="1017"/>
      <c r="F402" s="1018"/>
      <c r="G402" s="1018"/>
      <c r="H402" s="1018"/>
      <c r="I402" s="659">
        <f>ROUND(Trial_2Cut[[#This Row],[Net]]/10^3,2)</f>
        <v>0</v>
      </c>
      <c r="J402" s="475" t="s">
        <v>1848</v>
      </c>
      <c r="K402" s="475" t="str">
        <f>'Sch - PL'!$A$48</f>
        <v>Purchase of Stock in trade</v>
      </c>
      <c r="L40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2" s="475"/>
    </row>
    <row r="403" spans="1:16">
      <c r="A403" s="446" t="s">
        <v>83</v>
      </c>
      <c r="B403" s="446" t="s">
        <v>1774</v>
      </c>
      <c r="C403" s="446" t="s">
        <v>1661</v>
      </c>
      <c r="D403" s="446" t="s">
        <v>841</v>
      </c>
      <c r="E403" s="1017"/>
      <c r="F403" s="1018"/>
      <c r="G403" s="1018"/>
      <c r="H403" s="1018"/>
      <c r="I403" s="659">
        <f>ROUND(Trial_2Cut[[#This Row],[Net]]/10^3,2)</f>
        <v>0</v>
      </c>
      <c r="J403" s="475" t="s">
        <v>1848</v>
      </c>
      <c r="K403" s="475" t="str">
        <f>'Sch - PL'!$A$48</f>
        <v>Purchase of Stock in trade</v>
      </c>
      <c r="L40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3" s="475"/>
    </row>
    <row r="404" spans="1:16">
      <c r="A404" s="446" t="s">
        <v>83</v>
      </c>
      <c r="B404" s="446" t="s">
        <v>1774</v>
      </c>
      <c r="C404" s="446" t="s">
        <v>1661</v>
      </c>
      <c r="D404" s="446" t="s">
        <v>842</v>
      </c>
      <c r="E404" s="1017"/>
      <c r="F404" s="1018"/>
      <c r="G404" s="1018"/>
      <c r="H404" s="1018"/>
      <c r="I404" s="659">
        <f>ROUND(Trial_2Cut[[#This Row],[Net]]/10^3,2)</f>
        <v>0</v>
      </c>
      <c r="J404" s="475" t="s">
        <v>1848</v>
      </c>
      <c r="K404" s="475" t="str">
        <f>'Sch - PL'!$A$48</f>
        <v>Purchase of Stock in trade</v>
      </c>
      <c r="L40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4" s="475"/>
    </row>
    <row r="405" spans="1:16">
      <c r="A405" s="446" t="s">
        <v>83</v>
      </c>
      <c r="B405" s="446" t="s">
        <v>1774</v>
      </c>
      <c r="C405" s="446" t="s">
        <v>1661</v>
      </c>
      <c r="D405" s="446" t="s">
        <v>843</v>
      </c>
      <c r="E405" s="1017"/>
      <c r="F405" s="1018"/>
      <c r="G405" s="1018"/>
      <c r="H405" s="1018"/>
      <c r="I405" s="659">
        <f>ROUND(Trial_2Cut[[#This Row],[Net]]/10^3,2)</f>
        <v>0</v>
      </c>
      <c r="J405" s="475" t="s">
        <v>1848</v>
      </c>
      <c r="K405" s="475" t="str">
        <f>'Sch - PL'!$A$48</f>
        <v>Purchase of Stock in trade</v>
      </c>
      <c r="L40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5" s="475"/>
    </row>
    <row r="406" spans="1:16">
      <c r="A406" s="446" t="s">
        <v>83</v>
      </c>
      <c r="B406" s="446" t="s">
        <v>1774</v>
      </c>
      <c r="C406" s="446" t="s">
        <v>1661</v>
      </c>
      <c r="D406" s="412" t="s">
        <v>801</v>
      </c>
      <c r="E406" s="1017"/>
      <c r="F406" s="1018"/>
      <c r="G406" s="1018"/>
      <c r="H406" s="1018"/>
      <c r="I406" s="659">
        <f>ROUND(Trial_2Cut[[#This Row],[Net]]/10^3,2)</f>
        <v>0</v>
      </c>
      <c r="J406" s="475" t="s">
        <v>1848</v>
      </c>
      <c r="K406" s="475" t="str">
        <f>'Sch - PL'!$A$48</f>
        <v>Purchase of Stock in trade</v>
      </c>
      <c r="L40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6" s="475"/>
    </row>
    <row r="407" spans="1:16">
      <c r="A407" s="446" t="s">
        <v>430</v>
      </c>
      <c r="B407" s="446" t="s">
        <v>1774</v>
      </c>
      <c r="C407" s="446" t="s">
        <v>1779</v>
      </c>
      <c r="D407" s="412" t="s">
        <v>802</v>
      </c>
      <c r="E407" s="1017"/>
      <c r="F407" s="1018"/>
      <c r="G407" s="1018"/>
      <c r="H407" s="1018"/>
      <c r="I407" s="659">
        <f>ROUND(Trial_2Cut[[#This Row],[Net]]/10^3,2)</f>
        <v>0</v>
      </c>
      <c r="J407" s="475" t="s">
        <v>1779</v>
      </c>
      <c r="K407" s="475" t="str">
        <f>'Sch - PL'!$A$25</f>
        <v>Misc. Income</v>
      </c>
      <c r="L40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7" s="475"/>
    </row>
    <row r="408" spans="1:16">
      <c r="A408" s="446" t="s">
        <v>430</v>
      </c>
      <c r="B408" s="446" t="s">
        <v>1774</v>
      </c>
      <c r="C408" s="446" t="s">
        <v>1779</v>
      </c>
      <c r="D408" s="412" t="s">
        <v>803</v>
      </c>
      <c r="E408" s="1017"/>
      <c r="F408" s="1018"/>
      <c r="G408" s="1018"/>
      <c r="H408" s="1018"/>
      <c r="I408" s="659">
        <f>ROUND(Trial_2Cut[[#This Row],[Net]]/10^3,2)</f>
        <v>0</v>
      </c>
      <c r="J408" s="475" t="s">
        <v>1779</v>
      </c>
      <c r="K408" s="475" t="str">
        <f>'Sch - PL'!$A$25</f>
        <v>Misc. Income</v>
      </c>
      <c r="L40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8" s="475"/>
    </row>
    <row r="409" spans="1:16">
      <c r="A409" s="446" t="s">
        <v>430</v>
      </c>
      <c r="B409" s="446" t="s">
        <v>1774</v>
      </c>
      <c r="C409" s="446" t="s">
        <v>1779</v>
      </c>
      <c r="D409" s="412" t="s">
        <v>804</v>
      </c>
      <c r="E409" s="1017"/>
      <c r="F409" s="1018"/>
      <c r="G409" s="1018"/>
      <c r="H409" s="1018"/>
      <c r="I409" s="659">
        <f>ROUND(Trial_2Cut[[#This Row],[Net]]/10^3,2)</f>
        <v>0</v>
      </c>
      <c r="J409" s="475" t="s">
        <v>1779</v>
      </c>
      <c r="K409" s="475" t="str">
        <f>'Sch - PL'!$A$23</f>
        <v>Interest on IT Refund</v>
      </c>
      <c r="L40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09" s="475"/>
    </row>
    <row r="410" spans="1:16">
      <c r="A410" s="446" t="s">
        <v>430</v>
      </c>
      <c r="B410" s="446" t="s">
        <v>1774</v>
      </c>
      <c r="C410" s="446" t="s">
        <v>1779</v>
      </c>
      <c r="D410" s="412" t="s">
        <v>805</v>
      </c>
      <c r="E410" s="1017"/>
      <c r="F410" s="1018"/>
      <c r="G410" s="1018"/>
      <c r="H410" s="1018"/>
      <c r="I410" s="659">
        <f>ROUND(Trial_2Cut[[#This Row],[Net]]/10^3,2)</f>
        <v>0</v>
      </c>
      <c r="J410" s="475" t="s">
        <v>1779</v>
      </c>
      <c r="K410" s="475" t="str">
        <f>'Sch - PL'!$A$25</f>
        <v>Misc. Income</v>
      </c>
      <c r="L41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0" s="475"/>
    </row>
    <row r="411" spans="1:16">
      <c r="A411" s="446" t="s">
        <v>430</v>
      </c>
      <c r="B411" s="446" t="s">
        <v>1774</v>
      </c>
      <c r="C411" s="446" t="s">
        <v>1779</v>
      </c>
      <c r="D411" s="412" t="s">
        <v>806</v>
      </c>
      <c r="E411" s="1017"/>
      <c r="F411" s="1018"/>
      <c r="G411" s="1018"/>
      <c r="H411" s="1018"/>
      <c r="I411" s="659">
        <f>ROUND(Trial_2Cut[[#This Row],[Net]]/10^3,2)</f>
        <v>0</v>
      </c>
      <c r="J411" s="475" t="s">
        <v>1779</v>
      </c>
      <c r="K411" s="475" t="str">
        <f>'Sch - PL'!$A$25</f>
        <v>Misc. Income</v>
      </c>
      <c r="L41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1" s="475"/>
    </row>
    <row r="412" spans="1:16">
      <c r="A412" s="446" t="s">
        <v>83</v>
      </c>
      <c r="B412" s="446" t="s">
        <v>1774</v>
      </c>
      <c r="C412" s="446" t="s">
        <v>433</v>
      </c>
      <c r="D412" s="412" t="s">
        <v>807</v>
      </c>
      <c r="E412" s="1017"/>
      <c r="F412" s="1018"/>
      <c r="G412" s="1018"/>
      <c r="H412" s="1018"/>
      <c r="I412" s="659">
        <f>ROUND(Trial_2Cut[[#This Row],[Net]]/10^3,2)</f>
        <v>0</v>
      </c>
      <c r="J412" s="475" t="s">
        <v>1763</v>
      </c>
      <c r="K412" s="475" t="str">
        <f>'Sch - PL'!$A$107</f>
        <v>Audit Fees</v>
      </c>
      <c r="L41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2" s="475"/>
      <c r="P412" s="443" t="e">
        <f>VLOOKUP(Trial_2Cut[[#This Row],[Account]],[108]Trial!$B:$G,6,FALSE)</f>
        <v>#N/A</v>
      </c>
    </row>
    <row r="413" spans="1:16">
      <c r="A413" s="446" t="s">
        <v>83</v>
      </c>
      <c r="B413" s="446" t="s">
        <v>1774</v>
      </c>
      <c r="C413" s="446" t="s">
        <v>433</v>
      </c>
      <c r="D413" s="412" t="s">
        <v>808</v>
      </c>
      <c r="E413" s="1017"/>
      <c r="F413" s="1018"/>
      <c r="G413" s="1018"/>
      <c r="H413" s="1018"/>
      <c r="I413" s="659">
        <f>ROUND(Trial_2Cut[[#This Row],[Net]]/10^3,2)</f>
        <v>0</v>
      </c>
      <c r="J413" s="475" t="s">
        <v>1763</v>
      </c>
      <c r="K413" s="475" t="str">
        <f>'Sch - PL'!$A$108</f>
        <v>Bank Charges</v>
      </c>
      <c r="L41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3" s="475"/>
    </row>
    <row r="414" spans="1:16">
      <c r="A414" s="446" t="s">
        <v>83</v>
      </c>
      <c r="B414" s="446" t="s">
        <v>1774</v>
      </c>
      <c r="C414" s="446" t="s">
        <v>433</v>
      </c>
      <c r="D414" s="412" t="s">
        <v>809</v>
      </c>
      <c r="E414" s="1017"/>
      <c r="F414" s="1018"/>
      <c r="G414" s="1018"/>
      <c r="H414" s="1018"/>
      <c r="I414" s="659">
        <f>ROUND(Trial_2Cut[[#This Row],[Net]]/10^3,2)</f>
        <v>0</v>
      </c>
      <c r="J414" s="475" t="s">
        <v>1763</v>
      </c>
      <c r="K414" s="475" t="str">
        <f>'Sch - PL'!$A$108</f>
        <v>Bank Charges</v>
      </c>
      <c r="L41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4" s="475"/>
    </row>
    <row r="415" spans="1:16">
      <c r="A415" s="446" t="s">
        <v>83</v>
      </c>
      <c r="B415" s="446" t="s">
        <v>1774</v>
      </c>
      <c r="C415" s="446" t="s">
        <v>433</v>
      </c>
      <c r="D415" s="412" t="s">
        <v>810</v>
      </c>
      <c r="E415" s="1017"/>
      <c r="F415" s="1018"/>
      <c r="G415" s="1018"/>
      <c r="H415" s="1018"/>
      <c r="I415" s="659">
        <f>ROUND(Trial_2Cut[[#This Row],[Net]]/10^3,2)</f>
        <v>0</v>
      </c>
      <c r="J415" s="475" t="s">
        <v>1849</v>
      </c>
      <c r="K415" s="475" t="str">
        <f>'Sch - PL'!$A$86</f>
        <v>Bank Interest</v>
      </c>
      <c r="L41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5" s="475"/>
    </row>
    <row r="416" spans="1:16">
      <c r="A416" s="446" t="s">
        <v>83</v>
      </c>
      <c r="B416" s="446" t="s">
        <v>1774</v>
      </c>
      <c r="C416" s="446" t="s">
        <v>433</v>
      </c>
      <c r="D416" s="412" t="s">
        <v>811</v>
      </c>
      <c r="E416" s="1017"/>
      <c r="F416" s="1018"/>
      <c r="G416" s="1018"/>
      <c r="H416" s="1018"/>
      <c r="I416" s="659">
        <f>ROUND(Trial_2Cut[[#This Row],[Net]]/10^3,2)</f>
        <v>0</v>
      </c>
      <c r="J416" s="475" t="s">
        <v>1763</v>
      </c>
      <c r="K416" s="475" t="str">
        <f>'Sch - PL'!$A$111</f>
        <v xml:space="preserve">      - Vehicle</v>
      </c>
      <c r="L41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6" s="475"/>
      <c r="P416" s="443" t="e">
        <f>VLOOKUP(Trial_2Cut[[#This Row],[Account]],[108]Trial!$B:$G,6,FALSE)</f>
        <v>#N/A</v>
      </c>
    </row>
    <row r="417" spans="1:16">
      <c r="A417" s="446" t="s">
        <v>83</v>
      </c>
      <c r="B417" s="446" t="s">
        <v>1774</v>
      </c>
      <c r="C417" s="446" t="s">
        <v>433</v>
      </c>
      <c r="D417" s="412" t="s">
        <v>812</v>
      </c>
      <c r="E417" s="1017"/>
      <c r="F417" s="1018"/>
      <c r="G417" s="1018"/>
      <c r="H417" s="1018"/>
      <c r="I417" s="659">
        <f>ROUND(Trial_2Cut[[#This Row],[Net]]/10^3,2)</f>
        <v>0</v>
      </c>
      <c r="J417" s="475" t="s">
        <v>1763</v>
      </c>
      <c r="K417" s="475" t="s">
        <v>1801</v>
      </c>
      <c r="L41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7" s="475"/>
      <c r="P417" s="443" t="e">
        <f>VLOOKUP(Trial_2Cut[[#This Row],[Account]],[108]Trial!$B:$G,6,FALSE)</f>
        <v>#N/A</v>
      </c>
    </row>
    <row r="418" spans="1:16">
      <c r="A418" s="446" t="s">
        <v>83</v>
      </c>
      <c r="B418" s="446" t="s">
        <v>1774</v>
      </c>
      <c r="C418" s="446" t="s">
        <v>433</v>
      </c>
      <c r="D418" s="412" t="s">
        <v>813</v>
      </c>
      <c r="E418" s="1017"/>
      <c r="F418" s="1018"/>
      <c r="G418" s="1018"/>
      <c r="H418" s="1018"/>
      <c r="I418" s="659">
        <f>ROUND(Trial_2Cut[[#This Row],[Net]]/10^3,2)</f>
        <v>0</v>
      </c>
      <c r="J418" s="475" t="s">
        <v>1763</v>
      </c>
      <c r="K418" s="475" t="s">
        <v>1802</v>
      </c>
      <c r="L41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8" s="475"/>
      <c r="P418" s="443" t="e">
        <f>VLOOKUP(Trial_2Cut[[#This Row],[Account]],[108]Trial!$B:$G,6,FALSE)</f>
        <v>#N/A</v>
      </c>
    </row>
    <row r="419" spans="1:16">
      <c r="A419" s="446" t="s">
        <v>83</v>
      </c>
      <c r="B419" s="446" t="s">
        <v>1774</v>
      </c>
      <c r="C419" s="446" t="s">
        <v>433</v>
      </c>
      <c r="D419" s="412" t="s">
        <v>814</v>
      </c>
      <c r="E419" s="1017"/>
      <c r="F419" s="1018"/>
      <c r="G419" s="1018"/>
      <c r="H419" s="1018"/>
      <c r="I419" s="659">
        <f>ROUND(Trial_2Cut[[#This Row],[Net]]/10^3,2)</f>
        <v>0</v>
      </c>
      <c r="J419" s="475" t="s">
        <v>1852</v>
      </c>
      <c r="K419" s="475" t="str">
        <f>'Sch - PL'!$A$74</f>
        <v xml:space="preserve">Director Remuneration </v>
      </c>
      <c r="L41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19" s="475"/>
    </row>
    <row r="420" spans="1:16">
      <c r="A420" s="446" t="s">
        <v>83</v>
      </c>
      <c r="B420" s="446" t="s">
        <v>1774</v>
      </c>
      <c r="C420" s="446" t="s">
        <v>433</v>
      </c>
      <c r="D420" s="412" t="s">
        <v>815</v>
      </c>
      <c r="E420" s="1017"/>
      <c r="F420" s="1018"/>
      <c r="G420" s="1018"/>
      <c r="H420" s="1018"/>
      <c r="I420" s="659">
        <f>ROUND(Trial_2Cut[[#This Row],[Net]]/10^3,2)</f>
        <v>0</v>
      </c>
      <c r="J420" s="475" t="s">
        <v>1763</v>
      </c>
      <c r="K420" s="475" t="str">
        <f>'Sch - PL'!$A$117</f>
        <v>Electricity, Power &amp; Fuel</v>
      </c>
      <c r="L42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0" s="475"/>
    </row>
    <row r="421" spans="1:16">
      <c r="A421" s="446" t="s">
        <v>83</v>
      </c>
      <c r="B421" s="446" t="s">
        <v>1774</v>
      </c>
      <c r="C421" s="446" t="s">
        <v>433</v>
      </c>
      <c r="D421" s="412" t="s">
        <v>816</v>
      </c>
      <c r="E421" s="1017"/>
      <c r="F421" s="1018"/>
      <c r="G421" s="1018"/>
      <c r="H421" s="1018"/>
      <c r="I421" s="659">
        <f>ROUND(Trial_2Cut[[#This Row],[Net]]/10^3,2)</f>
        <v>0</v>
      </c>
      <c r="J421" s="475" t="s">
        <v>1763</v>
      </c>
      <c r="K421" s="475" t="s">
        <v>1758</v>
      </c>
      <c r="L42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1" s="475"/>
      <c r="P421" s="443" t="e">
        <f>VLOOKUP(Trial_2Cut[[#This Row],[Account]],[108]Trial!$B:$G,6,FALSE)</f>
        <v>#N/A</v>
      </c>
    </row>
    <row r="422" spans="1:16">
      <c r="A422" s="446" t="s">
        <v>83</v>
      </c>
      <c r="B422" s="446" t="s">
        <v>1774</v>
      </c>
      <c r="C422" s="446" t="s">
        <v>433</v>
      </c>
      <c r="D422" s="412" t="s">
        <v>817</v>
      </c>
      <c r="E422" s="1017"/>
      <c r="F422" s="1018"/>
      <c r="G422" s="1018"/>
      <c r="H422" s="1018"/>
      <c r="I422" s="659">
        <f>ROUND(Trial_2Cut[[#This Row],[Net]]/10^3,2)</f>
        <v>0</v>
      </c>
      <c r="J422" s="475" t="s">
        <v>1763</v>
      </c>
      <c r="K422" s="475" t="str">
        <f>'Sch - PL'!$A$126</f>
        <v>Office Expenses</v>
      </c>
      <c r="L42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2" s="475"/>
      <c r="P422" s="443" t="e">
        <f>VLOOKUP(Trial_2Cut[[#This Row],[Account]],[108]Trial!$B:$G,6,FALSE)</f>
        <v>#N/A</v>
      </c>
    </row>
    <row r="423" spans="1:16">
      <c r="A423" s="446" t="s">
        <v>83</v>
      </c>
      <c r="B423" s="446" t="s">
        <v>1774</v>
      </c>
      <c r="C423" s="446" t="s">
        <v>433</v>
      </c>
      <c r="D423" s="412" t="s">
        <v>818</v>
      </c>
      <c r="E423" s="1017"/>
      <c r="F423" s="1018"/>
      <c r="G423" s="1018"/>
      <c r="H423" s="1018"/>
      <c r="I423" s="659">
        <f>ROUND(Trial_2Cut[[#This Row],[Net]]/10^3,2)</f>
        <v>0</v>
      </c>
      <c r="J423" s="475" t="s">
        <v>1763</v>
      </c>
      <c r="K423" s="475" t="str">
        <f>'Sch - PL'!$A$123</f>
        <v>Legal &amp; Professional Charges</v>
      </c>
      <c r="L42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3" s="475"/>
      <c r="P423" s="443" t="e">
        <f>VLOOKUP(Trial_2Cut[[#This Row],[Account]],[108]Trial!$B:$G,6,FALSE)</f>
        <v>#N/A</v>
      </c>
    </row>
    <row r="424" spans="1:16">
      <c r="A424" s="446" t="s">
        <v>83</v>
      </c>
      <c r="B424" s="446" t="s">
        <v>1774</v>
      </c>
      <c r="C424" s="446" t="s">
        <v>433</v>
      </c>
      <c r="D424" s="412" t="s">
        <v>819</v>
      </c>
      <c r="E424" s="1017"/>
      <c r="F424" s="1018"/>
      <c r="G424" s="1018"/>
      <c r="H424" s="1018"/>
      <c r="I424" s="659">
        <f>ROUND(Trial_2Cut[[#This Row],[Net]]/10^3,2)</f>
        <v>0</v>
      </c>
      <c r="J424" s="475" t="s">
        <v>1763</v>
      </c>
      <c r="K424" s="475" t="s">
        <v>1825</v>
      </c>
      <c r="L42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4" s="475"/>
      <c r="P424" s="443" t="e">
        <f>VLOOKUP(Trial_2Cut[[#This Row],[Account]],[108]Trial!$B:$G,6,FALSE)</f>
        <v>#N/A</v>
      </c>
    </row>
    <row r="425" spans="1:16">
      <c r="A425" s="446" t="s">
        <v>83</v>
      </c>
      <c r="B425" s="446" t="s">
        <v>1774</v>
      </c>
      <c r="C425" s="446" t="s">
        <v>1788</v>
      </c>
      <c r="D425" s="412" t="s">
        <v>820</v>
      </c>
      <c r="E425" s="1017"/>
      <c r="F425" s="1018"/>
      <c r="G425" s="1018"/>
      <c r="H425" s="1018"/>
      <c r="I425" s="659">
        <f>ROUND(Trial_2Cut[[#This Row],[Net]]/10^3,2)</f>
        <v>0</v>
      </c>
      <c r="J425" s="475"/>
      <c r="K425" s="475"/>
      <c r="L42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5" s="475"/>
    </row>
    <row r="426" spans="1:16">
      <c r="A426" s="446" t="s">
        <v>83</v>
      </c>
      <c r="B426" s="446" t="s">
        <v>1774</v>
      </c>
      <c r="C426" s="446" t="s">
        <v>1788</v>
      </c>
      <c r="D426" s="412" t="s">
        <v>821</v>
      </c>
      <c r="E426" s="1017"/>
      <c r="F426" s="1018"/>
      <c r="G426" s="1018"/>
      <c r="H426" s="1018"/>
      <c r="I426" s="659">
        <f>ROUND(Trial_2Cut[[#This Row],[Net]]/10^3,2)</f>
        <v>0</v>
      </c>
      <c r="J426" s="475"/>
      <c r="K426" s="475"/>
      <c r="L42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6" s="475"/>
    </row>
    <row r="427" spans="1:16">
      <c r="A427" s="446" t="s">
        <v>83</v>
      </c>
      <c r="B427" s="446" t="s">
        <v>1774</v>
      </c>
      <c r="C427" s="446" t="s">
        <v>1788</v>
      </c>
      <c r="D427" s="412" t="s">
        <v>822</v>
      </c>
      <c r="E427" s="1017"/>
      <c r="F427" s="1018"/>
      <c r="G427" s="1018"/>
      <c r="H427" s="1018"/>
      <c r="I427" s="659">
        <f>ROUND(Trial_2Cut[[#This Row],[Net]]/10^3,2)</f>
        <v>0</v>
      </c>
      <c r="J427" s="447" t="s">
        <v>624</v>
      </c>
      <c r="K427" s="447" t="s">
        <v>401</v>
      </c>
      <c r="L42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7" s="475"/>
    </row>
    <row r="428" spans="1:16">
      <c r="A428" s="446" t="s">
        <v>83</v>
      </c>
      <c r="B428" s="446" t="s">
        <v>1774</v>
      </c>
      <c r="C428" s="446" t="s">
        <v>433</v>
      </c>
      <c r="D428" s="412" t="s">
        <v>823</v>
      </c>
      <c r="E428" s="1017"/>
      <c r="F428" s="1018"/>
      <c r="G428" s="1018"/>
      <c r="H428" s="1018"/>
      <c r="I428" s="659">
        <f>ROUND(Trial_2Cut[[#This Row],[Net]]/10^3,2)</f>
        <v>0</v>
      </c>
      <c r="J428" s="475" t="s">
        <v>1763</v>
      </c>
      <c r="K428" s="475" t="str">
        <f>'Sch - PL'!$A$130</f>
        <v>Processing Fees</v>
      </c>
      <c r="L42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8" s="475"/>
    </row>
    <row r="429" spans="1:16">
      <c r="A429" s="446" t="s">
        <v>83</v>
      </c>
      <c r="B429" s="446" t="s">
        <v>1774</v>
      </c>
      <c r="C429" s="446" t="s">
        <v>433</v>
      </c>
      <c r="D429" s="412" t="s">
        <v>824</v>
      </c>
      <c r="E429" s="1017"/>
      <c r="F429" s="1018"/>
      <c r="G429" s="1018"/>
      <c r="H429" s="1018"/>
      <c r="I429" s="659">
        <f>ROUND(Trial_2Cut[[#This Row],[Net]]/10^3,2)</f>
        <v>0</v>
      </c>
      <c r="J429" s="475" t="s">
        <v>1763</v>
      </c>
      <c r="K429" s="475" t="str">
        <f>'Sch - PL'!$A$130</f>
        <v>Processing Fees</v>
      </c>
      <c r="L42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29" s="475"/>
    </row>
    <row r="430" spans="1:16">
      <c r="A430" s="446" t="s">
        <v>83</v>
      </c>
      <c r="B430" s="446" t="s">
        <v>1774</v>
      </c>
      <c r="C430" s="446" t="s">
        <v>433</v>
      </c>
      <c r="D430" s="412" t="s">
        <v>825</v>
      </c>
      <c r="E430" s="1017"/>
      <c r="F430" s="1018"/>
      <c r="G430" s="1018"/>
      <c r="H430" s="1018"/>
      <c r="I430" s="659">
        <f>ROUND(Trial_2Cut[[#This Row],[Net]]/10^3,2)</f>
        <v>0</v>
      </c>
      <c r="J430" s="475" t="s">
        <v>1763</v>
      </c>
      <c r="K430" s="475" t="s">
        <v>1812</v>
      </c>
      <c r="L43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0" s="475"/>
      <c r="P430" s="443" t="e">
        <f>VLOOKUP(Trial_2Cut[[#This Row],[Account]],[108]Trial!$B:$G,6,FALSE)</f>
        <v>#N/A</v>
      </c>
    </row>
    <row r="431" spans="1:16">
      <c r="A431" s="446" t="s">
        <v>83</v>
      </c>
      <c r="B431" s="446" t="s">
        <v>1774</v>
      </c>
      <c r="C431" s="446" t="s">
        <v>433</v>
      </c>
      <c r="D431" s="412" t="s">
        <v>826</v>
      </c>
      <c r="E431" s="1017"/>
      <c r="F431" s="1018"/>
      <c r="G431" s="1018"/>
      <c r="H431" s="1018"/>
      <c r="I431" s="659">
        <f>ROUND(Trial_2Cut[[#This Row],[Net]]/10^3,2)</f>
        <v>0</v>
      </c>
      <c r="J431" s="475" t="s">
        <v>1763</v>
      </c>
      <c r="K431" s="475" t="s">
        <v>1813</v>
      </c>
      <c r="L43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1" s="475"/>
      <c r="P431" s="443" t="e">
        <f>VLOOKUP(Trial_2Cut[[#This Row],[Account]],[108]Trial!$B:$G,6,FALSE)</f>
        <v>#N/A</v>
      </c>
    </row>
    <row r="432" spans="1:16">
      <c r="A432" s="446" t="s">
        <v>83</v>
      </c>
      <c r="B432" s="446" t="s">
        <v>1774</v>
      </c>
      <c r="C432" s="446" t="s">
        <v>433</v>
      </c>
      <c r="D432" s="412" t="s">
        <v>827</v>
      </c>
      <c r="E432" s="1017"/>
      <c r="F432" s="1018"/>
      <c r="G432" s="1018"/>
      <c r="H432" s="1018"/>
      <c r="I432" s="659">
        <f>ROUND(Trial_2Cut[[#This Row],[Net]]/10^3,2)</f>
        <v>0</v>
      </c>
      <c r="J432" s="475" t="s">
        <v>1763</v>
      </c>
      <c r="K432" s="475" t="s">
        <v>1821</v>
      </c>
      <c r="L43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2" s="475"/>
      <c r="P432" s="443" t="e">
        <f>VLOOKUP(Trial_2Cut[[#This Row],[Account]],[108]Trial!$B:$G,6,FALSE)</f>
        <v>#N/A</v>
      </c>
    </row>
    <row r="433" spans="1:16">
      <c r="A433" s="446" t="s">
        <v>83</v>
      </c>
      <c r="B433" s="446" t="s">
        <v>1774</v>
      </c>
      <c r="C433" s="446" t="s">
        <v>433</v>
      </c>
      <c r="D433" s="446" t="s">
        <v>828</v>
      </c>
      <c r="E433" s="1017"/>
      <c r="F433" s="1018"/>
      <c r="G433" s="1018"/>
      <c r="H433" s="1018"/>
      <c r="I433" s="659">
        <f>ROUND(Trial_2Cut[[#This Row],[Net]]/10^3,2)</f>
        <v>0</v>
      </c>
      <c r="J433" s="475" t="s">
        <v>1763</v>
      </c>
      <c r="K433" s="475" t="s">
        <v>1814</v>
      </c>
      <c r="L43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3" s="475"/>
      <c r="P433" s="443" t="e">
        <f>VLOOKUP(Trial_2Cut[[#This Row],[Account]],[108]Trial!$B:$G,6,FALSE)</f>
        <v>#N/A</v>
      </c>
    </row>
    <row r="434" spans="1:16">
      <c r="A434" s="446" t="s">
        <v>83</v>
      </c>
      <c r="B434" s="446" t="s">
        <v>1774</v>
      </c>
      <c r="C434" s="446" t="s">
        <v>433</v>
      </c>
      <c r="D434" s="446" t="s">
        <v>829</v>
      </c>
      <c r="E434" s="1017"/>
      <c r="F434" s="1018"/>
      <c r="G434" s="1018"/>
      <c r="H434" s="1018"/>
      <c r="I434" s="659">
        <f>ROUND(Trial_2Cut[[#This Row],[Net]]/10^3,2)</f>
        <v>0</v>
      </c>
      <c r="J434" s="475" t="s">
        <v>1763</v>
      </c>
      <c r="K434" s="475" t="s">
        <v>1815</v>
      </c>
      <c r="L43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4" s="475"/>
      <c r="P434" s="443" t="e">
        <f>VLOOKUP(Trial_2Cut[[#This Row],[Account]],[108]Trial!$B:$G,6,FALSE)</f>
        <v>#N/A</v>
      </c>
    </row>
    <row r="435" spans="1:16">
      <c r="A435" s="446" t="s">
        <v>83</v>
      </c>
      <c r="B435" s="446" t="s">
        <v>1774</v>
      </c>
      <c r="C435" s="446" t="s">
        <v>433</v>
      </c>
      <c r="D435" s="446" t="s">
        <v>830</v>
      </c>
      <c r="E435" s="1017"/>
      <c r="F435" s="1018"/>
      <c r="G435" s="1018"/>
      <c r="H435" s="1018"/>
      <c r="I435" s="659">
        <f>ROUND(Trial_2Cut[[#This Row],[Net]]/10^3,2)</f>
        <v>0</v>
      </c>
      <c r="J435" s="475" t="s">
        <v>1763</v>
      </c>
      <c r="K435" s="475" t="s">
        <v>1815</v>
      </c>
      <c r="L43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5" s="475"/>
      <c r="P435" s="443" t="e">
        <f>VLOOKUP(Trial_2Cut[[#This Row],[Account]],[108]Trial!$B:$G,6,FALSE)</f>
        <v>#N/A</v>
      </c>
    </row>
    <row r="436" spans="1:16">
      <c r="A436" s="446" t="s">
        <v>83</v>
      </c>
      <c r="B436" s="446" t="s">
        <v>1774</v>
      </c>
      <c r="C436" s="446" t="s">
        <v>433</v>
      </c>
      <c r="D436" s="446" t="s">
        <v>831</v>
      </c>
      <c r="E436" s="1017"/>
      <c r="F436" s="1018"/>
      <c r="G436" s="1018"/>
      <c r="H436" s="1018"/>
      <c r="I436" s="659">
        <f>ROUND(Trial_2Cut[[#This Row],[Net]]/10^3,2)</f>
        <v>0</v>
      </c>
      <c r="J436" s="475" t="s">
        <v>1763</v>
      </c>
      <c r="K436" s="475" t="s">
        <v>1818</v>
      </c>
      <c r="L43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6" s="475"/>
      <c r="P436" s="443" t="e">
        <f>VLOOKUP(Trial_2Cut[[#This Row],[Account]],[108]Trial!$B:$G,6,FALSE)</f>
        <v>#N/A</v>
      </c>
    </row>
    <row r="437" spans="1:16">
      <c r="A437" s="446" t="s">
        <v>83</v>
      </c>
      <c r="B437" s="446" t="s">
        <v>1774</v>
      </c>
      <c r="C437" s="446" t="s">
        <v>433</v>
      </c>
      <c r="D437" s="446" t="s">
        <v>832</v>
      </c>
      <c r="E437" s="1017"/>
      <c r="F437" s="1018"/>
      <c r="G437" s="1018"/>
      <c r="H437" s="1018"/>
      <c r="I437" s="659">
        <f>ROUND(Trial_2Cut[[#This Row],[Net]]/10^3,2)</f>
        <v>0</v>
      </c>
      <c r="J437" s="475" t="s">
        <v>1763</v>
      </c>
      <c r="K437" s="475" t="str">
        <f>'Sch - PL'!$A$111</f>
        <v xml:space="preserve">      - Vehicle</v>
      </c>
      <c r="L43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7" s="475"/>
    </row>
    <row r="438" spans="1:16">
      <c r="A438" s="446" t="s">
        <v>83</v>
      </c>
      <c r="B438" s="446" t="s">
        <v>1774</v>
      </c>
      <c r="C438" s="446" t="s">
        <v>433</v>
      </c>
      <c r="D438" s="446" t="s">
        <v>833</v>
      </c>
      <c r="E438" s="1017"/>
      <c r="F438" s="1018"/>
      <c r="G438" s="1018"/>
      <c r="H438" s="1018"/>
      <c r="I438" s="659">
        <f>ROUND(Trial_2Cut[[#This Row],[Net]]/10^3,2)</f>
        <v>0</v>
      </c>
      <c r="J438" s="475" t="s">
        <v>1763</v>
      </c>
      <c r="K438" s="475" t="str">
        <f>'Sch - PL'!$A$111</f>
        <v xml:space="preserve">      - Vehicle</v>
      </c>
      <c r="L438"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8" s="475"/>
    </row>
    <row r="439" spans="1:16">
      <c r="A439" s="446" t="s">
        <v>83</v>
      </c>
      <c r="B439" s="446" t="s">
        <v>1774</v>
      </c>
      <c r="C439" s="446" t="s">
        <v>1788</v>
      </c>
      <c r="D439" s="446" t="s">
        <v>834</v>
      </c>
      <c r="E439" s="1017"/>
      <c r="F439" s="1018"/>
      <c r="G439" s="1018"/>
      <c r="H439" s="1018"/>
      <c r="I439" s="659">
        <f>ROUND(Trial_2Cut[[#This Row],[Net]]/10^3,2)</f>
        <v>0</v>
      </c>
      <c r="J439" s="475"/>
      <c r="K439" s="475"/>
      <c r="L439"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39" s="475"/>
    </row>
    <row r="440" spans="1:16">
      <c r="A440" s="446" t="s">
        <v>83</v>
      </c>
      <c r="B440" s="446" t="s">
        <v>1774</v>
      </c>
      <c r="C440" s="446" t="s">
        <v>433</v>
      </c>
      <c r="D440" s="446" t="s">
        <v>835</v>
      </c>
      <c r="E440" s="1017"/>
      <c r="F440" s="1018"/>
      <c r="G440" s="1018"/>
      <c r="H440" s="1018"/>
      <c r="I440" s="659">
        <f>ROUND(Trial_2Cut[[#This Row],[Net]]/10^3,2)</f>
        <v>0</v>
      </c>
      <c r="J440" s="475" t="s">
        <v>1763</v>
      </c>
      <c r="K440" s="475" t="str">
        <f>'Sch - PL'!$A$125</f>
        <v>Misc. Exps</v>
      </c>
      <c r="L440"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40" s="475"/>
      <c r="P440" s="443" t="e">
        <f>VLOOKUP(Trial_2Cut[[#This Row],[Account]],[108]Trial!$B:$G,6,FALSE)</f>
        <v>#N/A</v>
      </c>
    </row>
    <row r="441" spans="1:16">
      <c r="A441" s="446" t="s">
        <v>83</v>
      </c>
      <c r="B441" s="446" t="s">
        <v>1774</v>
      </c>
      <c r="C441" s="446" t="s">
        <v>433</v>
      </c>
      <c r="D441" s="446" t="s">
        <v>836</v>
      </c>
      <c r="E441" s="1017"/>
      <c r="F441" s="1018"/>
      <c r="G441" s="1018"/>
      <c r="H441" s="1018"/>
      <c r="I441" s="659">
        <f>ROUND(Trial_2Cut[[#This Row],[Net]]/10^3,2)</f>
        <v>0</v>
      </c>
      <c r="J441" s="475" t="s">
        <v>1763</v>
      </c>
      <c r="K441" s="475" t="s">
        <v>1795</v>
      </c>
      <c r="L441"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41" s="475"/>
      <c r="P441" s="443" t="e">
        <f>VLOOKUP(Trial_2Cut[[#This Row],[Account]],[108]Trial!$B:$G,6,FALSE)</f>
        <v>#N/A</v>
      </c>
    </row>
    <row r="442" spans="1:16">
      <c r="A442" s="446" t="s">
        <v>83</v>
      </c>
      <c r="B442" s="446" t="s">
        <v>1774</v>
      </c>
      <c r="C442" s="446" t="s">
        <v>433</v>
      </c>
      <c r="D442" s="446" t="s">
        <v>837</v>
      </c>
      <c r="E442" s="1017"/>
      <c r="F442" s="1018"/>
      <c r="G442" s="1018"/>
      <c r="H442" s="1018"/>
      <c r="I442" s="659">
        <f>ROUND(Trial_2Cut[[#This Row],[Net]]/10^3,2)</f>
        <v>0</v>
      </c>
      <c r="J442" s="475" t="s">
        <v>1763</v>
      </c>
      <c r="K442" s="475" t="s">
        <v>1819</v>
      </c>
      <c r="L442"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42" s="475"/>
      <c r="P442" s="443" t="e">
        <f>VLOOKUP(Trial_2Cut[[#This Row],[Account]],[108]Trial!$B:$G,6,FALSE)</f>
        <v>#N/A</v>
      </c>
    </row>
    <row r="443" spans="1:16">
      <c r="A443" s="446" t="s">
        <v>83</v>
      </c>
      <c r="B443" s="446" t="s">
        <v>1774</v>
      </c>
      <c r="C443" s="446" t="s">
        <v>433</v>
      </c>
      <c r="D443" s="446" t="s">
        <v>838</v>
      </c>
      <c r="E443" s="1017"/>
      <c r="F443" s="1018"/>
      <c r="G443" s="1018"/>
      <c r="H443" s="1018"/>
      <c r="I443" s="659">
        <f>ROUND(Trial_2Cut[[#This Row],[Net]]/10^3,2)</f>
        <v>0</v>
      </c>
      <c r="J443" s="475" t="s">
        <v>1763</v>
      </c>
      <c r="K443" s="475" t="s">
        <v>1782</v>
      </c>
      <c r="L443"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43" s="475"/>
      <c r="P443" s="443" t="e">
        <f>VLOOKUP(Trial_2Cut[[#This Row],[Account]],[108]Trial!$B:$G,6,FALSE)</f>
        <v>#N/A</v>
      </c>
    </row>
    <row r="444" spans="1:16">
      <c r="A444" s="446" t="s">
        <v>83</v>
      </c>
      <c r="B444" s="446" t="s">
        <v>1774</v>
      </c>
      <c r="C444" s="446" t="s">
        <v>433</v>
      </c>
      <c r="D444" s="446" t="s">
        <v>839</v>
      </c>
      <c r="E444" s="1017"/>
      <c r="F444" s="1018"/>
      <c r="G444" s="1018"/>
      <c r="H444" s="1018"/>
      <c r="I444" s="659">
        <f>ROUND(Trial_2Cut[[#This Row],[Net]]/10^3,2)</f>
        <v>0</v>
      </c>
      <c r="J444" s="475" t="s">
        <v>1763</v>
      </c>
      <c r="K444" s="475" t="s">
        <v>1821</v>
      </c>
      <c r="L444"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44" s="475"/>
      <c r="P444" s="443" t="e">
        <f>VLOOKUP(Trial_2Cut[[#This Row],[Account]],[108]Trial!$B:$G,6,FALSE)</f>
        <v>#N/A</v>
      </c>
    </row>
    <row r="445" spans="1:16">
      <c r="A445" s="446" t="s">
        <v>83</v>
      </c>
      <c r="B445" s="446" t="s">
        <v>1774</v>
      </c>
      <c r="C445" s="446" t="s">
        <v>433</v>
      </c>
      <c r="D445" s="446" t="s">
        <v>840</v>
      </c>
      <c r="E445" s="1017"/>
      <c r="F445" s="1018"/>
      <c r="G445" s="1018"/>
      <c r="H445" s="1018"/>
      <c r="I445" s="659">
        <f>ROUND(Trial_2Cut[[#This Row],[Net]]/10^3,2)</f>
        <v>0</v>
      </c>
      <c r="J445" s="475" t="s">
        <v>1763</v>
      </c>
      <c r="K445" s="475" t="str">
        <f>'Sch - PL'!$A$111</f>
        <v xml:space="preserve">      - Vehicle</v>
      </c>
      <c r="L445"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45" s="475"/>
    </row>
    <row r="446" spans="1:16">
      <c r="A446" s="446" t="s">
        <v>83</v>
      </c>
      <c r="B446" s="446" t="s">
        <v>1774</v>
      </c>
      <c r="C446" s="446" t="s">
        <v>433</v>
      </c>
      <c r="D446" s="446" t="s">
        <v>841</v>
      </c>
      <c r="E446" s="1017"/>
      <c r="F446" s="1018"/>
      <c r="G446" s="1018"/>
      <c r="H446" s="1018"/>
      <c r="I446" s="659">
        <f>ROUND(Trial_2Cut[[#This Row],[Net]]/10^3,2)</f>
        <v>0</v>
      </c>
      <c r="J446" s="475" t="s">
        <v>1763</v>
      </c>
      <c r="K446" s="475" t="str">
        <f>'Sch - PL'!$A$111</f>
        <v xml:space="preserve">      - Vehicle</v>
      </c>
      <c r="L446"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46" s="475"/>
    </row>
    <row r="447" spans="1:16">
      <c r="A447" s="446" t="s">
        <v>83</v>
      </c>
      <c r="B447" s="446" t="s">
        <v>1774</v>
      </c>
      <c r="C447" s="446" t="s">
        <v>433</v>
      </c>
      <c r="D447" s="446" t="s">
        <v>842</v>
      </c>
      <c r="E447" s="1017"/>
      <c r="F447" s="1018"/>
      <c r="G447" s="1018"/>
      <c r="H447" s="1018"/>
      <c r="I447" s="659">
        <f>ROUND(Trial_2Cut[[#This Row],[Net]]/10^3,2)</f>
        <v>0</v>
      </c>
      <c r="J447" s="475" t="s">
        <v>1763</v>
      </c>
      <c r="K447" s="475" t="s">
        <v>1825</v>
      </c>
      <c r="L447" s="447" t="str">
        <f>IFERROR(IF(OR(Trial_2Cut[[#This Row],[Level 1]]=$L$1,Trial_2Cut[[#This Row],[Level 1]]=$L$2),IF(SUMIF(Trial_2Cut[Sub Group],Trial_2Cut[[#This Row],[Sub Group]],Trial_2Cut[Rs. In Hundereds])&gt;0,$L$1,$L$2),IF(SUMIF(Trial_2Cut[Sub Group],Trial_2Cut[[#This Row],[Sub Group]],Trial_2Cut[Rs. In Hundereds])&gt;0,$M$2,$M$1)),Trial_2Cut[[#This Row],[Level 1]])</f>
        <v>Income</v>
      </c>
      <c r="M447" s="475"/>
      <c r="P447" s="443" t="e">
        <f>VLOOKUP(Trial_2Cut[[#This Row],[Account]],[108]Trial!$B:$G,6,FALSE)</f>
        <v>#N/A</v>
      </c>
    </row>
    <row r="448" spans="1:16">
      <c r="A448" s="446" t="s">
        <v>427</v>
      </c>
      <c r="B448" s="446"/>
      <c r="C448" s="446"/>
      <c r="D448" s="446" t="s">
        <v>843</v>
      </c>
      <c r="E448" s="1017"/>
      <c r="F448" s="1018"/>
      <c r="G448" s="1018"/>
      <c r="H448" s="1018"/>
      <c r="I448" s="659">
        <f>ROUND(Trial_2Cut[[#This Row],[Net]]/10^3,2)</f>
        <v>0</v>
      </c>
      <c r="J448" s="475" t="s">
        <v>160</v>
      </c>
      <c r="K448" s="475" t="s">
        <v>1838</v>
      </c>
      <c r="L448" s="447" t="str">
        <f>IFERROR(IF(OR(Trial_2Cut[[#This Row],[Level 1]]=$L$1,Trial_2Cut[[#This Row],[Level 1]]=$L$2),IF(SUMIF(Trial_2Cut[Sub Group],Trial_2Cut[[#This Row],[Sub Group]],Trial_2Cut[Rs. In Hundereds])&gt;0,$L$1,$L$2),IF(SUMIF(Trial_2Cut[Sub Group],Trial_2Cut[[#This Row],[Sub Group]],Trial_2Cut[Rs. In Hundereds])&gt;0,$M$2,$M$1)),Trial_2Cut[[#This Row],[Level 1]])</f>
        <v>Liability</v>
      </c>
      <c r="M448" s="475"/>
    </row>
  </sheetData>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01"/>
  <sheetViews>
    <sheetView showGridLines="0" workbookViewId="0">
      <pane xSplit="4" ySplit="4" topLeftCell="E5" activePane="bottomRight" state="frozen"/>
      <selection activeCell="B13" sqref="B13"/>
      <selection pane="topRight" activeCell="B13" sqref="B13"/>
      <selection pane="bottomLeft" activeCell="B13" sqref="B13"/>
      <selection pane="bottomRight" activeCell="I5" sqref="I5"/>
    </sheetView>
  </sheetViews>
  <sheetFormatPr defaultRowHeight="15"/>
  <cols>
    <col min="1" max="1" width="11" style="443" customWidth="1"/>
    <col min="2" max="2" width="12.5703125" style="443" customWidth="1"/>
    <col min="3" max="3" width="20.5703125" style="443" customWidth="1"/>
    <col min="4" max="4" width="41.140625" style="443" customWidth="1"/>
    <col min="5" max="5" width="21.28515625" style="443" customWidth="1"/>
    <col min="6" max="7" width="15.28515625" style="443" bestFit="1" customWidth="1"/>
    <col min="8" max="8" width="15" style="443" bestFit="1" customWidth="1"/>
    <col min="9" max="9" width="22.140625" style="443" bestFit="1" customWidth="1"/>
    <col min="10" max="10" width="9.7109375" style="443" customWidth="1"/>
    <col min="11" max="11" width="33" style="443" customWidth="1"/>
    <col min="12" max="12" width="16.7109375" style="443" customWidth="1"/>
    <col min="13" max="13" width="12.5703125" style="443" customWidth="1"/>
    <col min="14" max="16384" width="9.140625" style="443"/>
  </cols>
  <sheetData>
    <row r="1" spans="1:13">
      <c r="L1" s="443" t="s">
        <v>427</v>
      </c>
      <c r="M1" s="443" t="s">
        <v>430</v>
      </c>
    </row>
    <row r="2" spans="1:13">
      <c r="F2" s="444">
        <f ca="1">SUBTOTAL(9,Trial_1Cut[Debit])</f>
        <v>0</v>
      </c>
      <c r="G2" s="444">
        <f ca="1">SUBTOTAL(9,Trial_1Cut[Credit])</f>
        <v>0</v>
      </c>
      <c r="H2" s="445">
        <f ca="1">ROUND(SUBTOTAL(9,Trial_1Cut[Net]),0)</f>
        <v>0</v>
      </c>
      <c r="I2" s="444">
        <f ca="1">SUBTOTAL(9,Trial_1Cut[Rs. In Hundereds])</f>
        <v>0</v>
      </c>
      <c r="L2" s="443" t="s">
        <v>621</v>
      </c>
      <c r="M2" s="443" t="s">
        <v>83</v>
      </c>
    </row>
    <row r="4" spans="1:13">
      <c r="A4" s="446" t="s">
        <v>411</v>
      </c>
      <c r="B4" s="446" t="s">
        <v>412</v>
      </c>
      <c r="C4" s="446" t="s">
        <v>413</v>
      </c>
      <c r="D4" s="446" t="s">
        <v>414</v>
      </c>
      <c r="E4" s="446" t="s">
        <v>426</v>
      </c>
      <c r="F4" s="446" t="s">
        <v>415</v>
      </c>
      <c r="G4" s="446" t="s">
        <v>416</v>
      </c>
      <c r="H4" s="446" t="s">
        <v>417</v>
      </c>
      <c r="I4" s="446" t="s">
        <v>623</v>
      </c>
      <c r="J4" s="446" t="s">
        <v>418</v>
      </c>
      <c r="K4" s="446" t="s">
        <v>419</v>
      </c>
      <c r="L4" s="446" t="s">
        <v>438</v>
      </c>
      <c r="M4" s="446" t="s">
        <v>420</v>
      </c>
    </row>
    <row r="5" spans="1:13">
      <c r="A5" t="s">
        <v>621</v>
      </c>
      <c r="B5" t="s">
        <v>584</v>
      </c>
      <c r="C5" t="s">
        <v>421</v>
      </c>
      <c r="D5" t="s">
        <v>663</v>
      </c>
      <c r="E5" s="656"/>
      <c r="F5" s="656"/>
      <c r="G5" s="656"/>
      <c r="H5" s="656"/>
      <c r="I5" s="659">
        <f>ROUND(Trial_1Cut[[#This Row],[Net]]/10^2,2)</f>
        <v>0</v>
      </c>
      <c r="J5" s="447"/>
      <c r="K5" s="447"/>
      <c r="L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 s="447"/>
    </row>
    <row r="6" spans="1:13">
      <c r="A6" t="s">
        <v>621</v>
      </c>
      <c r="B6" t="s">
        <v>584</v>
      </c>
      <c r="C6" t="s">
        <v>421</v>
      </c>
      <c r="D6" t="s">
        <v>664</v>
      </c>
      <c r="E6" s="656"/>
      <c r="F6" s="656"/>
      <c r="G6" s="656"/>
      <c r="H6" s="656"/>
      <c r="I6" s="659">
        <f>ROUND(Trial_1Cut[[#This Row],[Net]]/10^2,2)</f>
        <v>0</v>
      </c>
      <c r="J6" s="447" t="s">
        <v>655</v>
      </c>
      <c r="K6" s="447" t="s">
        <v>654</v>
      </c>
      <c r="L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 s="447"/>
    </row>
    <row r="7" spans="1:13">
      <c r="A7" t="s">
        <v>621</v>
      </c>
      <c r="B7" t="s">
        <v>584</v>
      </c>
      <c r="C7" t="s">
        <v>421</v>
      </c>
      <c r="D7" t="s">
        <v>665</v>
      </c>
      <c r="E7" s="656"/>
      <c r="F7" s="656"/>
      <c r="G7" s="656"/>
      <c r="H7" s="656"/>
      <c r="I7" s="659">
        <f>ROUND(Trial_1Cut[[#This Row],[Net]]/10^2,2)</f>
        <v>0</v>
      </c>
      <c r="J7" s="447"/>
      <c r="K7" s="447"/>
      <c r="L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 s="447"/>
    </row>
    <row r="8" spans="1:13">
      <c r="A8" t="s">
        <v>621</v>
      </c>
      <c r="B8" t="s">
        <v>584</v>
      </c>
      <c r="C8" t="s">
        <v>421</v>
      </c>
      <c r="D8" t="s">
        <v>666</v>
      </c>
      <c r="E8" s="656"/>
      <c r="F8" s="656"/>
      <c r="G8" s="656"/>
      <c r="H8" s="656"/>
      <c r="I8" s="659">
        <f>ROUND(Trial_1Cut[[#This Row],[Net]]/10^2,2)</f>
        <v>0</v>
      </c>
      <c r="J8" s="447"/>
      <c r="K8" s="447"/>
      <c r="L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 s="447"/>
    </row>
    <row r="9" spans="1:13">
      <c r="A9" t="s">
        <v>621</v>
      </c>
      <c r="B9" t="s">
        <v>585</v>
      </c>
      <c r="C9" t="s">
        <v>589</v>
      </c>
      <c r="D9" t="s">
        <v>667</v>
      </c>
      <c r="E9" s="656"/>
      <c r="F9" s="656"/>
      <c r="G9" s="656"/>
      <c r="H9" s="656"/>
      <c r="I9" s="659">
        <f>ROUND(Trial_1Cut[[#This Row],[Net]]/10^2,2)</f>
        <v>0</v>
      </c>
      <c r="J9" s="447" t="s">
        <v>617</v>
      </c>
      <c r="K9" s="447" t="s">
        <v>618</v>
      </c>
      <c r="L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 s="447"/>
    </row>
    <row r="10" spans="1:13">
      <c r="A10" t="s">
        <v>621</v>
      </c>
      <c r="B10" t="s">
        <v>585</v>
      </c>
      <c r="C10" t="s">
        <v>589</v>
      </c>
      <c r="D10" t="s">
        <v>668</v>
      </c>
      <c r="E10" s="656"/>
      <c r="F10" s="656"/>
      <c r="G10" s="656"/>
      <c r="H10" s="656"/>
      <c r="I10" s="659">
        <f>ROUND(Trial_1Cut[[#This Row],[Net]]/10^2,2)</f>
        <v>0</v>
      </c>
      <c r="J10" s="447" t="s">
        <v>617</v>
      </c>
      <c r="K10" s="447" t="s">
        <v>618</v>
      </c>
      <c r="L1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 s="447"/>
    </row>
    <row r="11" spans="1:13">
      <c r="A11" t="s">
        <v>621</v>
      </c>
      <c r="B11" t="s">
        <v>585</v>
      </c>
      <c r="C11" t="s">
        <v>590</v>
      </c>
      <c r="D11" t="s">
        <v>669</v>
      </c>
      <c r="E11" s="656"/>
      <c r="F11" s="656"/>
      <c r="G11" s="656"/>
      <c r="H11" s="656"/>
      <c r="I11" s="659">
        <f>ROUND(Trial_1Cut[[#This Row],[Net]]/10^2,2)</f>
        <v>0</v>
      </c>
      <c r="J11" s="447" t="s">
        <v>617</v>
      </c>
      <c r="K11" s="447" t="s">
        <v>619</v>
      </c>
      <c r="L1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 s="447"/>
    </row>
    <row r="12" spans="1:13">
      <c r="A12" t="s">
        <v>621</v>
      </c>
      <c r="B12" t="s">
        <v>585</v>
      </c>
      <c r="C12" t="s">
        <v>590</v>
      </c>
      <c r="D12" t="s">
        <v>670</v>
      </c>
      <c r="E12" s="656"/>
      <c r="F12" s="656"/>
      <c r="G12" s="656"/>
      <c r="H12" s="656"/>
      <c r="I12" s="659">
        <f>ROUND(Trial_1Cut[[#This Row],[Net]]/10^2,2)</f>
        <v>0</v>
      </c>
      <c r="J12" s="447" t="s">
        <v>617</v>
      </c>
      <c r="K12" s="447" t="s">
        <v>619</v>
      </c>
      <c r="L1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 s="447"/>
    </row>
    <row r="13" spans="1:13">
      <c r="A13" t="s">
        <v>621</v>
      </c>
      <c r="B13" t="s">
        <v>585</v>
      </c>
      <c r="C13" t="s">
        <v>188</v>
      </c>
      <c r="D13" t="s">
        <v>671</v>
      </c>
      <c r="E13" s="656"/>
      <c r="F13" s="656"/>
      <c r="G13" s="656"/>
      <c r="H13" s="656"/>
      <c r="I13" s="659">
        <f>ROUND(Trial_1Cut[[#This Row],[Net]]/10^2,2)</f>
        <v>0</v>
      </c>
      <c r="J13" s="447" t="s">
        <v>617</v>
      </c>
      <c r="K13" s="447" t="s">
        <v>619</v>
      </c>
      <c r="L1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 s="447"/>
    </row>
    <row r="14" spans="1:13">
      <c r="A14" t="s">
        <v>621</v>
      </c>
      <c r="B14" t="s">
        <v>585</v>
      </c>
      <c r="C14" t="s">
        <v>188</v>
      </c>
      <c r="D14" t="s">
        <v>672</v>
      </c>
      <c r="E14" s="656"/>
      <c r="F14" s="656"/>
      <c r="G14" s="656"/>
      <c r="H14" s="656"/>
      <c r="I14" s="659">
        <f>ROUND(Trial_1Cut[[#This Row],[Net]]/10^2,2)</f>
        <v>0</v>
      </c>
      <c r="J14" s="447" t="s">
        <v>617</v>
      </c>
      <c r="K14" s="447" t="s">
        <v>619</v>
      </c>
      <c r="L1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 s="447"/>
    </row>
    <row r="15" spans="1:13">
      <c r="A15" t="s">
        <v>621</v>
      </c>
      <c r="B15" t="s">
        <v>585</v>
      </c>
      <c r="C15" t="s">
        <v>188</v>
      </c>
      <c r="D15" t="s">
        <v>673</v>
      </c>
      <c r="E15" s="656"/>
      <c r="F15" s="656"/>
      <c r="G15" s="656"/>
      <c r="H15" s="656"/>
      <c r="I15" s="659">
        <f>ROUND(Trial_1Cut[[#This Row],[Net]]/10^2,2)</f>
        <v>0</v>
      </c>
      <c r="J15" s="447" t="s">
        <v>617</v>
      </c>
      <c r="K15" s="447" t="s">
        <v>620</v>
      </c>
      <c r="L1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 s="447"/>
    </row>
    <row r="16" spans="1:13">
      <c r="A16" t="s">
        <v>621</v>
      </c>
      <c r="B16" t="s">
        <v>585</v>
      </c>
      <c r="C16" t="s">
        <v>188</v>
      </c>
      <c r="D16" t="s">
        <v>674</v>
      </c>
      <c r="E16" s="656"/>
      <c r="F16" s="656"/>
      <c r="G16" s="656"/>
      <c r="H16" s="656"/>
      <c r="I16" s="659">
        <f>ROUND(Trial_1Cut[[#This Row],[Net]]/10^2,2)</f>
        <v>0</v>
      </c>
      <c r="J16" s="447" t="s">
        <v>617</v>
      </c>
      <c r="K16" s="447" t="s">
        <v>620</v>
      </c>
      <c r="L1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 s="447"/>
    </row>
    <row r="17" spans="1:13">
      <c r="A17" t="s">
        <v>621</v>
      </c>
      <c r="B17" t="s">
        <v>585</v>
      </c>
      <c r="C17" t="s">
        <v>188</v>
      </c>
      <c r="D17" t="s">
        <v>675</v>
      </c>
      <c r="E17" s="656"/>
      <c r="F17" s="656"/>
      <c r="G17" s="656"/>
      <c r="H17" s="656"/>
      <c r="I17" s="659">
        <f>ROUND(Trial_1Cut[[#This Row],[Net]]/10^2,2)</f>
        <v>0</v>
      </c>
      <c r="J17" s="447" t="s">
        <v>617</v>
      </c>
      <c r="K17" s="447" t="s">
        <v>620</v>
      </c>
      <c r="L1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 s="447"/>
    </row>
    <row r="18" spans="1:13">
      <c r="A18" t="s">
        <v>427</v>
      </c>
      <c r="B18" t="s">
        <v>422</v>
      </c>
      <c r="C18" t="s">
        <v>424</v>
      </c>
      <c r="D18" t="s">
        <v>676</v>
      </c>
      <c r="E18" s="656"/>
      <c r="F18" s="656"/>
      <c r="G18" s="656"/>
      <c r="H18" s="656"/>
      <c r="I18" s="659">
        <f>ROUND(Trial_1Cut[[#This Row],[Net]]/10^2,2)</f>
        <v>0</v>
      </c>
      <c r="J18" s="447" t="s">
        <v>622</v>
      </c>
      <c r="K18" s="447" t="str">
        <f>'Sch - assets'!$A$76</f>
        <v>Prepaid expenses</v>
      </c>
      <c r="L1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 s="447"/>
    </row>
    <row r="19" spans="1:13">
      <c r="A19" t="s">
        <v>427</v>
      </c>
      <c r="B19" t="s">
        <v>422</v>
      </c>
      <c r="C19" t="s">
        <v>424</v>
      </c>
      <c r="D19" t="s">
        <v>677</v>
      </c>
      <c r="E19" s="656"/>
      <c r="F19" s="656"/>
      <c r="G19" s="656"/>
      <c r="H19" s="656"/>
      <c r="I19" s="659">
        <f>ROUND(Trial_1Cut[[#This Row],[Net]]/10^2,2)</f>
        <v>0</v>
      </c>
      <c r="J19" s="447" t="s">
        <v>622</v>
      </c>
      <c r="K19" s="447" t="str">
        <f>'Sch - assets'!$A$76</f>
        <v>Prepaid expenses</v>
      </c>
      <c r="L1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 s="447"/>
    </row>
    <row r="20" spans="1:13">
      <c r="A20" t="s">
        <v>427</v>
      </c>
      <c r="B20" t="s">
        <v>422</v>
      </c>
      <c r="C20" t="s">
        <v>424</v>
      </c>
      <c r="D20" t="s">
        <v>678</v>
      </c>
      <c r="E20" s="656"/>
      <c r="F20" s="656"/>
      <c r="G20" s="656"/>
      <c r="H20" s="656"/>
      <c r="I20" s="659">
        <f>ROUND(Trial_1Cut[[#This Row],[Net]]/10^2,2)</f>
        <v>0</v>
      </c>
      <c r="J20" s="447" t="s">
        <v>622</v>
      </c>
      <c r="K20" s="447" t="str">
        <f>'Sch - assets'!$A$76</f>
        <v>Prepaid expenses</v>
      </c>
      <c r="L2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 s="447"/>
    </row>
    <row r="21" spans="1:13">
      <c r="A21" t="s">
        <v>427</v>
      </c>
      <c r="B21" t="s">
        <v>422</v>
      </c>
      <c r="C21" t="s">
        <v>424</v>
      </c>
      <c r="D21" t="s">
        <v>677</v>
      </c>
      <c r="E21" s="656"/>
      <c r="F21" s="656"/>
      <c r="G21" s="656"/>
      <c r="H21" s="656"/>
      <c r="I21" s="659">
        <f>ROUND(Trial_1Cut[[#This Row],[Net]]/10^2,2)</f>
        <v>0</v>
      </c>
      <c r="J21" s="447" t="s">
        <v>622</v>
      </c>
      <c r="K21" s="447" t="str">
        <f>'Sch - assets'!$A$76</f>
        <v>Prepaid expenses</v>
      </c>
      <c r="L2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 s="447"/>
    </row>
    <row r="22" spans="1:13">
      <c r="A22" t="s">
        <v>427</v>
      </c>
      <c r="B22" t="s">
        <v>422</v>
      </c>
      <c r="C22" t="s">
        <v>424</v>
      </c>
      <c r="D22" t="s">
        <v>679</v>
      </c>
      <c r="E22" s="656"/>
      <c r="F22" s="656"/>
      <c r="G22" s="656"/>
      <c r="H22" s="656"/>
      <c r="I22" s="659">
        <f>ROUND(Trial_1Cut[[#This Row],[Net]]/10^2,2)</f>
        <v>0</v>
      </c>
      <c r="J22" s="447" t="s">
        <v>622</v>
      </c>
      <c r="K22" s="447" t="str">
        <f>'Sch - assets'!$A$76</f>
        <v>Prepaid expenses</v>
      </c>
      <c r="L2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 s="447"/>
    </row>
    <row r="23" spans="1:13">
      <c r="A23" t="s">
        <v>427</v>
      </c>
      <c r="B23" t="s">
        <v>422</v>
      </c>
      <c r="C23" t="s">
        <v>424</v>
      </c>
      <c r="D23" t="s">
        <v>680</v>
      </c>
      <c r="E23" s="656"/>
      <c r="F23" s="656"/>
      <c r="G23" s="656"/>
      <c r="H23" s="656"/>
      <c r="I23" s="659">
        <f>ROUND(Trial_1Cut[[#This Row],[Net]]/10^2,2)</f>
        <v>0</v>
      </c>
      <c r="J23" s="447" t="s">
        <v>622</v>
      </c>
      <c r="K23" s="447" t="str">
        <f>'Sch - assets'!$A$76</f>
        <v>Prepaid expenses</v>
      </c>
      <c r="L2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3" s="447"/>
    </row>
    <row r="24" spans="1:13">
      <c r="A24" t="s">
        <v>427</v>
      </c>
      <c r="B24" t="s">
        <v>422</v>
      </c>
      <c r="C24" t="s">
        <v>424</v>
      </c>
      <c r="D24" t="s">
        <v>681</v>
      </c>
      <c r="E24" s="656"/>
      <c r="F24" s="656"/>
      <c r="G24" s="656"/>
      <c r="H24" s="656"/>
      <c r="I24" s="659">
        <f>ROUND(Trial_1Cut[[#This Row],[Net]]/10^2,2)</f>
        <v>0</v>
      </c>
      <c r="J24" s="447" t="s">
        <v>622</v>
      </c>
      <c r="K24" s="447" t="str">
        <f>'Sch - assets'!$A$76</f>
        <v>Prepaid expenses</v>
      </c>
      <c r="L2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4" s="447"/>
    </row>
    <row r="25" spans="1:13">
      <c r="A25" t="s">
        <v>427</v>
      </c>
      <c r="B25" t="s">
        <v>422</v>
      </c>
      <c r="C25" t="s">
        <v>424</v>
      </c>
      <c r="D25" t="s">
        <v>682</v>
      </c>
      <c r="E25" s="656"/>
      <c r="F25" s="656"/>
      <c r="G25" s="656"/>
      <c r="H25" s="656"/>
      <c r="I25" s="659">
        <f>ROUND(Trial_1Cut[[#This Row],[Net]]/10^2,2)</f>
        <v>0</v>
      </c>
      <c r="J25" s="447" t="s">
        <v>622</v>
      </c>
      <c r="K25" s="447" t="str">
        <f>'Sch - assets'!$A$76</f>
        <v>Prepaid expenses</v>
      </c>
      <c r="L2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5" s="447"/>
    </row>
    <row r="26" spans="1:13">
      <c r="A26" t="s">
        <v>427</v>
      </c>
      <c r="B26" t="s">
        <v>422</v>
      </c>
      <c r="C26" t="s">
        <v>424</v>
      </c>
      <c r="D26" t="s">
        <v>683</v>
      </c>
      <c r="E26" s="656"/>
      <c r="F26" s="656"/>
      <c r="G26" s="656"/>
      <c r="H26" s="656"/>
      <c r="I26" s="659">
        <f>ROUND(Trial_1Cut[[#This Row],[Net]]/10^2,2)</f>
        <v>0</v>
      </c>
      <c r="J26" s="447" t="s">
        <v>622</v>
      </c>
      <c r="K26" s="447" t="str">
        <f>'Sch - assets'!$A$76</f>
        <v>Prepaid expenses</v>
      </c>
      <c r="L2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6" s="447"/>
    </row>
    <row r="27" spans="1:13">
      <c r="A27" t="s">
        <v>427</v>
      </c>
      <c r="B27" t="s">
        <v>422</v>
      </c>
      <c r="C27" t="s">
        <v>424</v>
      </c>
      <c r="D27" t="s">
        <v>684</v>
      </c>
      <c r="E27" s="656"/>
      <c r="F27" s="656"/>
      <c r="G27" s="656"/>
      <c r="H27" s="656"/>
      <c r="I27" s="659">
        <f>ROUND(Trial_1Cut[[#This Row],[Net]]/10^2,2)</f>
        <v>0</v>
      </c>
      <c r="J27" s="447" t="s">
        <v>622</v>
      </c>
      <c r="K27" s="447" t="str">
        <f>'Sch - assets'!$A$76</f>
        <v>Prepaid expenses</v>
      </c>
      <c r="L2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7" s="447"/>
    </row>
    <row r="28" spans="1:13">
      <c r="A28" t="s">
        <v>427</v>
      </c>
      <c r="B28" t="s">
        <v>422</v>
      </c>
      <c r="C28" t="s">
        <v>424</v>
      </c>
      <c r="D28" t="s">
        <v>685</v>
      </c>
      <c r="E28" s="656"/>
      <c r="F28" s="656"/>
      <c r="G28" s="656"/>
      <c r="H28" s="656"/>
      <c r="I28" s="659">
        <f>ROUND(Trial_1Cut[[#This Row],[Net]]/10^2,2)</f>
        <v>0</v>
      </c>
      <c r="J28" s="447" t="s">
        <v>622</v>
      </c>
      <c r="K28" s="447" t="str">
        <f>'Sch - assets'!$A$76</f>
        <v>Prepaid expenses</v>
      </c>
      <c r="L2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8" s="447"/>
    </row>
    <row r="29" spans="1:13">
      <c r="A29" t="s">
        <v>427</v>
      </c>
      <c r="B29" t="s">
        <v>422</v>
      </c>
      <c r="C29" t="s">
        <v>424</v>
      </c>
      <c r="D29" t="s">
        <v>686</v>
      </c>
      <c r="E29" s="656"/>
      <c r="F29" s="656"/>
      <c r="G29" s="656"/>
      <c r="H29" s="656"/>
      <c r="I29" s="659">
        <f>ROUND(Trial_1Cut[[#This Row],[Net]]/10^2,2)</f>
        <v>0</v>
      </c>
      <c r="J29" s="447" t="s">
        <v>622</v>
      </c>
      <c r="K29" s="447" t="str">
        <f>'Sch - assets'!$A$76</f>
        <v>Prepaid expenses</v>
      </c>
      <c r="L2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9" s="447"/>
    </row>
    <row r="30" spans="1:13">
      <c r="A30" t="s">
        <v>427</v>
      </c>
      <c r="B30" t="s">
        <v>422</v>
      </c>
      <c r="C30" t="s">
        <v>424</v>
      </c>
      <c r="D30" t="s">
        <v>687</v>
      </c>
      <c r="E30" s="656"/>
      <c r="F30" s="656"/>
      <c r="G30" s="656"/>
      <c r="H30" s="656"/>
      <c r="I30" s="659">
        <f>ROUND(Trial_1Cut[[#This Row],[Net]]/10^2,2)</f>
        <v>0</v>
      </c>
      <c r="J30" s="447" t="s">
        <v>622</v>
      </c>
      <c r="K30" s="447" t="str">
        <f>'Sch - assets'!$A$76</f>
        <v>Prepaid expenses</v>
      </c>
      <c r="L3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0" s="447"/>
    </row>
    <row r="31" spans="1:13">
      <c r="A31" t="s">
        <v>427</v>
      </c>
      <c r="B31" t="s">
        <v>422</v>
      </c>
      <c r="C31" t="s">
        <v>424</v>
      </c>
      <c r="D31" t="s">
        <v>680</v>
      </c>
      <c r="E31" s="656"/>
      <c r="F31" s="656"/>
      <c r="G31" s="656"/>
      <c r="H31" s="656"/>
      <c r="I31" s="659">
        <f>ROUND(Trial_1Cut[[#This Row],[Net]]/10^2,2)</f>
        <v>0</v>
      </c>
      <c r="J31" s="447" t="s">
        <v>622</v>
      </c>
      <c r="K31" s="447" t="str">
        <f>'Sch - assets'!$A$76</f>
        <v>Prepaid expenses</v>
      </c>
      <c r="L3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1" s="447"/>
    </row>
    <row r="32" spans="1:13">
      <c r="A32" t="s">
        <v>427</v>
      </c>
      <c r="B32" t="s">
        <v>422</v>
      </c>
      <c r="C32" t="s">
        <v>424</v>
      </c>
      <c r="D32" t="s">
        <v>681</v>
      </c>
      <c r="E32" s="656"/>
      <c r="F32" s="656"/>
      <c r="G32" s="656"/>
      <c r="H32" s="656"/>
      <c r="I32" s="659">
        <f>ROUND(Trial_1Cut[[#This Row],[Net]]/10^2,2)</f>
        <v>0</v>
      </c>
      <c r="J32" s="447" t="s">
        <v>622</v>
      </c>
      <c r="K32" s="447" t="str">
        <f>'Sch - assets'!$A$76</f>
        <v>Prepaid expenses</v>
      </c>
      <c r="L3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2" s="447"/>
    </row>
    <row r="33" spans="1:13">
      <c r="A33" t="s">
        <v>427</v>
      </c>
      <c r="B33" t="s">
        <v>422</v>
      </c>
      <c r="C33" t="s">
        <v>424</v>
      </c>
      <c r="D33" t="s">
        <v>682</v>
      </c>
      <c r="E33" s="656"/>
      <c r="F33" s="656"/>
      <c r="G33" s="656"/>
      <c r="H33" s="656"/>
      <c r="I33" s="659">
        <f>ROUND(Trial_1Cut[[#This Row],[Net]]/10^2,2)</f>
        <v>0</v>
      </c>
      <c r="J33" s="447" t="s">
        <v>622</v>
      </c>
      <c r="K33" s="447" t="str">
        <f>'Sch - assets'!$A$76</f>
        <v>Prepaid expenses</v>
      </c>
      <c r="L3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3" s="447"/>
    </row>
    <row r="34" spans="1:13">
      <c r="A34" t="s">
        <v>427</v>
      </c>
      <c r="B34" t="s">
        <v>422</v>
      </c>
      <c r="C34" t="s">
        <v>424</v>
      </c>
      <c r="D34" t="s">
        <v>688</v>
      </c>
      <c r="E34" s="656"/>
      <c r="F34" s="656"/>
      <c r="G34" s="656"/>
      <c r="H34" s="656"/>
      <c r="I34" s="659">
        <f>ROUND(Trial_1Cut[[#This Row],[Net]]/10^2,2)</f>
        <v>0</v>
      </c>
      <c r="J34" s="447" t="s">
        <v>622</v>
      </c>
      <c r="K34" s="447" t="str">
        <f>'Sch - assets'!$A$76</f>
        <v>Prepaid expenses</v>
      </c>
      <c r="L3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4" s="447"/>
    </row>
    <row r="35" spans="1:13">
      <c r="A35" t="s">
        <v>427</v>
      </c>
      <c r="B35" t="s">
        <v>422</v>
      </c>
      <c r="C35" t="s">
        <v>424</v>
      </c>
      <c r="D35" t="s">
        <v>689</v>
      </c>
      <c r="E35" s="656"/>
      <c r="F35" s="656"/>
      <c r="G35" s="656"/>
      <c r="H35" s="656"/>
      <c r="I35" s="659">
        <f>ROUND(Trial_1Cut[[#This Row],[Net]]/10^2,2)</f>
        <v>0</v>
      </c>
      <c r="J35" s="447" t="s">
        <v>622</v>
      </c>
      <c r="K35" s="447" t="str">
        <f>'Sch - assets'!$A$76</f>
        <v>Prepaid expenses</v>
      </c>
      <c r="L3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5" s="447"/>
    </row>
    <row r="36" spans="1:13">
      <c r="A36" t="s">
        <v>427</v>
      </c>
      <c r="B36" t="s">
        <v>422</v>
      </c>
      <c r="C36" t="s">
        <v>424</v>
      </c>
      <c r="D36" t="s">
        <v>690</v>
      </c>
      <c r="E36" s="656"/>
      <c r="F36" s="656"/>
      <c r="G36" s="656"/>
      <c r="H36" s="656"/>
      <c r="I36" s="659">
        <f>ROUND(Trial_1Cut[[#This Row],[Net]]/10^2,2)</f>
        <v>0</v>
      </c>
      <c r="J36" s="447" t="s">
        <v>622</v>
      </c>
      <c r="K36" s="447" t="str">
        <f>'Sch - assets'!$A$76</f>
        <v>Prepaid expenses</v>
      </c>
      <c r="L3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6" s="447"/>
    </row>
    <row r="37" spans="1:13">
      <c r="A37" t="s">
        <v>427</v>
      </c>
      <c r="B37" t="s">
        <v>422</v>
      </c>
      <c r="C37" t="s">
        <v>424</v>
      </c>
      <c r="D37" t="s">
        <v>691</v>
      </c>
      <c r="E37" s="656"/>
      <c r="F37" s="656"/>
      <c r="G37" s="656"/>
      <c r="H37" s="656"/>
      <c r="I37" s="659">
        <f>ROUND(Trial_1Cut[[#This Row],[Net]]/10^2,2)</f>
        <v>0</v>
      </c>
      <c r="J37" s="447" t="s">
        <v>622</v>
      </c>
      <c r="K37" s="447" t="str">
        <f>'Sch - assets'!$A$76</f>
        <v>Prepaid expenses</v>
      </c>
      <c r="L3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7" s="447"/>
    </row>
    <row r="38" spans="1:13">
      <c r="A38" t="s">
        <v>427</v>
      </c>
      <c r="B38" t="s">
        <v>422</v>
      </c>
      <c r="C38" t="s">
        <v>424</v>
      </c>
      <c r="D38" t="s">
        <v>692</v>
      </c>
      <c r="E38" s="656"/>
      <c r="F38" s="656"/>
      <c r="G38" s="656"/>
      <c r="H38" s="656"/>
      <c r="I38" s="659">
        <f>ROUND(Trial_1Cut[[#This Row],[Net]]/10^2,2)</f>
        <v>0</v>
      </c>
      <c r="J38" s="447" t="s">
        <v>622</v>
      </c>
      <c r="K38" s="447" t="str">
        <f>'Sch - assets'!$A$76</f>
        <v>Prepaid expenses</v>
      </c>
      <c r="L3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8" s="447"/>
    </row>
    <row r="39" spans="1:13">
      <c r="A39" t="s">
        <v>427</v>
      </c>
      <c r="B39" t="s">
        <v>422</v>
      </c>
      <c r="C39" t="s">
        <v>424</v>
      </c>
      <c r="D39" t="s">
        <v>693</v>
      </c>
      <c r="E39" s="656"/>
      <c r="F39" s="656"/>
      <c r="G39" s="656"/>
      <c r="H39" s="656"/>
      <c r="I39" s="659">
        <f>ROUND(Trial_1Cut[[#This Row],[Net]]/10^2,2)</f>
        <v>0</v>
      </c>
      <c r="J39" s="447" t="s">
        <v>622</v>
      </c>
      <c r="K39" s="447" t="str">
        <f>'Sch - assets'!$A$76</f>
        <v>Prepaid expenses</v>
      </c>
      <c r="L3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39" s="447"/>
    </row>
    <row r="40" spans="1:13">
      <c r="A40" t="s">
        <v>427</v>
      </c>
      <c r="B40" t="s">
        <v>422</v>
      </c>
      <c r="C40" t="s">
        <v>424</v>
      </c>
      <c r="D40" t="s">
        <v>688</v>
      </c>
      <c r="E40" s="656"/>
      <c r="F40" s="656"/>
      <c r="G40" s="656"/>
      <c r="H40" s="656"/>
      <c r="I40" s="659">
        <f>ROUND(Trial_1Cut[[#This Row],[Net]]/10^2,2)</f>
        <v>0</v>
      </c>
      <c r="J40" s="447" t="s">
        <v>622</v>
      </c>
      <c r="K40" s="447" t="str">
        <f>'Sch - assets'!$A$76</f>
        <v>Prepaid expenses</v>
      </c>
      <c r="L4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0" s="447"/>
    </row>
    <row r="41" spans="1:13">
      <c r="A41" t="s">
        <v>427</v>
      </c>
      <c r="B41" t="s">
        <v>422</v>
      </c>
      <c r="C41" t="s">
        <v>424</v>
      </c>
      <c r="D41" t="s">
        <v>689</v>
      </c>
      <c r="E41" s="656"/>
      <c r="F41" s="656"/>
      <c r="G41" s="656"/>
      <c r="H41" s="656"/>
      <c r="I41" s="659">
        <f>ROUND(Trial_1Cut[[#This Row],[Net]]/10^2,2)</f>
        <v>0</v>
      </c>
      <c r="J41" s="447" t="s">
        <v>622</v>
      </c>
      <c r="K41" s="447" t="str">
        <f>'Sch - assets'!$A$76</f>
        <v>Prepaid expenses</v>
      </c>
      <c r="L4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1" s="447"/>
    </row>
    <row r="42" spans="1:13">
      <c r="A42" t="s">
        <v>427</v>
      </c>
      <c r="B42" t="s">
        <v>422</v>
      </c>
      <c r="C42" t="s">
        <v>424</v>
      </c>
      <c r="D42" t="s">
        <v>694</v>
      </c>
      <c r="E42" s="656"/>
      <c r="F42" s="656"/>
      <c r="G42" s="656"/>
      <c r="H42" s="656"/>
      <c r="I42" s="659">
        <f>ROUND(Trial_1Cut[[#This Row],[Net]]/10^2,2)</f>
        <v>0</v>
      </c>
      <c r="J42" s="447" t="s">
        <v>622</v>
      </c>
      <c r="K42" s="447" t="str">
        <f>'Sch - assets'!$A$76</f>
        <v>Prepaid expenses</v>
      </c>
      <c r="L4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2" s="447"/>
    </row>
    <row r="43" spans="1:13">
      <c r="A43" t="s">
        <v>427</v>
      </c>
      <c r="B43" t="s">
        <v>422</v>
      </c>
      <c r="C43" t="s">
        <v>424</v>
      </c>
      <c r="D43" t="s">
        <v>695</v>
      </c>
      <c r="E43" s="656"/>
      <c r="F43" s="656"/>
      <c r="G43" s="656"/>
      <c r="H43" s="656"/>
      <c r="I43" s="659">
        <f>ROUND(Trial_1Cut[[#This Row],[Net]]/10^2,2)</f>
        <v>0</v>
      </c>
      <c r="J43" s="447" t="s">
        <v>622</v>
      </c>
      <c r="K43" s="447" t="str">
        <f>'Sch - assets'!$A$76</f>
        <v>Prepaid expenses</v>
      </c>
      <c r="L4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3" s="447"/>
    </row>
    <row r="44" spans="1:13">
      <c r="A44" t="s">
        <v>621</v>
      </c>
      <c r="B44" t="s">
        <v>422</v>
      </c>
      <c r="C44" t="s">
        <v>424</v>
      </c>
      <c r="D44" t="s">
        <v>696</v>
      </c>
      <c r="E44" s="656"/>
      <c r="F44" s="656"/>
      <c r="G44" s="656"/>
      <c r="H44" s="656"/>
      <c r="I44" s="659">
        <f>ROUND(Trial_1Cut[[#This Row],[Net]]/10^2,2)</f>
        <v>0</v>
      </c>
      <c r="J44" s="447" t="s">
        <v>622</v>
      </c>
      <c r="K44" s="447" t="str">
        <f>'Sch - liab'!$A$74</f>
        <v>Other Current Liabilities</v>
      </c>
      <c r="L4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4" s="447"/>
    </row>
    <row r="45" spans="1:13">
      <c r="A45" t="s">
        <v>621</v>
      </c>
      <c r="B45" t="s">
        <v>422</v>
      </c>
      <c r="C45" t="s">
        <v>424</v>
      </c>
      <c r="D45" t="s">
        <v>697</v>
      </c>
      <c r="E45" s="656"/>
      <c r="F45" s="656"/>
      <c r="G45" s="656"/>
      <c r="H45" s="656"/>
      <c r="I45" s="659">
        <f>ROUND(Trial_1Cut[[#This Row],[Net]]/10^2,2)</f>
        <v>0</v>
      </c>
      <c r="J45" s="447" t="s">
        <v>622</v>
      </c>
      <c r="K45" s="447" t="str">
        <f>'Sch - liab'!$A$74</f>
        <v>Other Current Liabilities</v>
      </c>
      <c r="L4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5" s="447"/>
    </row>
    <row r="46" spans="1:13">
      <c r="A46" t="s">
        <v>621</v>
      </c>
      <c r="B46" t="s">
        <v>422</v>
      </c>
      <c r="C46" t="s">
        <v>424</v>
      </c>
      <c r="D46" t="s">
        <v>698</v>
      </c>
      <c r="E46" s="656"/>
      <c r="F46" s="656"/>
      <c r="G46" s="656"/>
      <c r="H46" s="656"/>
      <c r="I46" s="659">
        <f>ROUND(Trial_1Cut[[#This Row],[Net]]/10^2,2)</f>
        <v>0</v>
      </c>
      <c r="J46" s="447" t="s">
        <v>622</v>
      </c>
      <c r="K46" s="447" t="str">
        <f>'Sch - liab'!$A$74</f>
        <v>Other Current Liabilities</v>
      </c>
      <c r="L4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6" s="447"/>
    </row>
    <row r="47" spans="1:13">
      <c r="A47" t="s">
        <v>621</v>
      </c>
      <c r="B47" t="s">
        <v>422</v>
      </c>
      <c r="C47" t="s">
        <v>424</v>
      </c>
      <c r="D47" t="s">
        <v>699</v>
      </c>
      <c r="E47" s="656"/>
      <c r="F47" s="656"/>
      <c r="G47" s="656"/>
      <c r="H47" s="656"/>
      <c r="I47" s="659">
        <f>ROUND(Trial_1Cut[[#This Row],[Net]]/10^2,2)</f>
        <v>0</v>
      </c>
      <c r="J47" s="447" t="s">
        <v>622</v>
      </c>
      <c r="K47" s="447" t="str">
        <f>'Sch - liab'!$A$74</f>
        <v>Other Current Liabilities</v>
      </c>
      <c r="L4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7" s="447"/>
    </row>
    <row r="48" spans="1:13">
      <c r="A48" t="s">
        <v>621</v>
      </c>
      <c r="B48" t="s">
        <v>422</v>
      </c>
      <c r="C48" t="s">
        <v>424</v>
      </c>
      <c r="D48" t="s">
        <v>700</v>
      </c>
      <c r="E48" s="656"/>
      <c r="F48" s="656"/>
      <c r="G48" s="656"/>
      <c r="H48" s="656"/>
      <c r="I48" s="659">
        <f>ROUND(Trial_1Cut[[#This Row],[Net]]/10^2,2)</f>
        <v>0</v>
      </c>
      <c r="J48" s="447" t="s">
        <v>622</v>
      </c>
      <c r="K48" s="447" t="str">
        <f>'Sch - liab'!$A$74</f>
        <v>Other Current Liabilities</v>
      </c>
      <c r="L4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8" s="447"/>
    </row>
    <row r="49" spans="1:13">
      <c r="A49" t="s">
        <v>621</v>
      </c>
      <c r="B49" t="s">
        <v>422</v>
      </c>
      <c r="C49" t="s">
        <v>425</v>
      </c>
      <c r="D49" t="s">
        <v>701</v>
      </c>
      <c r="E49" s="656"/>
      <c r="F49" s="656"/>
      <c r="G49" s="656"/>
      <c r="H49" s="656"/>
      <c r="I49" s="659">
        <f>ROUND(Trial_1Cut[[#This Row],[Net]]/10^2,2)</f>
        <v>0</v>
      </c>
      <c r="J49" s="447" t="s">
        <v>624</v>
      </c>
      <c r="K49" s="447" t="str">
        <f>'Sch - liab'!$A$85</f>
        <v>Statutory Dues</v>
      </c>
      <c r="L49" s="447" t="str">
        <f ca="1">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49" s="447"/>
    </row>
    <row r="50" spans="1:13">
      <c r="A50" t="s">
        <v>621</v>
      </c>
      <c r="B50" t="s">
        <v>422</v>
      </c>
      <c r="C50" t="s">
        <v>425</v>
      </c>
      <c r="D50" t="s">
        <v>702</v>
      </c>
      <c r="E50" s="656"/>
      <c r="F50" s="656"/>
      <c r="G50" s="656"/>
      <c r="H50" s="656"/>
      <c r="I50" s="659">
        <f>ROUND(Trial_1Cut[[#This Row],[Net]]/10^2,2)</f>
        <v>0</v>
      </c>
      <c r="J50" s="447" t="s">
        <v>624</v>
      </c>
      <c r="K50" s="447" t="e">
        <f>'Sch - liab'!#REF!</f>
        <v>#REF!</v>
      </c>
      <c r="L5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0" s="447"/>
    </row>
    <row r="51" spans="1:13">
      <c r="A51" t="s">
        <v>621</v>
      </c>
      <c r="B51" t="s">
        <v>422</v>
      </c>
      <c r="C51" t="s">
        <v>591</v>
      </c>
      <c r="D51" t="s">
        <v>703</v>
      </c>
      <c r="E51" s="656"/>
      <c r="F51" s="656"/>
      <c r="G51" s="656"/>
      <c r="H51" s="656"/>
      <c r="I51" s="659">
        <f>ROUND(Trial_1Cut[[#This Row],[Net]]/10^2,2)</f>
        <v>0</v>
      </c>
      <c r="J51" s="447"/>
      <c r="K51" s="447"/>
      <c r="L5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1" s="447"/>
    </row>
    <row r="52" spans="1:13">
      <c r="A52" t="s">
        <v>621</v>
      </c>
      <c r="B52" t="s">
        <v>422</v>
      </c>
      <c r="C52" t="s">
        <v>592</v>
      </c>
      <c r="D52" t="s">
        <v>615</v>
      </c>
      <c r="E52" s="656"/>
      <c r="F52" s="656"/>
      <c r="G52" s="656"/>
      <c r="H52" s="656"/>
      <c r="I52" s="659">
        <f>ROUND(Trial_1Cut[[#This Row],[Net]]/10^2,2)</f>
        <v>0</v>
      </c>
      <c r="J52" s="447"/>
      <c r="K52" s="447"/>
      <c r="L5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2" s="447"/>
    </row>
    <row r="53" spans="1:13">
      <c r="A53" t="s">
        <v>621</v>
      </c>
      <c r="B53" t="s">
        <v>422</v>
      </c>
      <c r="C53" t="s">
        <v>592</v>
      </c>
      <c r="D53" t="s">
        <v>704</v>
      </c>
      <c r="E53" s="656"/>
      <c r="F53" s="656"/>
      <c r="G53" s="656"/>
      <c r="H53" s="656"/>
      <c r="I53" s="659">
        <f>ROUND(Trial_1Cut[[#This Row],[Net]]/10^2,2)</f>
        <v>0</v>
      </c>
      <c r="J53" s="447"/>
      <c r="K53" s="447"/>
      <c r="L5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3" s="447"/>
    </row>
    <row r="54" spans="1:13">
      <c r="A54" t="s">
        <v>621</v>
      </c>
      <c r="B54" t="s">
        <v>422</v>
      </c>
      <c r="C54" t="s">
        <v>592</v>
      </c>
      <c r="D54" t="s">
        <v>705</v>
      </c>
      <c r="E54" s="656"/>
      <c r="F54" s="656"/>
      <c r="G54" s="656"/>
      <c r="H54" s="656"/>
      <c r="I54" s="659">
        <f>ROUND(Trial_1Cut[[#This Row],[Net]]/10^2,2)</f>
        <v>0</v>
      </c>
      <c r="J54" s="447" t="s">
        <v>625</v>
      </c>
      <c r="K54" s="447" t="str">
        <f>'Sch-Debtor_Creditors'!$A$12</f>
        <v>Total trade payables</v>
      </c>
      <c r="L5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4" s="447"/>
    </row>
    <row r="55" spans="1:13">
      <c r="A55" t="s">
        <v>621</v>
      </c>
      <c r="B55" t="s">
        <v>422</v>
      </c>
      <c r="C55" t="s">
        <v>592</v>
      </c>
      <c r="D55" t="s">
        <v>706</v>
      </c>
      <c r="E55" s="656"/>
      <c r="F55" s="656"/>
      <c r="G55" s="656"/>
      <c r="H55" s="656"/>
      <c r="I55" s="659">
        <f>ROUND(Trial_1Cut[[#This Row],[Net]]/10^2,2)</f>
        <v>0</v>
      </c>
      <c r="J55" s="447"/>
      <c r="K55" s="447"/>
      <c r="L5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5" s="447"/>
    </row>
    <row r="56" spans="1:13">
      <c r="A56" t="s">
        <v>621</v>
      </c>
      <c r="B56" t="s">
        <v>422</v>
      </c>
      <c r="C56" t="s">
        <v>592</v>
      </c>
      <c r="D56" t="s">
        <v>707</v>
      </c>
      <c r="E56" s="656"/>
      <c r="F56" s="656"/>
      <c r="G56" s="656"/>
      <c r="H56" s="656"/>
      <c r="I56" s="659">
        <f>ROUND(Trial_1Cut[[#This Row],[Net]]/10^2,2)</f>
        <v>0</v>
      </c>
      <c r="J56" s="447"/>
      <c r="K56" s="447"/>
      <c r="L5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6" s="447"/>
    </row>
    <row r="57" spans="1:13">
      <c r="A57" t="s">
        <v>621</v>
      </c>
      <c r="B57" t="s">
        <v>422</v>
      </c>
      <c r="C57" t="s">
        <v>592</v>
      </c>
      <c r="D57" t="s">
        <v>708</v>
      </c>
      <c r="E57" s="656"/>
      <c r="F57" s="656"/>
      <c r="G57" s="656"/>
      <c r="H57" s="656"/>
      <c r="I57" s="659">
        <f>ROUND(Trial_1Cut[[#This Row],[Net]]/10^2,2)</f>
        <v>0</v>
      </c>
      <c r="J57" s="447"/>
      <c r="K57" s="447"/>
      <c r="L5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7" s="447"/>
    </row>
    <row r="58" spans="1:13">
      <c r="A58" t="s">
        <v>621</v>
      </c>
      <c r="B58" t="s">
        <v>422</v>
      </c>
      <c r="C58" t="s">
        <v>592</v>
      </c>
      <c r="D58" t="s">
        <v>709</v>
      </c>
      <c r="E58" s="656"/>
      <c r="F58" s="656"/>
      <c r="G58" s="656"/>
      <c r="H58" s="656"/>
      <c r="I58" s="659">
        <f>ROUND(Trial_1Cut[[#This Row],[Net]]/10^2,2)</f>
        <v>0</v>
      </c>
      <c r="J58" s="447"/>
      <c r="K58" s="447"/>
      <c r="L5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8" s="447"/>
    </row>
    <row r="59" spans="1:13">
      <c r="A59" t="s">
        <v>621</v>
      </c>
      <c r="B59" t="s">
        <v>422</v>
      </c>
      <c r="C59" t="s">
        <v>592</v>
      </c>
      <c r="D59" t="s">
        <v>710</v>
      </c>
      <c r="E59" s="656"/>
      <c r="F59" s="656"/>
      <c r="G59" s="656"/>
      <c r="H59" s="656"/>
      <c r="I59" s="659">
        <f>ROUND(Trial_1Cut[[#This Row],[Net]]/10^2,2)</f>
        <v>0</v>
      </c>
      <c r="J59" s="447"/>
      <c r="K59" s="447"/>
      <c r="L5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59" s="447"/>
    </row>
    <row r="60" spans="1:13">
      <c r="A60" t="s">
        <v>621</v>
      </c>
      <c r="B60" t="s">
        <v>422</v>
      </c>
      <c r="C60" t="s">
        <v>592</v>
      </c>
      <c r="D60" t="s">
        <v>711</v>
      </c>
      <c r="E60" s="656"/>
      <c r="F60" s="656"/>
      <c r="G60" s="656"/>
      <c r="H60" s="656"/>
      <c r="I60" s="659">
        <f>ROUND(Trial_1Cut[[#This Row],[Net]]/10^2,2)</f>
        <v>0</v>
      </c>
      <c r="J60" s="447"/>
      <c r="K60" s="447"/>
      <c r="L6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0" s="447"/>
    </row>
    <row r="61" spans="1:13">
      <c r="A61" t="s">
        <v>621</v>
      </c>
      <c r="B61" t="s">
        <v>422</v>
      </c>
      <c r="C61" t="s">
        <v>592</v>
      </c>
      <c r="D61" t="s">
        <v>712</v>
      </c>
      <c r="E61" s="656"/>
      <c r="F61" s="656"/>
      <c r="G61" s="656"/>
      <c r="H61" s="656"/>
      <c r="I61" s="659">
        <f>ROUND(Trial_1Cut[[#This Row],[Net]]/10^2,2)</f>
        <v>0</v>
      </c>
      <c r="J61" s="447"/>
      <c r="K61" s="447"/>
      <c r="L6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1" s="447"/>
    </row>
    <row r="62" spans="1:13">
      <c r="A62" t="s">
        <v>621</v>
      </c>
      <c r="B62" t="s">
        <v>422</v>
      </c>
      <c r="C62" t="s">
        <v>592</v>
      </c>
      <c r="D62" t="s">
        <v>713</v>
      </c>
      <c r="E62" s="656"/>
      <c r="F62" s="656"/>
      <c r="G62" s="656"/>
      <c r="H62" s="656"/>
      <c r="I62" s="659">
        <f>ROUND(Trial_1Cut[[#This Row],[Net]]/10^2,2)</f>
        <v>0</v>
      </c>
      <c r="J62" s="447" t="s">
        <v>216</v>
      </c>
      <c r="K62" s="447" t="str">
        <f>'Sch - assets'!A75</f>
        <v>Advance to suppliers</v>
      </c>
      <c r="L6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2" s="447"/>
    </row>
    <row r="63" spans="1:13">
      <c r="A63" t="s">
        <v>621</v>
      </c>
      <c r="B63" t="s">
        <v>422</v>
      </c>
      <c r="C63" t="s">
        <v>592</v>
      </c>
      <c r="D63" t="s">
        <v>714</v>
      </c>
      <c r="E63" s="656"/>
      <c r="F63" s="656"/>
      <c r="G63" s="656"/>
      <c r="H63" s="656"/>
      <c r="I63" s="659">
        <f>ROUND(Trial_1Cut[[#This Row],[Net]]/10^2,2)</f>
        <v>0</v>
      </c>
      <c r="J63" s="447"/>
      <c r="K63" s="447"/>
      <c r="L6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3" s="447"/>
    </row>
    <row r="64" spans="1:13">
      <c r="A64" t="s">
        <v>621</v>
      </c>
      <c r="B64" t="s">
        <v>422</v>
      </c>
      <c r="C64" t="s">
        <v>592</v>
      </c>
      <c r="D64" t="s">
        <v>715</v>
      </c>
      <c r="E64" s="656"/>
      <c r="F64" s="656"/>
      <c r="G64" s="656"/>
      <c r="H64" s="656"/>
      <c r="I64" s="659">
        <f>ROUND(Trial_1Cut[[#This Row],[Net]]/10^2,2)</f>
        <v>0</v>
      </c>
      <c r="J64" s="447"/>
      <c r="K64" s="447"/>
      <c r="L6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4" s="447"/>
    </row>
    <row r="65" spans="1:13">
      <c r="A65" t="s">
        <v>621</v>
      </c>
      <c r="B65" t="s">
        <v>422</v>
      </c>
      <c r="C65" t="s">
        <v>592</v>
      </c>
      <c r="D65" t="s">
        <v>716</v>
      </c>
      <c r="E65" s="656"/>
      <c r="F65" s="656"/>
      <c r="G65" s="656"/>
      <c r="H65" s="656"/>
      <c r="I65" s="659">
        <f>ROUND(Trial_1Cut[[#This Row],[Net]]/10^2,2)</f>
        <v>0</v>
      </c>
      <c r="J65" s="447"/>
      <c r="K65" s="447"/>
      <c r="L6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5" s="447"/>
    </row>
    <row r="66" spans="1:13">
      <c r="A66" t="s">
        <v>621</v>
      </c>
      <c r="B66" t="s">
        <v>422</v>
      </c>
      <c r="C66" t="s">
        <v>592</v>
      </c>
      <c r="D66" t="s">
        <v>717</v>
      </c>
      <c r="E66" s="656"/>
      <c r="F66" s="656"/>
      <c r="G66" s="656"/>
      <c r="H66" s="656"/>
      <c r="I66" s="659">
        <f>ROUND(Trial_1Cut[[#This Row],[Net]]/10^2,2)</f>
        <v>0</v>
      </c>
      <c r="J66" s="447"/>
      <c r="K66" s="447"/>
      <c r="L6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6" s="447"/>
    </row>
    <row r="67" spans="1:13">
      <c r="A67" t="s">
        <v>621</v>
      </c>
      <c r="B67" t="s">
        <v>422</v>
      </c>
      <c r="C67" t="s">
        <v>592</v>
      </c>
      <c r="D67" t="s">
        <v>718</v>
      </c>
      <c r="E67" s="656"/>
      <c r="F67" s="656"/>
      <c r="G67" s="656"/>
      <c r="H67" s="656"/>
      <c r="I67" s="659">
        <f>ROUND(Trial_1Cut[[#This Row],[Net]]/10^2,2)</f>
        <v>0</v>
      </c>
      <c r="J67" s="447"/>
      <c r="K67" s="447"/>
      <c r="L6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7" s="447"/>
    </row>
    <row r="68" spans="1:13">
      <c r="A68" t="s">
        <v>621</v>
      </c>
      <c r="B68" t="s">
        <v>422</v>
      </c>
      <c r="C68" t="s">
        <v>592</v>
      </c>
      <c r="D68" t="s">
        <v>719</v>
      </c>
      <c r="E68" s="656"/>
      <c r="F68" s="656"/>
      <c r="G68" s="656"/>
      <c r="H68" s="656"/>
      <c r="I68" s="659">
        <f>ROUND(Trial_1Cut[[#This Row],[Net]]/10^2,2)</f>
        <v>0</v>
      </c>
      <c r="J68" s="447"/>
      <c r="K68" s="447"/>
      <c r="L6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8" s="447"/>
    </row>
    <row r="69" spans="1:13">
      <c r="A69" t="s">
        <v>621</v>
      </c>
      <c r="B69" t="s">
        <v>422</v>
      </c>
      <c r="C69" t="s">
        <v>423</v>
      </c>
      <c r="D69" t="s">
        <v>720</v>
      </c>
      <c r="E69" s="656"/>
      <c r="F69" s="656"/>
      <c r="G69" s="656"/>
      <c r="H69" s="656"/>
      <c r="I69" s="659">
        <f>ROUND(Trial_1Cut[[#This Row],[Net]]/10^2,2)</f>
        <v>0</v>
      </c>
      <c r="J69" s="447" t="s">
        <v>624</v>
      </c>
      <c r="K69" s="447" t="str">
        <f>'Sch - liab'!$A$83</f>
        <v>Expenses Payable</v>
      </c>
      <c r="L6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69" s="447"/>
    </row>
    <row r="70" spans="1:13">
      <c r="A70" t="s">
        <v>621</v>
      </c>
      <c r="B70" t="s">
        <v>422</v>
      </c>
      <c r="C70" t="s">
        <v>423</v>
      </c>
      <c r="D70" t="s">
        <v>721</v>
      </c>
      <c r="E70" s="656"/>
      <c r="F70" s="656"/>
      <c r="G70" s="656"/>
      <c r="H70" s="656"/>
      <c r="I70" s="659">
        <f>ROUND(Trial_1Cut[[#This Row],[Net]]/10^2,2)</f>
        <v>0</v>
      </c>
      <c r="J70" s="447" t="s">
        <v>624</v>
      </c>
      <c r="K70" s="447" t="str">
        <f>'Sch - liab'!$A$83</f>
        <v>Expenses Payable</v>
      </c>
      <c r="L7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0" s="447"/>
    </row>
    <row r="71" spans="1:13">
      <c r="A71" t="s">
        <v>621</v>
      </c>
      <c r="B71" t="s">
        <v>422</v>
      </c>
      <c r="C71" t="s">
        <v>423</v>
      </c>
      <c r="D71" t="s">
        <v>722</v>
      </c>
      <c r="E71" s="656"/>
      <c r="F71" s="656"/>
      <c r="G71" s="656"/>
      <c r="H71" s="656"/>
      <c r="I71" s="659">
        <f>ROUND(Trial_1Cut[[#This Row],[Net]]/10^2,2)</f>
        <v>0</v>
      </c>
      <c r="J71" s="447" t="s">
        <v>624</v>
      </c>
      <c r="K71" s="447" t="str">
        <f>'Sch - liab'!$A$83</f>
        <v>Expenses Payable</v>
      </c>
      <c r="L7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1" s="447"/>
    </row>
    <row r="72" spans="1:13">
      <c r="A72" t="s">
        <v>621</v>
      </c>
      <c r="B72" t="s">
        <v>422</v>
      </c>
      <c r="C72" t="s">
        <v>423</v>
      </c>
      <c r="D72" t="s">
        <v>723</v>
      </c>
      <c r="E72" s="656"/>
      <c r="F72" s="656"/>
      <c r="G72" s="656"/>
      <c r="H72" s="656"/>
      <c r="I72" s="659">
        <f>ROUND(Trial_1Cut[[#This Row],[Net]]/10^2,2)</f>
        <v>0</v>
      </c>
      <c r="J72" s="447" t="s">
        <v>624</v>
      </c>
      <c r="K72" s="447" t="str">
        <f>'Sch - liab'!$A$83</f>
        <v>Expenses Payable</v>
      </c>
      <c r="L7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2" s="447"/>
    </row>
    <row r="73" spans="1:13">
      <c r="A73" t="s">
        <v>621</v>
      </c>
      <c r="B73" t="s">
        <v>422</v>
      </c>
      <c r="C73" t="s">
        <v>423</v>
      </c>
      <c r="D73" t="s">
        <v>724</v>
      </c>
      <c r="E73" s="656"/>
      <c r="F73" s="656"/>
      <c r="G73" s="656"/>
      <c r="H73" s="656"/>
      <c r="I73" s="659">
        <f>ROUND(Trial_1Cut[[#This Row],[Net]]/10^2,2)</f>
        <v>0</v>
      </c>
      <c r="J73" s="447"/>
      <c r="K73" s="447"/>
      <c r="L7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3" s="447"/>
    </row>
    <row r="74" spans="1:13">
      <c r="A74" t="s">
        <v>621</v>
      </c>
      <c r="B74" t="s">
        <v>422</v>
      </c>
      <c r="C74" t="s">
        <v>423</v>
      </c>
      <c r="D74" t="s">
        <v>725</v>
      </c>
      <c r="E74" s="656"/>
      <c r="F74" s="656"/>
      <c r="G74" s="656"/>
      <c r="H74" s="656"/>
      <c r="I74" s="659">
        <f>ROUND(Trial_1Cut[[#This Row],[Net]]/10^2,2)</f>
        <v>0</v>
      </c>
      <c r="J74" s="447" t="s">
        <v>624</v>
      </c>
      <c r="K74" s="447" t="str">
        <f>'Sch - liab'!$A$83</f>
        <v>Expenses Payable</v>
      </c>
      <c r="L7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4" s="447"/>
    </row>
    <row r="75" spans="1:13">
      <c r="A75" t="s">
        <v>621</v>
      </c>
      <c r="B75" t="s">
        <v>422</v>
      </c>
      <c r="C75" t="s">
        <v>423</v>
      </c>
      <c r="D75" t="s">
        <v>726</v>
      </c>
      <c r="E75" s="656"/>
      <c r="F75" s="656"/>
      <c r="G75" s="656"/>
      <c r="H75" s="656"/>
      <c r="I75" s="659">
        <f>ROUND(Trial_1Cut[[#This Row],[Net]]/10^2,2)</f>
        <v>0</v>
      </c>
      <c r="J75" s="447"/>
      <c r="K75" s="447"/>
      <c r="L7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5" s="447"/>
    </row>
    <row r="76" spans="1:13">
      <c r="A76" t="s">
        <v>621</v>
      </c>
      <c r="B76" t="s">
        <v>422</v>
      </c>
      <c r="C76" t="s">
        <v>423</v>
      </c>
      <c r="D76" t="s">
        <v>727</v>
      </c>
      <c r="E76" s="656"/>
      <c r="F76" s="656"/>
      <c r="G76" s="656"/>
      <c r="H76" s="656"/>
      <c r="I76" s="659">
        <f>ROUND(Trial_1Cut[[#This Row],[Net]]/10^2,2)</f>
        <v>0</v>
      </c>
      <c r="J76" s="447"/>
      <c r="K76" s="447"/>
      <c r="L7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6" s="447"/>
    </row>
    <row r="77" spans="1:13">
      <c r="A77" t="s">
        <v>621</v>
      </c>
      <c r="B77" t="s">
        <v>422</v>
      </c>
      <c r="C77" t="s">
        <v>423</v>
      </c>
      <c r="D77" t="s">
        <v>728</v>
      </c>
      <c r="E77" s="656"/>
      <c r="F77" s="656"/>
      <c r="G77" s="656"/>
      <c r="H77" s="656"/>
      <c r="I77" s="659">
        <f>ROUND(Trial_1Cut[[#This Row],[Net]]/10^2,2)</f>
        <v>0</v>
      </c>
      <c r="J77" s="447"/>
      <c r="K77" s="447"/>
      <c r="L7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7" s="447"/>
    </row>
    <row r="78" spans="1:13">
      <c r="A78" t="s">
        <v>621</v>
      </c>
      <c r="B78" t="s">
        <v>422</v>
      </c>
      <c r="C78" t="s">
        <v>423</v>
      </c>
      <c r="D78" t="s">
        <v>729</v>
      </c>
      <c r="E78" s="656"/>
      <c r="F78" s="656"/>
      <c r="G78" s="656"/>
      <c r="H78" s="656"/>
      <c r="I78" s="659">
        <f>ROUND(Trial_1Cut[[#This Row],[Net]]/10^2,2)</f>
        <v>0</v>
      </c>
      <c r="J78" s="447"/>
      <c r="K78" s="447"/>
      <c r="L7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8" s="447"/>
    </row>
    <row r="79" spans="1:13">
      <c r="A79" t="s">
        <v>621</v>
      </c>
      <c r="B79" t="s">
        <v>422</v>
      </c>
      <c r="C79" t="s">
        <v>423</v>
      </c>
      <c r="D79" t="s">
        <v>730</v>
      </c>
      <c r="E79" s="656"/>
      <c r="F79" s="656"/>
      <c r="G79" s="656"/>
      <c r="H79" s="656"/>
      <c r="I79" s="659">
        <f>ROUND(Trial_1Cut[[#This Row],[Net]]/10^2,2)</f>
        <v>0</v>
      </c>
      <c r="J79" s="447"/>
      <c r="K79" s="447"/>
      <c r="L7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79" s="447"/>
    </row>
    <row r="80" spans="1:13">
      <c r="A80" t="s">
        <v>621</v>
      </c>
      <c r="B80" t="s">
        <v>422</v>
      </c>
      <c r="C80" t="s">
        <v>423</v>
      </c>
      <c r="D80" t="s">
        <v>731</v>
      </c>
      <c r="E80" s="656"/>
      <c r="F80" s="656"/>
      <c r="G80" s="656"/>
      <c r="H80" s="656"/>
      <c r="I80" s="659">
        <f>ROUND(Trial_1Cut[[#This Row],[Net]]/10^2,2)</f>
        <v>0</v>
      </c>
      <c r="J80" s="447"/>
      <c r="K80" s="447"/>
      <c r="L8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0" s="447"/>
    </row>
    <row r="81" spans="1:13">
      <c r="A81" t="s">
        <v>621</v>
      </c>
      <c r="B81" t="s">
        <v>422</v>
      </c>
      <c r="C81" t="s">
        <v>423</v>
      </c>
      <c r="D81" t="s">
        <v>732</v>
      </c>
      <c r="E81" s="656"/>
      <c r="F81" s="656"/>
      <c r="G81" s="656"/>
      <c r="H81" s="656"/>
      <c r="I81" s="659">
        <f>ROUND(Trial_1Cut[[#This Row],[Net]]/10^2,2)</f>
        <v>0</v>
      </c>
      <c r="J81" s="447"/>
      <c r="K81" s="447"/>
      <c r="L8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1" s="447"/>
    </row>
    <row r="82" spans="1:13">
      <c r="A82" t="s">
        <v>621</v>
      </c>
      <c r="B82" t="s">
        <v>422</v>
      </c>
      <c r="C82" t="s">
        <v>423</v>
      </c>
      <c r="D82" t="s">
        <v>733</v>
      </c>
      <c r="E82" s="656"/>
      <c r="F82" s="656"/>
      <c r="G82" s="656"/>
      <c r="H82" s="656"/>
      <c r="I82" s="659">
        <f>ROUND(Trial_1Cut[[#This Row],[Net]]/10^2,2)</f>
        <v>0</v>
      </c>
      <c r="J82" s="447"/>
      <c r="K82" s="447"/>
      <c r="L8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2" s="447"/>
    </row>
    <row r="83" spans="1:13">
      <c r="A83" t="s">
        <v>621</v>
      </c>
      <c r="B83" t="s">
        <v>422</v>
      </c>
      <c r="C83" t="s">
        <v>423</v>
      </c>
      <c r="D83" t="s">
        <v>734</v>
      </c>
      <c r="E83" s="656"/>
      <c r="F83" s="656"/>
      <c r="G83" s="656"/>
      <c r="H83" s="656"/>
      <c r="I83" s="659">
        <f>ROUND(Trial_1Cut[[#This Row],[Net]]/10^2,2)</f>
        <v>0</v>
      </c>
      <c r="J83" s="447"/>
      <c r="K83" s="447"/>
      <c r="L8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3" s="447"/>
    </row>
    <row r="84" spans="1:13">
      <c r="A84" t="s">
        <v>621</v>
      </c>
      <c r="B84" t="s">
        <v>422</v>
      </c>
      <c r="C84" t="s">
        <v>423</v>
      </c>
      <c r="D84" t="s">
        <v>735</v>
      </c>
      <c r="E84" s="656"/>
      <c r="F84" s="656"/>
      <c r="G84" s="656"/>
      <c r="H84" s="656"/>
      <c r="I84" s="659">
        <f>ROUND(Trial_1Cut[[#This Row],[Net]]/10^2,2)</f>
        <v>0</v>
      </c>
      <c r="J84" s="447"/>
      <c r="K84" s="447"/>
      <c r="L8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4" s="447"/>
    </row>
    <row r="85" spans="1:13">
      <c r="A85" t="s">
        <v>621</v>
      </c>
      <c r="B85" t="s">
        <v>422</v>
      </c>
      <c r="C85" t="s">
        <v>423</v>
      </c>
      <c r="D85" t="s">
        <v>736</v>
      </c>
      <c r="E85" s="656"/>
      <c r="F85" s="656"/>
      <c r="G85" s="656"/>
      <c r="H85" s="656"/>
      <c r="I85" s="659">
        <f>ROUND(Trial_1Cut[[#This Row],[Net]]/10^2,2)</f>
        <v>0</v>
      </c>
      <c r="J85" s="447"/>
      <c r="K85" s="447"/>
      <c r="L8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5" s="447"/>
    </row>
    <row r="86" spans="1:13">
      <c r="A86" t="s">
        <v>621</v>
      </c>
      <c r="B86" t="s">
        <v>422</v>
      </c>
      <c r="C86" t="s">
        <v>423</v>
      </c>
      <c r="D86" t="s">
        <v>737</v>
      </c>
      <c r="E86" s="656"/>
      <c r="F86" s="656"/>
      <c r="G86" s="656"/>
      <c r="H86" s="656"/>
      <c r="I86" s="659">
        <f>ROUND(Trial_1Cut[[#This Row],[Net]]/10^2,2)</f>
        <v>0</v>
      </c>
      <c r="J86" s="447"/>
      <c r="K86" s="447"/>
      <c r="L8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6" s="447"/>
    </row>
    <row r="87" spans="1:13">
      <c r="A87" t="s">
        <v>621</v>
      </c>
      <c r="B87" t="s">
        <v>422</v>
      </c>
      <c r="C87" t="s">
        <v>423</v>
      </c>
      <c r="D87" t="s">
        <v>738</v>
      </c>
      <c r="E87" s="656"/>
      <c r="F87" s="656"/>
      <c r="G87" s="656"/>
      <c r="H87" s="656"/>
      <c r="I87" s="659">
        <f>ROUND(Trial_1Cut[[#This Row],[Net]]/10^2,2)</f>
        <v>0</v>
      </c>
      <c r="J87" s="447"/>
      <c r="K87" s="447"/>
      <c r="L8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7" s="447"/>
    </row>
    <row r="88" spans="1:13">
      <c r="A88" t="s">
        <v>621</v>
      </c>
      <c r="B88" t="s">
        <v>422</v>
      </c>
      <c r="C88" t="s">
        <v>423</v>
      </c>
      <c r="D88" t="s">
        <v>739</v>
      </c>
      <c r="E88" s="656"/>
      <c r="F88" s="656"/>
      <c r="G88" s="656"/>
      <c r="H88" s="656"/>
      <c r="I88" s="659">
        <f>ROUND(Trial_1Cut[[#This Row],[Net]]/10^2,2)</f>
        <v>0</v>
      </c>
      <c r="J88" s="447"/>
      <c r="K88" s="447"/>
      <c r="L8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8" s="447"/>
    </row>
    <row r="89" spans="1:13">
      <c r="A89" t="s">
        <v>621</v>
      </c>
      <c r="B89" t="s">
        <v>422</v>
      </c>
      <c r="C89" t="s">
        <v>423</v>
      </c>
      <c r="D89" t="s">
        <v>740</v>
      </c>
      <c r="E89" s="656"/>
      <c r="F89" s="656"/>
      <c r="G89" s="656"/>
      <c r="H89" s="656"/>
      <c r="I89" s="659">
        <f>ROUND(Trial_1Cut[[#This Row],[Net]]/10^2,2)</f>
        <v>0</v>
      </c>
      <c r="J89" s="447" t="s">
        <v>216</v>
      </c>
      <c r="K89" s="447" t="str">
        <f>'Sch - assets'!$A$67</f>
        <v>Advance Payments to Creditors</v>
      </c>
      <c r="L8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89" s="447"/>
    </row>
    <row r="90" spans="1:13">
      <c r="A90" t="s">
        <v>621</v>
      </c>
      <c r="B90" t="s">
        <v>422</v>
      </c>
      <c r="C90" t="s">
        <v>423</v>
      </c>
      <c r="D90" t="s">
        <v>741</v>
      </c>
      <c r="E90" s="656"/>
      <c r="F90" s="656"/>
      <c r="G90" s="656"/>
      <c r="H90" s="656"/>
      <c r="I90" s="659">
        <f>ROUND(Trial_1Cut[[#This Row],[Net]]/10^2,2)</f>
        <v>0</v>
      </c>
      <c r="J90" s="447"/>
      <c r="K90" s="447"/>
      <c r="L9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0" s="447"/>
    </row>
    <row r="91" spans="1:13">
      <c r="A91" t="s">
        <v>621</v>
      </c>
      <c r="B91" t="s">
        <v>422</v>
      </c>
      <c r="C91" t="s">
        <v>423</v>
      </c>
      <c r="D91" t="s">
        <v>742</v>
      </c>
      <c r="E91" s="656"/>
      <c r="F91" s="656"/>
      <c r="G91" s="656"/>
      <c r="H91" s="656"/>
      <c r="I91" s="659">
        <f>ROUND(Trial_1Cut[[#This Row],[Net]]/10^2,2)</f>
        <v>0</v>
      </c>
      <c r="J91" s="447"/>
      <c r="K91" s="447"/>
      <c r="L9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1" s="447"/>
    </row>
    <row r="92" spans="1:13">
      <c r="A92" t="s">
        <v>621</v>
      </c>
      <c r="B92" t="s">
        <v>422</v>
      </c>
      <c r="C92" t="s">
        <v>423</v>
      </c>
      <c r="D92" t="s">
        <v>743</v>
      </c>
      <c r="E92" s="656"/>
      <c r="F92" s="656"/>
      <c r="G92" s="656"/>
      <c r="H92" s="656"/>
      <c r="I92" s="659">
        <f>ROUND(Trial_1Cut[[#This Row],[Net]]/10^2,2)</f>
        <v>0</v>
      </c>
      <c r="J92" s="447"/>
      <c r="K92" s="447"/>
      <c r="L9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2" s="447"/>
    </row>
    <row r="93" spans="1:13">
      <c r="A93" t="s">
        <v>621</v>
      </c>
      <c r="B93" t="s">
        <v>422</v>
      </c>
      <c r="C93" t="s">
        <v>423</v>
      </c>
      <c r="D93" t="s">
        <v>744</v>
      </c>
      <c r="E93" s="656"/>
      <c r="F93" s="656"/>
      <c r="G93" s="656"/>
      <c r="H93" s="656"/>
      <c r="I93" s="659">
        <f>ROUND(Trial_1Cut[[#This Row],[Net]]/10^2,2)</f>
        <v>0</v>
      </c>
      <c r="J93" s="447"/>
      <c r="K93" s="447"/>
      <c r="L9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3" s="447"/>
    </row>
    <row r="94" spans="1:13">
      <c r="A94" t="s">
        <v>621</v>
      </c>
      <c r="B94" t="s">
        <v>422</v>
      </c>
      <c r="C94" t="s">
        <v>423</v>
      </c>
      <c r="D94" t="s">
        <v>745</v>
      </c>
      <c r="E94" s="656"/>
      <c r="F94" s="656"/>
      <c r="G94" s="656"/>
      <c r="H94" s="656"/>
      <c r="I94" s="659">
        <f>ROUND(Trial_1Cut[[#This Row],[Net]]/10^2,2)</f>
        <v>0</v>
      </c>
      <c r="J94" s="447"/>
      <c r="K94" s="447"/>
      <c r="L9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4" s="447"/>
    </row>
    <row r="95" spans="1:13">
      <c r="A95" t="s">
        <v>621</v>
      </c>
      <c r="B95" t="s">
        <v>422</v>
      </c>
      <c r="C95" t="s">
        <v>423</v>
      </c>
      <c r="D95" t="s">
        <v>746</v>
      </c>
      <c r="E95" s="656"/>
      <c r="F95" s="656"/>
      <c r="G95" s="656"/>
      <c r="H95" s="656"/>
      <c r="I95" s="659">
        <f>ROUND(Trial_1Cut[[#This Row],[Net]]/10^2,2)</f>
        <v>0</v>
      </c>
      <c r="J95" s="447"/>
      <c r="K95" s="447"/>
      <c r="L9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5" s="447"/>
    </row>
    <row r="96" spans="1:13">
      <c r="A96" t="s">
        <v>621</v>
      </c>
      <c r="B96" t="s">
        <v>422</v>
      </c>
      <c r="C96" t="s">
        <v>423</v>
      </c>
      <c r="D96" t="s">
        <v>747</v>
      </c>
      <c r="E96" s="656"/>
      <c r="F96" s="656"/>
      <c r="G96" s="656"/>
      <c r="H96" s="656"/>
      <c r="I96" s="659">
        <f>ROUND(Trial_1Cut[[#This Row],[Net]]/10^2,2)</f>
        <v>0</v>
      </c>
      <c r="J96" s="447"/>
      <c r="K96" s="447"/>
      <c r="L9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6" s="447"/>
    </row>
    <row r="97" spans="1:13">
      <c r="A97" t="s">
        <v>621</v>
      </c>
      <c r="B97" t="s">
        <v>422</v>
      </c>
      <c r="C97" t="s">
        <v>423</v>
      </c>
      <c r="D97" t="s">
        <v>748</v>
      </c>
      <c r="E97" s="656"/>
      <c r="F97" s="656"/>
      <c r="G97" s="656"/>
      <c r="H97" s="656"/>
      <c r="I97" s="659">
        <f>ROUND(Trial_1Cut[[#This Row],[Net]]/10^2,2)</f>
        <v>0</v>
      </c>
      <c r="J97" s="447" t="s">
        <v>216</v>
      </c>
      <c r="K97" s="447" t="str">
        <f>'Sch - assets'!$A$67</f>
        <v>Advance Payments to Creditors</v>
      </c>
      <c r="L9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7" s="447"/>
    </row>
    <row r="98" spans="1:13">
      <c r="A98" t="s">
        <v>621</v>
      </c>
      <c r="B98" t="s">
        <v>422</v>
      </c>
      <c r="C98" t="s">
        <v>423</v>
      </c>
      <c r="D98" t="s">
        <v>749</v>
      </c>
      <c r="E98" s="656"/>
      <c r="F98" s="656"/>
      <c r="G98" s="656"/>
      <c r="H98" s="656"/>
      <c r="I98" s="659">
        <f>ROUND(Trial_1Cut[[#This Row],[Net]]/10^2,2)</f>
        <v>0</v>
      </c>
      <c r="J98" s="447"/>
      <c r="K98" s="447"/>
      <c r="L9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8" s="447"/>
    </row>
    <row r="99" spans="1:13">
      <c r="A99" t="s">
        <v>621</v>
      </c>
      <c r="B99" t="s">
        <v>422</v>
      </c>
      <c r="C99" t="s">
        <v>423</v>
      </c>
      <c r="D99" t="s">
        <v>750</v>
      </c>
      <c r="E99" s="656"/>
      <c r="F99" s="656"/>
      <c r="G99" s="656"/>
      <c r="H99" s="656"/>
      <c r="I99" s="659">
        <f>ROUND(Trial_1Cut[[#This Row],[Net]]/10^2,2)</f>
        <v>0</v>
      </c>
      <c r="J99" s="447"/>
      <c r="K99" s="447"/>
      <c r="L9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99" s="447"/>
    </row>
    <row r="100" spans="1:13">
      <c r="A100" t="s">
        <v>621</v>
      </c>
      <c r="B100" t="s">
        <v>422</v>
      </c>
      <c r="C100" t="s">
        <v>423</v>
      </c>
      <c r="D100" t="s">
        <v>751</v>
      </c>
      <c r="E100" s="656"/>
      <c r="F100" s="656"/>
      <c r="G100" s="656"/>
      <c r="H100" s="656"/>
      <c r="I100" s="659">
        <f>ROUND(Trial_1Cut[[#This Row],[Net]]/10^2,2)</f>
        <v>0</v>
      </c>
      <c r="J100" s="447"/>
      <c r="K100" s="447"/>
      <c r="L10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0" s="447"/>
    </row>
    <row r="101" spans="1:13">
      <c r="A101" t="s">
        <v>621</v>
      </c>
      <c r="B101" t="s">
        <v>422</v>
      </c>
      <c r="C101" t="s">
        <v>423</v>
      </c>
      <c r="D101" t="s">
        <v>752</v>
      </c>
      <c r="E101" s="656"/>
      <c r="F101" s="656"/>
      <c r="G101" s="656"/>
      <c r="H101" s="656"/>
      <c r="I101" s="659">
        <f>ROUND(Trial_1Cut[[#This Row],[Net]]/10^2,2)</f>
        <v>0</v>
      </c>
      <c r="J101" s="447"/>
      <c r="K101" s="447"/>
      <c r="L10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1" s="447"/>
    </row>
    <row r="102" spans="1:13">
      <c r="A102" t="s">
        <v>621</v>
      </c>
      <c r="B102" t="s">
        <v>422</v>
      </c>
      <c r="C102" t="s">
        <v>423</v>
      </c>
      <c r="D102" t="s">
        <v>753</v>
      </c>
      <c r="E102" s="656"/>
      <c r="F102" s="656"/>
      <c r="G102" s="656"/>
      <c r="H102" s="656"/>
      <c r="I102" s="659">
        <f>ROUND(Trial_1Cut[[#This Row],[Net]]/10^2,2)</f>
        <v>0</v>
      </c>
      <c r="J102" s="447" t="s">
        <v>625</v>
      </c>
      <c r="K102" s="447" t="str">
        <f>'Sch-Debtor_Creditors'!$A$12</f>
        <v>Total trade payables</v>
      </c>
      <c r="L10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2" s="447"/>
    </row>
    <row r="103" spans="1:13">
      <c r="A103" t="s">
        <v>621</v>
      </c>
      <c r="B103" t="s">
        <v>422</v>
      </c>
      <c r="C103" t="s">
        <v>423</v>
      </c>
      <c r="D103" t="s">
        <v>754</v>
      </c>
      <c r="E103" s="656"/>
      <c r="F103" s="656"/>
      <c r="G103" s="656"/>
      <c r="H103" s="656"/>
      <c r="I103" s="659">
        <f>ROUND(Trial_1Cut[[#This Row],[Net]]/10^2,2)</f>
        <v>0</v>
      </c>
      <c r="J103" s="447"/>
      <c r="K103" s="447"/>
      <c r="L10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3" s="447"/>
    </row>
    <row r="104" spans="1:13">
      <c r="A104" t="s">
        <v>621</v>
      </c>
      <c r="B104" t="s">
        <v>422</v>
      </c>
      <c r="C104" t="s">
        <v>423</v>
      </c>
      <c r="D104" t="s">
        <v>755</v>
      </c>
      <c r="E104" s="656"/>
      <c r="F104" s="656"/>
      <c r="G104" s="656"/>
      <c r="H104" s="656"/>
      <c r="I104" s="659">
        <f>ROUND(Trial_1Cut[[#This Row],[Net]]/10^2,2)</f>
        <v>0</v>
      </c>
      <c r="J104" s="447"/>
      <c r="K104" s="447"/>
      <c r="L10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4" s="447"/>
    </row>
    <row r="105" spans="1:13">
      <c r="A105" t="s">
        <v>621</v>
      </c>
      <c r="B105" t="s">
        <v>422</v>
      </c>
      <c r="C105" t="s">
        <v>423</v>
      </c>
      <c r="D105" t="s">
        <v>756</v>
      </c>
      <c r="E105" s="656"/>
      <c r="F105" s="656"/>
      <c r="G105" s="656"/>
      <c r="H105" s="656"/>
      <c r="I105" s="659">
        <f>ROUND(Trial_1Cut[[#This Row],[Net]]/10^2,2)</f>
        <v>0</v>
      </c>
      <c r="J105" s="447"/>
      <c r="K105" s="447"/>
      <c r="L10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5" s="447"/>
    </row>
    <row r="106" spans="1:13">
      <c r="A106" t="s">
        <v>621</v>
      </c>
      <c r="B106" t="s">
        <v>422</v>
      </c>
      <c r="C106" t="s">
        <v>423</v>
      </c>
      <c r="D106" t="s">
        <v>757</v>
      </c>
      <c r="E106" s="656"/>
      <c r="F106" s="656"/>
      <c r="G106" s="656"/>
      <c r="H106" s="656"/>
      <c r="I106" s="659">
        <f>ROUND(Trial_1Cut[[#This Row],[Net]]/10^2,2)</f>
        <v>0</v>
      </c>
      <c r="J106" s="447" t="s">
        <v>216</v>
      </c>
      <c r="K106" s="447" t="str">
        <f>'Sch - assets'!$A$67</f>
        <v>Advance Payments to Creditors</v>
      </c>
      <c r="L10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6" s="447"/>
    </row>
    <row r="107" spans="1:13">
      <c r="A107" t="s">
        <v>621</v>
      </c>
      <c r="B107" t="s">
        <v>422</v>
      </c>
      <c r="C107" t="s">
        <v>423</v>
      </c>
      <c r="D107" t="s">
        <v>758</v>
      </c>
      <c r="E107" s="656"/>
      <c r="F107" s="656"/>
      <c r="G107" s="656"/>
      <c r="H107" s="656"/>
      <c r="I107" s="659">
        <f>ROUND(Trial_1Cut[[#This Row],[Net]]/10^2,2)</f>
        <v>0</v>
      </c>
      <c r="J107" s="447"/>
      <c r="K107" s="447"/>
      <c r="L10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7" s="447"/>
    </row>
    <row r="108" spans="1:13">
      <c r="A108" t="s">
        <v>621</v>
      </c>
      <c r="B108" t="s">
        <v>422</v>
      </c>
      <c r="C108" t="s">
        <v>423</v>
      </c>
      <c r="D108" t="s">
        <v>759</v>
      </c>
      <c r="E108" s="656"/>
      <c r="F108" s="656"/>
      <c r="G108" s="656"/>
      <c r="H108" s="656"/>
      <c r="I108" s="659">
        <f>ROUND(Trial_1Cut[[#This Row],[Net]]/10^2,2)</f>
        <v>0</v>
      </c>
      <c r="J108" s="447"/>
      <c r="K108" s="447"/>
      <c r="L10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8" s="447"/>
    </row>
    <row r="109" spans="1:13">
      <c r="A109" t="s">
        <v>621</v>
      </c>
      <c r="B109" t="s">
        <v>422</v>
      </c>
      <c r="C109" t="s">
        <v>423</v>
      </c>
      <c r="D109" t="s">
        <v>760</v>
      </c>
      <c r="E109" s="656"/>
      <c r="F109" s="656"/>
      <c r="G109" s="656"/>
      <c r="H109" s="656"/>
      <c r="I109" s="659">
        <f>ROUND(Trial_1Cut[[#This Row],[Net]]/10^2,2)</f>
        <v>0</v>
      </c>
      <c r="J109" s="447" t="s">
        <v>625</v>
      </c>
      <c r="K109" s="447" t="str">
        <f>'Sch-Debtor_Creditors'!$A$12</f>
        <v>Total trade payables</v>
      </c>
      <c r="L10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09" s="447" t="s">
        <v>275</v>
      </c>
    </row>
    <row r="110" spans="1:13">
      <c r="A110" t="s">
        <v>621</v>
      </c>
      <c r="B110" t="s">
        <v>422</v>
      </c>
      <c r="C110" t="s">
        <v>423</v>
      </c>
      <c r="D110" t="s">
        <v>761</v>
      </c>
      <c r="E110" s="656"/>
      <c r="F110" s="656"/>
      <c r="G110" s="656"/>
      <c r="H110" s="656"/>
      <c r="I110" s="659">
        <f>ROUND(Trial_1Cut[[#This Row],[Net]]/10^2,2)</f>
        <v>0</v>
      </c>
      <c r="J110" s="447"/>
      <c r="K110" s="447"/>
      <c r="L11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0" s="447"/>
    </row>
    <row r="111" spans="1:13">
      <c r="A111" t="s">
        <v>621</v>
      </c>
      <c r="B111" t="s">
        <v>422</v>
      </c>
      <c r="C111" t="s">
        <v>423</v>
      </c>
      <c r="D111" t="s">
        <v>762</v>
      </c>
      <c r="E111" s="656"/>
      <c r="F111" s="656"/>
      <c r="G111" s="656"/>
      <c r="H111" s="656"/>
      <c r="I111" s="659">
        <f>ROUND(Trial_1Cut[[#This Row],[Net]]/10^2,2)</f>
        <v>0</v>
      </c>
      <c r="J111" s="447"/>
      <c r="K111" s="447"/>
      <c r="L11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1" s="447"/>
    </row>
    <row r="112" spans="1:13">
      <c r="A112" t="s">
        <v>621</v>
      </c>
      <c r="B112" t="s">
        <v>422</v>
      </c>
      <c r="C112" t="s">
        <v>423</v>
      </c>
      <c r="D112" t="s">
        <v>763</v>
      </c>
      <c r="E112" s="656"/>
      <c r="F112" s="656"/>
      <c r="G112" s="656"/>
      <c r="H112" s="656"/>
      <c r="I112" s="659">
        <f>ROUND(Trial_1Cut[[#This Row],[Net]]/10^2,2)</f>
        <v>0</v>
      </c>
      <c r="J112" s="447"/>
      <c r="K112" s="447"/>
      <c r="L11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2" s="447"/>
    </row>
    <row r="113" spans="1:13">
      <c r="A113" t="s">
        <v>621</v>
      </c>
      <c r="B113" t="s">
        <v>422</v>
      </c>
      <c r="C113" t="s">
        <v>423</v>
      </c>
      <c r="D113" t="s">
        <v>764</v>
      </c>
      <c r="E113" s="656"/>
      <c r="F113" s="656"/>
      <c r="G113" s="656"/>
      <c r="H113" s="656"/>
      <c r="I113" s="659">
        <f>ROUND(Trial_1Cut[[#This Row],[Net]]/10^2,2)</f>
        <v>0</v>
      </c>
      <c r="J113" s="447"/>
      <c r="K113" s="447"/>
      <c r="L11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3" s="447"/>
    </row>
    <row r="114" spans="1:13">
      <c r="A114" t="s">
        <v>621</v>
      </c>
      <c r="B114" t="s">
        <v>422</v>
      </c>
      <c r="C114" t="s">
        <v>423</v>
      </c>
      <c r="D114" t="s">
        <v>765</v>
      </c>
      <c r="E114" s="656"/>
      <c r="F114" s="656"/>
      <c r="G114" s="656"/>
      <c r="H114" s="656"/>
      <c r="I114" s="659">
        <f>ROUND(Trial_1Cut[[#This Row],[Net]]/10^2,2)</f>
        <v>0</v>
      </c>
      <c r="J114" s="447" t="s">
        <v>216</v>
      </c>
      <c r="K114" s="447" t="str">
        <f>'Sch - assets'!$A$67</f>
        <v>Advance Payments to Creditors</v>
      </c>
      <c r="L11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4" s="447"/>
    </row>
    <row r="115" spans="1:13">
      <c r="A115" t="s">
        <v>621</v>
      </c>
      <c r="B115" t="s">
        <v>422</v>
      </c>
      <c r="C115" t="s">
        <v>423</v>
      </c>
      <c r="D115" t="s">
        <v>766</v>
      </c>
      <c r="E115" s="656"/>
      <c r="F115" s="656"/>
      <c r="G115" s="656"/>
      <c r="H115" s="656"/>
      <c r="I115" s="659">
        <f>ROUND(Trial_1Cut[[#This Row],[Net]]/10^2,2)</f>
        <v>0</v>
      </c>
      <c r="J115" s="447"/>
      <c r="K115" s="447"/>
      <c r="L11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5" s="447"/>
    </row>
    <row r="116" spans="1:13">
      <c r="A116" t="s">
        <v>621</v>
      </c>
      <c r="B116" t="s">
        <v>422</v>
      </c>
      <c r="C116" t="s">
        <v>423</v>
      </c>
      <c r="D116" t="s">
        <v>767</v>
      </c>
      <c r="E116" s="656"/>
      <c r="F116" s="656"/>
      <c r="G116" s="656"/>
      <c r="H116" s="656"/>
      <c r="I116" s="659">
        <f>ROUND(Trial_1Cut[[#This Row],[Net]]/10^2,2)</f>
        <v>0</v>
      </c>
      <c r="J116" s="447"/>
      <c r="K116" s="447"/>
      <c r="L11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6" s="447"/>
    </row>
    <row r="117" spans="1:13">
      <c r="A117" t="s">
        <v>621</v>
      </c>
      <c r="B117" t="s">
        <v>422</v>
      </c>
      <c r="C117" t="s">
        <v>423</v>
      </c>
      <c r="D117" t="s">
        <v>768</v>
      </c>
      <c r="E117" s="656"/>
      <c r="F117" s="656"/>
      <c r="G117" s="656"/>
      <c r="H117" s="656"/>
      <c r="I117" s="659">
        <f>ROUND(Trial_1Cut[[#This Row],[Net]]/10^2,2)</f>
        <v>0</v>
      </c>
      <c r="J117" s="447"/>
      <c r="K117" s="447"/>
      <c r="L11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7" s="447"/>
    </row>
    <row r="118" spans="1:13">
      <c r="A118" t="s">
        <v>621</v>
      </c>
      <c r="B118" t="s">
        <v>422</v>
      </c>
      <c r="C118" t="s">
        <v>423</v>
      </c>
      <c r="D118" t="s">
        <v>769</v>
      </c>
      <c r="E118" s="656"/>
      <c r="F118" s="656"/>
      <c r="G118" s="656"/>
      <c r="H118" s="656"/>
      <c r="I118" s="659">
        <f>ROUND(Trial_1Cut[[#This Row],[Net]]/10^2,2)</f>
        <v>0</v>
      </c>
      <c r="J118" s="447"/>
      <c r="K118" s="447"/>
      <c r="L11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8" s="447"/>
    </row>
    <row r="119" spans="1:13">
      <c r="A119" t="s">
        <v>621</v>
      </c>
      <c r="B119" t="s">
        <v>422</v>
      </c>
      <c r="C119" t="s">
        <v>423</v>
      </c>
      <c r="D119" t="s">
        <v>770</v>
      </c>
      <c r="E119" s="656"/>
      <c r="F119" s="656"/>
      <c r="G119" s="656"/>
      <c r="H119" s="656"/>
      <c r="I119" s="659">
        <f>ROUND(Trial_1Cut[[#This Row],[Net]]/10^2,2)</f>
        <v>0</v>
      </c>
      <c r="J119" s="447"/>
      <c r="K119" s="447"/>
      <c r="L11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19" s="447"/>
    </row>
    <row r="120" spans="1:13">
      <c r="A120" t="s">
        <v>621</v>
      </c>
      <c r="B120" t="s">
        <v>422</v>
      </c>
      <c r="C120" t="s">
        <v>423</v>
      </c>
      <c r="D120" t="s">
        <v>771</v>
      </c>
      <c r="E120" s="656"/>
      <c r="F120" s="656"/>
      <c r="G120" s="656"/>
      <c r="H120" s="656"/>
      <c r="I120" s="659">
        <f>ROUND(Trial_1Cut[[#This Row],[Net]]/10^2,2)</f>
        <v>0</v>
      </c>
      <c r="J120" s="447" t="s">
        <v>625</v>
      </c>
      <c r="K120" s="447" t="str">
        <f>'Sch-Debtor_Creditors'!$A$12</f>
        <v>Total trade payables</v>
      </c>
      <c r="L12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0" s="447"/>
    </row>
    <row r="121" spans="1:13">
      <c r="A121" t="s">
        <v>621</v>
      </c>
      <c r="B121" t="s">
        <v>422</v>
      </c>
      <c r="C121" t="s">
        <v>423</v>
      </c>
      <c r="D121" t="s">
        <v>772</v>
      </c>
      <c r="E121" s="656"/>
      <c r="F121" s="656"/>
      <c r="G121" s="656"/>
      <c r="H121" s="656"/>
      <c r="I121" s="659">
        <f>ROUND(Trial_1Cut[[#This Row],[Net]]/10^2,2)</f>
        <v>0</v>
      </c>
      <c r="J121" s="447"/>
      <c r="K121" s="447"/>
      <c r="L12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1" s="447"/>
    </row>
    <row r="122" spans="1:13">
      <c r="A122" t="s">
        <v>621</v>
      </c>
      <c r="B122" t="s">
        <v>422</v>
      </c>
      <c r="C122" t="s">
        <v>423</v>
      </c>
      <c r="D122" t="s">
        <v>773</v>
      </c>
      <c r="E122" s="656"/>
      <c r="F122" s="656"/>
      <c r="G122" s="656"/>
      <c r="H122" s="656"/>
      <c r="I122" s="659">
        <f>ROUND(Trial_1Cut[[#This Row],[Net]]/10^2,2)</f>
        <v>0</v>
      </c>
      <c r="J122" s="447" t="s">
        <v>216</v>
      </c>
      <c r="K122" s="447" t="str">
        <f>'Sch - assets'!$A$67</f>
        <v>Advance Payments to Creditors</v>
      </c>
      <c r="L12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2" s="447"/>
    </row>
    <row r="123" spans="1:13">
      <c r="A123" t="s">
        <v>621</v>
      </c>
      <c r="B123" t="s">
        <v>422</v>
      </c>
      <c r="C123" t="s">
        <v>423</v>
      </c>
      <c r="D123" t="s">
        <v>774</v>
      </c>
      <c r="E123" s="656"/>
      <c r="F123" s="656"/>
      <c r="G123" s="656"/>
      <c r="H123" s="656"/>
      <c r="I123" s="659">
        <f>ROUND(Trial_1Cut[[#This Row],[Net]]/10^2,2)</f>
        <v>0</v>
      </c>
      <c r="J123" s="447"/>
      <c r="K123" s="447"/>
      <c r="L12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3" s="447"/>
    </row>
    <row r="124" spans="1:13">
      <c r="A124" t="s">
        <v>621</v>
      </c>
      <c r="B124" t="s">
        <v>422</v>
      </c>
      <c r="C124" t="s">
        <v>423</v>
      </c>
      <c r="D124" t="s">
        <v>775</v>
      </c>
      <c r="E124" s="656"/>
      <c r="F124" s="656"/>
      <c r="G124" s="656"/>
      <c r="H124" s="656"/>
      <c r="I124" s="659">
        <f>ROUND(Trial_1Cut[[#This Row],[Net]]/10^2,2)</f>
        <v>0</v>
      </c>
      <c r="J124" s="447"/>
      <c r="K124" s="446"/>
      <c r="L12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4" s="447"/>
    </row>
    <row r="125" spans="1:13">
      <c r="A125" t="s">
        <v>621</v>
      </c>
      <c r="B125" t="s">
        <v>422</v>
      </c>
      <c r="C125" t="s">
        <v>423</v>
      </c>
      <c r="D125" t="s">
        <v>776</v>
      </c>
      <c r="E125" s="656"/>
      <c r="F125" s="656"/>
      <c r="G125" s="656"/>
      <c r="H125" s="656"/>
      <c r="I125" s="659">
        <f>ROUND(Trial_1Cut[[#This Row],[Net]]/10^2,2)</f>
        <v>0</v>
      </c>
      <c r="J125" s="447"/>
      <c r="K125" s="446"/>
      <c r="L12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5" s="447"/>
    </row>
    <row r="126" spans="1:13">
      <c r="A126" t="s">
        <v>621</v>
      </c>
      <c r="B126" t="s">
        <v>422</v>
      </c>
      <c r="C126" t="s">
        <v>423</v>
      </c>
      <c r="D126" t="s">
        <v>777</v>
      </c>
      <c r="E126" s="656"/>
      <c r="F126" s="656"/>
      <c r="G126" s="656"/>
      <c r="H126" s="656"/>
      <c r="I126" s="659">
        <f>ROUND(Trial_1Cut[[#This Row],[Net]]/10^2,2)</f>
        <v>0</v>
      </c>
      <c r="J126" s="447"/>
      <c r="K126" s="446"/>
      <c r="L12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6" s="447"/>
    </row>
    <row r="127" spans="1:13">
      <c r="A127" t="s">
        <v>621</v>
      </c>
      <c r="B127" t="s">
        <v>422</v>
      </c>
      <c r="C127" t="s">
        <v>423</v>
      </c>
      <c r="D127" t="s">
        <v>778</v>
      </c>
      <c r="E127" s="656"/>
      <c r="F127" s="656"/>
      <c r="G127" s="656"/>
      <c r="H127" s="656"/>
      <c r="I127" s="659">
        <f>ROUND(Trial_1Cut[[#This Row],[Net]]/10^2,2)</f>
        <v>0</v>
      </c>
      <c r="J127" s="447"/>
      <c r="K127" s="446"/>
      <c r="L12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7" s="447"/>
    </row>
    <row r="128" spans="1:13">
      <c r="A128" t="s">
        <v>621</v>
      </c>
      <c r="B128" t="s">
        <v>422</v>
      </c>
      <c r="C128" t="s">
        <v>423</v>
      </c>
      <c r="D128" t="s">
        <v>779</v>
      </c>
      <c r="E128" s="656"/>
      <c r="F128" s="656"/>
      <c r="G128" s="656"/>
      <c r="H128" s="656"/>
      <c r="I128" s="659">
        <f>ROUND(Trial_1Cut[[#This Row],[Net]]/10^2,2)</f>
        <v>0</v>
      </c>
      <c r="J128" s="447"/>
      <c r="K128" s="447"/>
      <c r="L12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8" s="447"/>
    </row>
    <row r="129" spans="1:13">
      <c r="A129" t="s">
        <v>621</v>
      </c>
      <c r="B129" t="s">
        <v>422</v>
      </c>
      <c r="C129" t="s">
        <v>423</v>
      </c>
      <c r="D129" t="s">
        <v>780</v>
      </c>
      <c r="E129" s="656"/>
      <c r="F129" s="656"/>
      <c r="G129" s="656"/>
      <c r="H129" s="656"/>
      <c r="I129" s="659">
        <f>ROUND(Trial_1Cut[[#This Row],[Net]]/10^2,2)</f>
        <v>0</v>
      </c>
      <c r="J129" s="447"/>
      <c r="K129" s="447"/>
      <c r="L12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29" s="447"/>
    </row>
    <row r="130" spans="1:13">
      <c r="A130" t="s">
        <v>621</v>
      </c>
      <c r="B130" t="s">
        <v>422</v>
      </c>
      <c r="C130" t="s">
        <v>423</v>
      </c>
      <c r="D130" t="s">
        <v>781</v>
      </c>
      <c r="E130" s="656"/>
      <c r="F130" s="656"/>
      <c r="G130" s="656"/>
      <c r="H130" s="656"/>
      <c r="I130" s="659">
        <f>ROUND(Trial_1Cut[[#This Row],[Net]]/10^2,2)</f>
        <v>0</v>
      </c>
      <c r="J130" s="447"/>
      <c r="K130" s="447"/>
      <c r="L13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0" s="447"/>
    </row>
    <row r="131" spans="1:13">
      <c r="A131" t="s">
        <v>621</v>
      </c>
      <c r="B131" t="s">
        <v>422</v>
      </c>
      <c r="C131" t="s">
        <v>423</v>
      </c>
      <c r="D131" t="s">
        <v>616</v>
      </c>
      <c r="E131" s="656"/>
      <c r="F131" s="656"/>
      <c r="G131" s="656"/>
      <c r="H131" s="656"/>
      <c r="I131" s="659">
        <f>ROUND(Trial_1Cut[[#This Row],[Net]]/10^2,2)</f>
        <v>0</v>
      </c>
      <c r="J131" s="447"/>
      <c r="K131" s="447"/>
      <c r="L13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1" s="447"/>
    </row>
    <row r="132" spans="1:13">
      <c r="A132" t="s">
        <v>621</v>
      </c>
      <c r="B132" t="s">
        <v>422</v>
      </c>
      <c r="C132" t="s">
        <v>423</v>
      </c>
      <c r="D132" t="s">
        <v>782</v>
      </c>
      <c r="E132" s="656"/>
      <c r="F132" s="656"/>
      <c r="G132" s="656"/>
      <c r="H132" s="656"/>
      <c r="I132" s="659">
        <f>ROUND(Trial_1Cut[[#This Row],[Net]]/10^2,2)</f>
        <v>0</v>
      </c>
      <c r="J132" s="447"/>
      <c r="K132" s="447"/>
      <c r="L13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2" s="447"/>
    </row>
    <row r="133" spans="1:13">
      <c r="A133" t="s">
        <v>621</v>
      </c>
      <c r="B133" t="s">
        <v>422</v>
      </c>
      <c r="C133" t="s">
        <v>423</v>
      </c>
      <c r="D133" t="s">
        <v>783</v>
      </c>
      <c r="E133" s="656"/>
      <c r="F133" s="656"/>
      <c r="G133" s="656"/>
      <c r="H133" s="656"/>
      <c r="I133" s="659">
        <f>ROUND(Trial_1Cut[[#This Row],[Net]]/10^2,2)</f>
        <v>0</v>
      </c>
      <c r="J133" s="447" t="s">
        <v>625</v>
      </c>
      <c r="K133" s="447" t="str">
        <f>'Sch-Debtor_Creditors'!$A$12</f>
        <v>Total trade payables</v>
      </c>
      <c r="L13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3" s="447" t="s">
        <v>627</v>
      </c>
    </row>
    <row r="134" spans="1:13">
      <c r="A134" t="s">
        <v>621</v>
      </c>
      <c r="B134" t="s">
        <v>422</v>
      </c>
      <c r="C134" t="s">
        <v>593</v>
      </c>
      <c r="D134" t="s">
        <v>784</v>
      </c>
      <c r="E134" s="656"/>
      <c r="F134" s="656"/>
      <c r="G134" s="656"/>
      <c r="H134" s="656"/>
      <c r="I134" s="659">
        <f>ROUND(Trial_1Cut[[#This Row],[Net]]/10^2,2)</f>
        <v>0</v>
      </c>
      <c r="J134" s="447" t="s">
        <v>624</v>
      </c>
      <c r="K134" s="447" t="str">
        <f>'Sch - liab'!$A$84</f>
        <v>Bonus Payable</v>
      </c>
      <c r="L13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4" s="447"/>
    </row>
    <row r="135" spans="1:13">
      <c r="A135" t="s">
        <v>621</v>
      </c>
      <c r="B135" t="s">
        <v>422</v>
      </c>
      <c r="C135" t="s">
        <v>593</v>
      </c>
      <c r="D135" t="s">
        <v>785</v>
      </c>
      <c r="E135" s="656"/>
      <c r="F135" s="656"/>
      <c r="G135" s="656"/>
      <c r="H135" s="656"/>
      <c r="I135" s="659">
        <f>ROUND(Trial_1Cut[[#This Row],[Net]]/10^2,2)</f>
        <v>0</v>
      </c>
      <c r="J135" s="447" t="s">
        <v>624</v>
      </c>
      <c r="K135" s="447" t="str">
        <f>'Sch - liab'!$A$84</f>
        <v>Bonus Payable</v>
      </c>
      <c r="L13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5" s="447"/>
    </row>
    <row r="136" spans="1:13">
      <c r="A136" t="s">
        <v>621</v>
      </c>
      <c r="B136" t="s">
        <v>422</v>
      </c>
      <c r="C136" t="s">
        <v>593</v>
      </c>
      <c r="D136" t="s">
        <v>786</v>
      </c>
      <c r="E136" s="656"/>
      <c r="F136" s="656"/>
      <c r="G136" s="656"/>
      <c r="H136" s="656"/>
      <c r="I136" s="659">
        <f>ROUND(Trial_1Cut[[#This Row],[Net]]/10^2,2)</f>
        <v>0</v>
      </c>
      <c r="J136" s="447" t="s">
        <v>624</v>
      </c>
      <c r="K136" s="447" t="str">
        <f>'Sch - liab'!$A$84</f>
        <v>Bonus Payable</v>
      </c>
      <c r="L13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6" s="447"/>
    </row>
    <row r="137" spans="1:13">
      <c r="A137" t="s">
        <v>621</v>
      </c>
      <c r="B137" t="s">
        <v>422</v>
      </c>
      <c r="C137" t="s">
        <v>593</v>
      </c>
      <c r="D137" t="s">
        <v>787</v>
      </c>
      <c r="E137" s="656"/>
      <c r="F137" s="656"/>
      <c r="G137" s="656"/>
      <c r="H137" s="656"/>
      <c r="I137" s="659">
        <f>ROUND(Trial_1Cut[[#This Row],[Net]]/10^2,2)</f>
        <v>0</v>
      </c>
      <c r="J137" s="447" t="s">
        <v>624</v>
      </c>
      <c r="K137" s="447" t="str">
        <f>'Sch - liab'!$A$84</f>
        <v>Bonus Payable</v>
      </c>
      <c r="L13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7" s="447"/>
    </row>
    <row r="138" spans="1:13">
      <c r="A138" t="s">
        <v>621</v>
      </c>
      <c r="B138" t="s">
        <v>422</v>
      </c>
      <c r="C138" t="s">
        <v>593</v>
      </c>
      <c r="D138" t="s">
        <v>788</v>
      </c>
      <c r="E138" s="656"/>
      <c r="F138" s="656"/>
      <c r="G138" s="656"/>
      <c r="H138" s="656"/>
      <c r="I138" s="659">
        <f>ROUND(Trial_1Cut[[#This Row],[Net]]/10^2,2)</f>
        <v>0</v>
      </c>
      <c r="J138" s="447" t="s">
        <v>624</v>
      </c>
      <c r="K138" s="447" t="str">
        <f>'Sch - liab'!$A$84</f>
        <v>Bonus Payable</v>
      </c>
      <c r="L13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8" s="447"/>
    </row>
    <row r="139" spans="1:13">
      <c r="A139" t="s">
        <v>621</v>
      </c>
      <c r="B139" t="s">
        <v>422</v>
      </c>
      <c r="C139" t="s">
        <v>593</v>
      </c>
      <c r="D139" t="s">
        <v>789</v>
      </c>
      <c r="E139" s="656"/>
      <c r="F139" s="656"/>
      <c r="G139" s="656"/>
      <c r="H139" s="656"/>
      <c r="I139" s="659">
        <f>ROUND(Trial_1Cut[[#This Row],[Net]]/10^2,2)</f>
        <v>0</v>
      </c>
      <c r="J139" s="447" t="s">
        <v>624</v>
      </c>
      <c r="K139" s="447" t="str">
        <f>'Sch - liab'!$A$84</f>
        <v>Bonus Payable</v>
      </c>
      <c r="L13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39" s="447"/>
    </row>
    <row r="140" spans="1:13">
      <c r="A140" t="s">
        <v>621</v>
      </c>
      <c r="B140" t="s">
        <v>422</v>
      </c>
      <c r="C140" t="s">
        <v>593</v>
      </c>
      <c r="D140" t="s">
        <v>790</v>
      </c>
      <c r="E140" s="656"/>
      <c r="F140" s="656"/>
      <c r="G140" s="656"/>
      <c r="H140" s="656"/>
      <c r="I140" s="659">
        <f>ROUND(Trial_1Cut[[#This Row],[Net]]/10^2,2)</f>
        <v>0</v>
      </c>
      <c r="J140" s="447" t="s">
        <v>624</v>
      </c>
      <c r="K140" s="447" t="str">
        <f>'Sch - liab'!$A$84</f>
        <v>Bonus Payable</v>
      </c>
      <c r="L14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0" s="447"/>
    </row>
    <row r="141" spans="1:13">
      <c r="A141" t="s">
        <v>621</v>
      </c>
      <c r="B141" t="s">
        <v>422</v>
      </c>
      <c r="C141" t="s">
        <v>593</v>
      </c>
      <c r="D141" t="s">
        <v>791</v>
      </c>
      <c r="E141" s="656"/>
      <c r="F141" s="656"/>
      <c r="G141" s="656"/>
      <c r="H141" s="656"/>
      <c r="I141" s="659">
        <f>ROUND(Trial_1Cut[[#This Row],[Net]]/10^2,2)</f>
        <v>0</v>
      </c>
      <c r="J141" s="447" t="s">
        <v>624</v>
      </c>
      <c r="K141" s="447" t="str">
        <f>'Sch - liab'!$A$84</f>
        <v>Bonus Payable</v>
      </c>
      <c r="L14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1" s="447"/>
    </row>
    <row r="142" spans="1:13">
      <c r="A142" t="s">
        <v>621</v>
      </c>
      <c r="B142" t="s">
        <v>422</v>
      </c>
      <c r="C142" t="s">
        <v>593</v>
      </c>
      <c r="D142" t="s">
        <v>792</v>
      </c>
      <c r="E142" s="656"/>
      <c r="F142" s="656"/>
      <c r="G142" s="656"/>
      <c r="H142" s="656"/>
      <c r="I142" s="659">
        <f>ROUND(Trial_1Cut[[#This Row],[Net]]/10^2,2)</f>
        <v>0</v>
      </c>
      <c r="J142" s="447" t="s">
        <v>624</v>
      </c>
      <c r="K142" s="447" t="str">
        <f>'Sch - liab'!$A$84</f>
        <v>Bonus Payable</v>
      </c>
      <c r="L14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2" s="447"/>
    </row>
    <row r="143" spans="1:13">
      <c r="A143" t="s">
        <v>621</v>
      </c>
      <c r="B143" t="s">
        <v>422</v>
      </c>
      <c r="C143" t="s">
        <v>593</v>
      </c>
      <c r="D143" t="s">
        <v>793</v>
      </c>
      <c r="E143" s="656"/>
      <c r="F143" s="656"/>
      <c r="G143" s="656"/>
      <c r="H143" s="656"/>
      <c r="I143" s="659">
        <f>ROUND(Trial_1Cut[[#This Row],[Net]]/10^2,2)</f>
        <v>0</v>
      </c>
      <c r="J143" s="447" t="s">
        <v>624</v>
      </c>
      <c r="K143" s="447" t="str">
        <f>'Sch - liab'!$A$84</f>
        <v>Bonus Payable</v>
      </c>
      <c r="L14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3" s="447"/>
    </row>
    <row r="144" spans="1:13">
      <c r="A144" t="s">
        <v>621</v>
      </c>
      <c r="B144" t="s">
        <v>422</v>
      </c>
      <c r="C144" t="s">
        <v>593</v>
      </c>
      <c r="D144" t="s">
        <v>794</v>
      </c>
      <c r="E144" s="656"/>
      <c r="F144" s="656"/>
      <c r="G144" s="656"/>
      <c r="H144" s="656"/>
      <c r="I144" s="659">
        <f>ROUND(Trial_1Cut[[#This Row],[Net]]/10^2,2)</f>
        <v>0</v>
      </c>
      <c r="J144" s="447" t="s">
        <v>624</v>
      </c>
      <c r="K144" s="447" t="str">
        <f>'Sch - liab'!$A$84</f>
        <v>Bonus Payable</v>
      </c>
      <c r="L14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4" s="447"/>
    </row>
    <row r="145" spans="1:13">
      <c r="A145" t="s">
        <v>621</v>
      </c>
      <c r="B145" t="s">
        <v>422</v>
      </c>
      <c r="C145" t="s">
        <v>593</v>
      </c>
      <c r="D145" t="s">
        <v>795</v>
      </c>
      <c r="E145" s="656"/>
      <c r="F145" s="656"/>
      <c r="G145" s="656"/>
      <c r="H145" s="656"/>
      <c r="I145" s="659">
        <f>ROUND(Trial_1Cut[[#This Row],[Net]]/10^2,2)</f>
        <v>0</v>
      </c>
      <c r="J145" s="447" t="s">
        <v>624</v>
      </c>
      <c r="K145" s="447" t="str">
        <f>'Sch - liab'!$A$84</f>
        <v>Bonus Payable</v>
      </c>
      <c r="L14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5" s="447"/>
    </row>
    <row r="146" spans="1:13">
      <c r="A146" t="s">
        <v>621</v>
      </c>
      <c r="B146" t="s">
        <v>422</v>
      </c>
      <c r="C146" t="s">
        <v>593</v>
      </c>
      <c r="D146" t="s">
        <v>796</v>
      </c>
      <c r="E146" s="656"/>
      <c r="F146" s="656"/>
      <c r="G146" s="656"/>
      <c r="H146" s="656"/>
      <c r="I146" s="659">
        <f>ROUND(Trial_1Cut[[#This Row],[Net]]/10^2,2)</f>
        <v>0</v>
      </c>
      <c r="J146" s="447" t="s">
        <v>624</v>
      </c>
      <c r="K146" s="447" t="str">
        <f>'Sch - liab'!$A$84</f>
        <v>Bonus Payable</v>
      </c>
      <c r="L14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6" s="447"/>
    </row>
    <row r="147" spans="1:13">
      <c r="A147" t="s">
        <v>621</v>
      </c>
      <c r="B147" t="s">
        <v>422</v>
      </c>
      <c r="C147" t="s">
        <v>593</v>
      </c>
      <c r="D147" t="s">
        <v>797</v>
      </c>
      <c r="E147" s="656"/>
      <c r="F147" s="656"/>
      <c r="G147" s="656"/>
      <c r="H147" s="656"/>
      <c r="I147" s="659">
        <f>ROUND(Trial_1Cut[[#This Row],[Net]]/10^2,2)</f>
        <v>0</v>
      </c>
      <c r="J147" s="447" t="s">
        <v>624</v>
      </c>
      <c r="K147" s="447" t="str">
        <f>'Sch - liab'!$A$84</f>
        <v>Bonus Payable</v>
      </c>
      <c r="L14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7" s="447"/>
    </row>
    <row r="148" spans="1:13">
      <c r="A148" t="s">
        <v>621</v>
      </c>
      <c r="B148" t="s">
        <v>422</v>
      </c>
      <c r="C148" t="s">
        <v>593</v>
      </c>
      <c r="D148" t="s">
        <v>798</v>
      </c>
      <c r="E148" s="656"/>
      <c r="F148" s="656"/>
      <c r="G148" s="656"/>
      <c r="H148" s="656"/>
      <c r="I148" s="659">
        <f>ROUND(Trial_1Cut[[#This Row],[Net]]/10^2,2)</f>
        <v>0</v>
      </c>
      <c r="J148" s="447" t="s">
        <v>624</v>
      </c>
      <c r="K148" s="447" t="str">
        <f>'Sch - liab'!$A$84</f>
        <v>Bonus Payable</v>
      </c>
      <c r="L14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8" s="447"/>
    </row>
    <row r="149" spans="1:13">
      <c r="A149" t="s">
        <v>621</v>
      </c>
      <c r="B149" t="s">
        <v>422</v>
      </c>
      <c r="C149" t="s">
        <v>593</v>
      </c>
      <c r="D149" t="s">
        <v>799</v>
      </c>
      <c r="E149" s="656"/>
      <c r="F149" s="656"/>
      <c r="G149" s="656"/>
      <c r="H149" s="656"/>
      <c r="I149" s="659">
        <f>ROUND(Trial_1Cut[[#This Row],[Net]]/10^2,2)</f>
        <v>0</v>
      </c>
      <c r="J149" s="447" t="s">
        <v>624</v>
      </c>
      <c r="K149" s="447" t="str">
        <f>'Sch - liab'!$A$84</f>
        <v>Bonus Payable</v>
      </c>
      <c r="L14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49" s="447"/>
    </row>
    <row r="150" spans="1:13">
      <c r="A150" t="s">
        <v>621</v>
      </c>
      <c r="B150" t="s">
        <v>422</v>
      </c>
      <c r="C150" t="s">
        <v>593</v>
      </c>
      <c r="D150" t="s">
        <v>800</v>
      </c>
      <c r="E150" s="656"/>
      <c r="F150" s="656"/>
      <c r="G150" s="656"/>
      <c r="H150" s="656"/>
      <c r="I150" s="659">
        <f>ROUND(Trial_1Cut[[#This Row],[Net]]/10^2,2)</f>
        <v>0</v>
      </c>
      <c r="J150" s="447" t="s">
        <v>624</v>
      </c>
      <c r="K150" s="447" t="str">
        <f>'Sch - liab'!$A$84</f>
        <v>Bonus Payable</v>
      </c>
      <c r="L15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0" s="447"/>
    </row>
    <row r="151" spans="1:13">
      <c r="A151" t="s">
        <v>621</v>
      </c>
      <c r="B151" t="s">
        <v>422</v>
      </c>
      <c r="C151" t="s">
        <v>593</v>
      </c>
      <c r="D151" t="s">
        <v>801</v>
      </c>
      <c r="E151" s="656"/>
      <c r="F151" s="656"/>
      <c r="G151" s="656"/>
      <c r="H151" s="656"/>
      <c r="I151" s="659">
        <f>ROUND(Trial_1Cut[[#This Row],[Net]]/10^2,2)</f>
        <v>0</v>
      </c>
      <c r="J151" s="447" t="s">
        <v>624</v>
      </c>
      <c r="K151" s="447" t="str">
        <f>'Sch - liab'!$A$84</f>
        <v>Bonus Payable</v>
      </c>
      <c r="L15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1" s="447"/>
    </row>
    <row r="152" spans="1:13">
      <c r="A152" t="s">
        <v>621</v>
      </c>
      <c r="B152" t="s">
        <v>422</v>
      </c>
      <c r="C152" t="s">
        <v>593</v>
      </c>
      <c r="D152" t="s">
        <v>802</v>
      </c>
      <c r="E152" s="656"/>
      <c r="F152" s="656"/>
      <c r="G152" s="656"/>
      <c r="H152" s="656"/>
      <c r="I152" s="659">
        <f>ROUND(Trial_1Cut[[#This Row],[Net]]/10^2,2)</f>
        <v>0</v>
      </c>
      <c r="J152" s="447" t="s">
        <v>624</v>
      </c>
      <c r="K152" s="447" t="str">
        <f>'Sch - liab'!$A$84</f>
        <v>Bonus Payable</v>
      </c>
      <c r="L15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2" s="447"/>
    </row>
    <row r="153" spans="1:13">
      <c r="A153" t="s">
        <v>621</v>
      </c>
      <c r="B153" t="s">
        <v>422</v>
      </c>
      <c r="C153" t="s">
        <v>593</v>
      </c>
      <c r="D153" t="s">
        <v>803</v>
      </c>
      <c r="E153" s="656"/>
      <c r="F153" s="656"/>
      <c r="G153" s="656"/>
      <c r="H153" s="656"/>
      <c r="I153" s="659">
        <f>ROUND(Trial_1Cut[[#This Row],[Net]]/10^2,2)</f>
        <v>0</v>
      </c>
      <c r="J153" s="447" t="s">
        <v>624</v>
      </c>
      <c r="K153" s="447" t="str">
        <f>'Sch - liab'!$A$84</f>
        <v>Bonus Payable</v>
      </c>
      <c r="L15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3" s="475"/>
    </row>
    <row r="154" spans="1:13">
      <c r="A154" t="s">
        <v>621</v>
      </c>
      <c r="B154" t="s">
        <v>422</v>
      </c>
      <c r="C154" t="s">
        <v>593</v>
      </c>
      <c r="D154" t="s">
        <v>804</v>
      </c>
      <c r="E154" s="656"/>
      <c r="F154" s="656"/>
      <c r="G154" s="656"/>
      <c r="H154" s="656"/>
      <c r="I154" s="659">
        <f>ROUND(Trial_1Cut[[#This Row],[Net]]/10^2,2)</f>
        <v>0</v>
      </c>
      <c r="J154" s="447" t="s">
        <v>624</v>
      </c>
      <c r="K154" s="447" t="str">
        <f>'Sch - liab'!$A$84</f>
        <v>Bonus Payable</v>
      </c>
      <c r="L15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4" s="475"/>
    </row>
    <row r="155" spans="1:13">
      <c r="A155" t="s">
        <v>621</v>
      </c>
      <c r="B155" t="s">
        <v>422</v>
      </c>
      <c r="C155" t="s">
        <v>593</v>
      </c>
      <c r="D155" t="s">
        <v>805</v>
      </c>
      <c r="E155" s="656"/>
      <c r="F155" s="656"/>
      <c r="G155" s="656"/>
      <c r="H155" s="656"/>
      <c r="I155" s="659">
        <f>ROUND(Trial_1Cut[[#This Row],[Net]]/10^2,2)</f>
        <v>0</v>
      </c>
      <c r="J155" s="447" t="s">
        <v>624</v>
      </c>
      <c r="K155" s="447" t="str">
        <f>'Sch - liab'!$A$84</f>
        <v>Bonus Payable</v>
      </c>
      <c r="L15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5" s="475"/>
    </row>
    <row r="156" spans="1:13">
      <c r="A156" t="s">
        <v>621</v>
      </c>
      <c r="B156" t="s">
        <v>422</v>
      </c>
      <c r="C156" t="s">
        <v>594</v>
      </c>
      <c r="D156" t="s">
        <v>806</v>
      </c>
      <c r="E156" s="656"/>
      <c r="F156" s="656"/>
      <c r="G156" s="656"/>
      <c r="H156" s="656"/>
      <c r="I156" s="659">
        <f>ROUND(Trial_1Cut[[#This Row],[Net]]/10^2,2)</f>
        <v>0</v>
      </c>
      <c r="J156" s="447"/>
      <c r="K156" s="447"/>
      <c r="L15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6" s="475"/>
    </row>
    <row r="157" spans="1:13">
      <c r="A157" t="s">
        <v>621</v>
      </c>
      <c r="B157" t="s">
        <v>422</v>
      </c>
      <c r="C157" t="s">
        <v>594</v>
      </c>
      <c r="D157" t="s">
        <v>807</v>
      </c>
      <c r="E157" s="656"/>
      <c r="F157" s="656"/>
      <c r="G157" s="656"/>
      <c r="H157" s="656"/>
      <c r="I157" s="659">
        <f>ROUND(Trial_1Cut[[#This Row],[Net]]/10^2,2)</f>
        <v>0</v>
      </c>
      <c r="J157" s="447" t="s">
        <v>624</v>
      </c>
      <c r="K157" s="447" t="e">
        <f>'Sch - liab'!#REF!</f>
        <v>#REF!</v>
      </c>
      <c r="L15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7" s="475"/>
    </row>
    <row r="158" spans="1:13">
      <c r="A158" t="s">
        <v>621</v>
      </c>
      <c r="B158" t="s">
        <v>422</v>
      </c>
      <c r="C158" t="s">
        <v>594</v>
      </c>
      <c r="D158" t="s">
        <v>808</v>
      </c>
      <c r="E158" s="656"/>
      <c r="F158" s="656"/>
      <c r="G158" s="656"/>
      <c r="H158" s="656"/>
      <c r="I158" s="659">
        <f>ROUND(Trial_1Cut[[#This Row],[Net]]/10^2,2)</f>
        <v>0</v>
      </c>
      <c r="J158" s="475" t="s">
        <v>216</v>
      </c>
      <c r="K158" s="475" t="str">
        <f>'Sch - assets'!A67</f>
        <v>Advance Payments to Creditors</v>
      </c>
      <c r="L15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8" s="475"/>
    </row>
    <row r="159" spans="1:13">
      <c r="A159" t="s">
        <v>621</v>
      </c>
      <c r="B159" t="s">
        <v>422</v>
      </c>
      <c r="C159" t="s">
        <v>594</v>
      </c>
      <c r="D159" t="s">
        <v>809</v>
      </c>
      <c r="E159" s="656"/>
      <c r="F159" s="656"/>
      <c r="G159" s="656"/>
      <c r="H159" s="656"/>
      <c r="I159" s="659">
        <f>ROUND(Trial_1Cut[[#This Row],[Net]]/10^2,2)</f>
        <v>0</v>
      </c>
      <c r="J159" s="447" t="s">
        <v>624</v>
      </c>
      <c r="K159" s="447" t="e">
        <f>'Sch - liab'!#REF!</f>
        <v>#REF!</v>
      </c>
      <c r="L15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59" s="475"/>
    </row>
    <row r="160" spans="1:13">
      <c r="A160" t="s">
        <v>621</v>
      </c>
      <c r="B160" t="s">
        <v>422</v>
      </c>
      <c r="C160" t="s">
        <v>594</v>
      </c>
      <c r="D160" t="s">
        <v>810</v>
      </c>
      <c r="E160" s="656"/>
      <c r="F160" s="656"/>
      <c r="G160" s="656"/>
      <c r="H160" s="656"/>
      <c r="I160" s="659">
        <f>ROUND(Trial_1Cut[[#This Row],[Net]]/10^2,2)</f>
        <v>0</v>
      </c>
      <c r="J160" s="475"/>
      <c r="K160" s="475"/>
      <c r="L16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0" s="475"/>
    </row>
    <row r="161" spans="1:13">
      <c r="A161" t="s">
        <v>621</v>
      </c>
      <c r="B161" t="s">
        <v>422</v>
      </c>
      <c r="C161" t="s">
        <v>594</v>
      </c>
      <c r="D161" t="s">
        <v>811</v>
      </c>
      <c r="E161" s="656"/>
      <c r="F161" s="656"/>
      <c r="G161" s="656"/>
      <c r="H161" s="656"/>
      <c r="I161" s="659">
        <f>ROUND(Trial_1Cut[[#This Row],[Net]]/10^2,2)</f>
        <v>0</v>
      </c>
      <c r="J161" s="475"/>
      <c r="K161" s="475"/>
      <c r="L16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1" s="475"/>
    </row>
    <row r="162" spans="1:13">
      <c r="A162" t="s">
        <v>621</v>
      </c>
      <c r="B162" t="s">
        <v>422</v>
      </c>
      <c r="C162" t="s">
        <v>594</v>
      </c>
      <c r="D162" t="s">
        <v>812</v>
      </c>
      <c r="E162" s="656"/>
      <c r="F162" s="656"/>
      <c r="G162" s="656"/>
      <c r="H162" s="656"/>
      <c r="I162" s="659">
        <f>ROUND(Trial_1Cut[[#This Row],[Net]]/10^2,2)</f>
        <v>0</v>
      </c>
      <c r="J162" s="447" t="s">
        <v>624</v>
      </c>
      <c r="K162" s="447" t="e">
        <f>'Sch - liab'!#REF!</f>
        <v>#REF!</v>
      </c>
      <c r="L16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2" s="475"/>
    </row>
    <row r="163" spans="1:13">
      <c r="A163" t="s">
        <v>621</v>
      </c>
      <c r="B163" t="s">
        <v>422</v>
      </c>
      <c r="C163" t="s">
        <v>594</v>
      </c>
      <c r="D163" t="s">
        <v>813</v>
      </c>
      <c r="E163" s="656"/>
      <c r="F163" s="656"/>
      <c r="G163" s="656"/>
      <c r="H163" s="656"/>
      <c r="I163" s="659">
        <f>ROUND(Trial_1Cut[[#This Row],[Net]]/10^2,2)</f>
        <v>0</v>
      </c>
      <c r="J163" s="475"/>
      <c r="K163" s="475"/>
      <c r="L16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3" s="475"/>
    </row>
    <row r="164" spans="1:13">
      <c r="A164" t="s">
        <v>621</v>
      </c>
      <c r="B164" t="s">
        <v>422</v>
      </c>
      <c r="C164" t="s">
        <v>594</v>
      </c>
      <c r="D164" t="s">
        <v>814</v>
      </c>
      <c r="E164" s="656"/>
      <c r="F164" s="656"/>
      <c r="G164" s="656"/>
      <c r="H164" s="656"/>
      <c r="I164" s="659">
        <f>ROUND(Trial_1Cut[[#This Row],[Net]]/10^2,2)</f>
        <v>0</v>
      </c>
      <c r="J164" s="475"/>
      <c r="K164" s="475"/>
      <c r="L16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4" s="475"/>
    </row>
    <row r="165" spans="1:13">
      <c r="A165" t="s">
        <v>621</v>
      </c>
      <c r="B165" t="s">
        <v>422</v>
      </c>
      <c r="C165" t="s">
        <v>594</v>
      </c>
      <c r="D165" t="s">
        <v>815</v>
      </c>
      <c r="E165" s="656"/>
      <c r="F165" s="656"/>
      <c r="G165" s="656"/>
      <c r="H165" s="656"/>
      <c r="I165" s="659">
        <f>ROUND(Trial_1Cut[[#This Row],[Net]]/10^2,2)</f>
        <v>0</v>
      </c>
      <c r="J165" s="475"/>
      <c r="K165" s="475"/>
      <c r="L16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5" s="475"/>
    </row>
    <row r="166" spans="1:13">
      <c r="A166" t="s">
        <v>427</v>
      </c>
      <c r="B166" t="s">
        <v>428</v>
      </c>
      <c r="C166" t="s">
        <v>595</v>
      </c>
      <c r="D166" t="s">
        <v>816</v>
      </c>
      <c r="E166" s="656"/>
      <c r="F166" s="656"/>
      <c r="G166" s="656"/>
      <c r="H166" s="656"/>
      <c r="I166" s="659">
        <f>ROUND(Trial_1Cut[[#This Row],[Net]]/10^2,2)</f>
        <v>0</v>
      </c>
      <c r="J166" s="475" t="s">
        <v>428</v>
      </c>
      <c r="K166" s="475" t="s">
        <v>428</v>
      </c>
      <c r="L16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6" s="475"/>
    </row>
    <row r="167" spans="1:13">
      <c r="A167" t="s">
        <v>427</v>
      </c>
      <c r="B167" t="s">
        <v>428</v>
      </c>
      <c r="C167" t="s">
        <v>595</v>
      </c>
      <c r="D167" t="s">
        <v>817</v>
      </c>
      <c r="E167" s="656"/>
      <c r="F167" s="656"/>
      <c r="G167" s="656"/>
      <c r="H167" s="656"/>
      <c r="I167" s="659">
        <f>ROUND(Trial_1Cut[[#This Row],[Net]]/10^2,2)</f>
        <v>0</v>
      </c>
      <c r="J167" s="475" t="s">
        <v>428</v>
      </c>
      <c r="K167" s="475" t="s">
        <v>428</v>
      </c>
      <c r="L16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7" s="475"/>
    </row>
    <row r="168" spans="1:13">
      <c r="A168" t="s">
        <v>427</v>
      </c>
      <c r="B168" t="s">
        <v>428</v>
      </c>
      <c r="C168" t="s">
        <v>595</v>
      </c>
      <c r="D168" t="s">
        <v>818</v>
      </c>
      <c r="E168" s="656"/>
      <c r="F168" s="656"/>
      <c r="G168" s="656"/>
      <c r="H168" s="656"/>
      <c r="I168" s="659">
        <f>ROUND(Trial_1Cut[[#This Row],[Net]]/10^2,2)</f>
        <v>0</v>
      </c>
      <c r="J168" s="475" t="s">
        <v>428</v>
      </c>
      <c r="K168" s="475" t="s">
        <v>428</v>
      </c>
      <c r="L16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8" s="475"/>
    </row>
    <row r="169" spans="1:13">
      <c r="A169" t="s">
        <v>427</v>
      </c>
      <c r="B169" t="s">
        <v>428</v>
      </c>
      <c r="C169" t="s">
        <v>595</v>
      </c>
      <c r="D169" t="s">
        <v>819</v>
      </c>
      <c r="E169" s="656"/>
      <c r="F169" s="656"/>
      <c r="G169" s="656"/>
      <c r="H169" s="656"/>
      <c r="I169" s="659">
        <f>ROUND(Trial_1Cut[[#This Row],[Net]]/10^2,2)</f>
        <v>0</v>
      </c>
      <c r="J169" s="475" t="s">
        <v>428</v>
      </c>
      <c r="K169" s="475" t="s">
        <v>428</v>
      </c>
      <c r="L16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69" s="475"/>
    </row>
    <row r="170" spans="1:13">
      <c r="A170" t="s">
        <v>427</v>
      </c>
      <c r="B170" t="s">
        <v>428</v>
      </c>
      <c r="C170" t="s">
        <v>596</v>
      </c>
      <c r="D170" t="s">
        <v>820</v>
      </c>
      <c r="E170" s="656"/>
      <c r="F170" s="656"/>
      <c r="G170" s="656"/>
      <c r="H170" s="656"/>
      <c r="I170" s="659">
        <f>ROUND(Trial_1Cut[[#This Row],[Net]]/10^2,2)</f>
        <v>0</v>
      </c>
      <c r="J170" s="475" t="s">
        <v>428</v>
      </c>
      <c r="K170" s="475" t="s">
        <v>428</v>
      </c>
      <c r="L17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0" s="475"/>
    </row>
    <row r="171" spans="1:13">
      <c r="A171" t="s">
        <v>427</v>
      </c>
      <c r="B171" t="s">
        <v>428</v>
      </c>
      <c r="C171" t="s">
        <v>597</v>
      </c>
      <c r="D171" t="s">
        <v>821</v>
      </c>
      <c r="E171" s="656"/>
      <c r="F171" s="656"/>
      <c r="G171" s="656"/>
      <c r="H171" s="656"/>
      <c r="I171" s="659">
        <f>ROUND(Trial_1Cut[[#This Row],[Net]]/10^2,2)</f>
        <v>0</v>
      </c>
      <c r="J171" s="475" t="s">
        <v>428</v>
      </c>
      <c r="K171" s="475" t="s">
        <v>428</v>
      </c>
      <c r="L17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1" s="475"/>
    </row>
    <row r="172" spans="1:13">
      <c r="A172" t="s">
        <v>427</v>
      </c>
      <c r="B172" t="s">
        <v>428</v>
      </c>
      <c r="C172" t="s">
        <v>597</v>
      </c>
      <c r="D172" t="s">
        <v>822</v>
      </c>
      <c r="E172" s="656"/>
      <c r="F172" s="656"/>
      <c r="G172" s="656"/>
      <c r="H172" s="656"/>
      <c r="I172" s="659">
        <f>ROUND(Trial_1Cut[[#This Row],[Net]]/10^2,2)</f>
        <v>0</v>
      </c>
      <c r="J172" s="475" t="s">
        <v>428</v>
      </c>
      <c r="K172" s="475" t="s">
        <v>428</v>
      </c>
      <c r="L17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2" s="475"/>
    </row>
    <row r="173" spans="1:13">
      <c r="A173" t="s">
        <v>427</v>
      </c>
      <c r="B173" t="s">
        <v>428</v>
      </c>
      <c r="C173" t="s">
        <v>598</v>
      </c>
      <c r="D173" t="s">
        <v>823</v>
      </c>
      <c r="E173" s="656"/>
      <c r="F173" s="656"/>
      <c r="G173" s="656"/>
      <c r="H173" s="656"/>
      <c r="I173" s="659">
        <f>ROUND(Trial_1Cut[[#This Row],[Net]]/10^2,2)</f>
        <v>0</v>
      </c>
      <c r="J173" s="475" t="s">
        <v>428</v>
      </c>
      <c r="K173" s="475" t="s">
        <v>428</v>
      </c>
      <c r="L17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3" s="475"/>
    </row>
    <row r="174" spans="1:13">
      <c r="A174" t="s">
        <v>427</v>
      </c>
      <c r="B174" t="s">
        <v>428</v>
      </c>
      <c r="C174" t="s">
        <v>599</v>
      </c>
      <c r="D174" t="s">
        <v>824</v>
      </c>
      <c r="E174" s="656"/>
      <c r="F174" s="656"/>
      <c r="G174" s="656"/>
      <c r="H174" s="656"/>
      <c r="I174" s="659">
        <f>ROUND(Trial_1Cut[[#This Row],[Net]]/10^2,2)</f>
        <v>0</v>
      </c>
      <c r="J174" s="475" t="s">
        <v>428</v>
      </c>
      <c r="K174" s="475" t="s">
        <v>428</v>
      </c>
      <c r="L17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4" s="475"/>
    </row>
    <row r="175" spans="1:13">
      <c r="A175" t="s">
        <v>427</v>
      </c>
      <c r="B175" t="s">
        <v>428</v>
      </c>
      <c r="C175" t="s">
        <v>600</v>
      </c>
      <c r="D175" t="s">
        <v>825</v>
      </c>
      <c r="E175" s="656"/>
      <c r="F175" s="656"/>
      <c r="G175" s="656"/>
      <c r="H175" s="656"/>
      <c r="I175" s="659">
        <f>ROUND(Trial_1Cut[[#This Row],[Net]]/10^2,2)</f>
        <v>0</v>
      </c>
      <c r="J175" s="475" t="s">
        <v>428</v>
      </c>
      <c r="K175" s="475" t="s">
        <v>428</v>
      </c>
      <c r="L17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5" s="475"/>
    </row>
    <row r="176" spans="1:13">
      <c r="A176" t="s">
        <v>427</v>
      </c>
      <c r="B176" t="s">
        <v>428</v>
      </c>
      <c r="C176" t="s">
        <v>600</v>
      </c>
      <c r="D176" t="s">
        <v>826</v>
      </c>
      <c r="E176" s="656"/>
      <c r="F176" s="656"/>
      <c r="G176" s="656"/>
      <c r="H176" s="656"/>
      <c r="I176" s="659">
        <f>ROUND(Trial_1Cut[[#This Row],[Net]]/10^2,2)</f>
        <v>0</v>
      </c>
      <c r="J176" s="475" t="s">
        <v>428</v>
      </c>
      <c r="K176" s="475" t="s">
        <v>428</v>
      </c>
      <c r="L17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6" s="475"/>
    </row>
    <row r="177" spans="1:13">
      <c r="A177" t="s">
        <v>427</v>
      </c>
      <c r="B177" t="s">
        <v>428</v>
      </c>
      <c r="C177" t="s">
        <v>600</v>
      </c>
      <c r="D177" t="s">
        <v>827</v>
      </c>
      <c r="E177" s="656"/>
      <c r="F177" s="656"/>
      <c r="G177" s="656"/>
      <c r="H177" s="656"/>
      <c r="I177" s="659">
        <f>ROUND(Trial_1Cut[[#This Row],[Net]]/10^2,2)</f>
        <v>0</v>
      </c>
      <c r="J177" s="475" t="s">
        <v>428</v>
      </c>
      <c r="K177" s="475" t="s">
        <v>428</v>
      </c>
      <c r="L17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7" s="475"/>
    </row>
    <row r="178" spans="1:13">
      <c r="A178" t="s">
        <v>427</v>
      </c>
      <c r="B178" t="s">
        <v>428</v>
      </c>
      <c r="C178" t="s">
        <v>600</v>
      </c>
      <c r="D178" t="s">
        <v>828</v>
      </c>
      <c r="E178" s="656"/>
      <c r="F178" s="656"/>
      <c r="G178" s="656"/>
      <c r="H178" s="656"/>
      <c r="I178" s="659">
        <f>ROUND(Trial_1Cut[[#This Row],[Net]]/10^2,2)</f>
        <v>0</v>
      </c>
      <c r="J178" s="475" t="s">
        <v>428</v>
      </c>
      <c r="K178" s="475" t="s">
        <v>428</v>
      </c>
      <c r="L17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8" s="475"/>
    </row>
    <row r="179" spans="1:13">
      <c r="A179" t="s">
        <v>427</v>
      </c>
      <c r="B179" t="s">
        <v>448</v>
      </c>
      <c r="C179" t="s">
        <v>601</v>
      </c>
      <c r="D179" t="s">
        <v>829</v>
      </c>
      <c r="E179" s="656"/>
      <c r="F179" s="656"/>
      <c r="G179" s="656"/>
      <c r="H179" s="656"/>
      <c r="I179" s="659">
        <f>ROUND(Trial_1Cut[[#This Row],[Net]]/10^2,2)</f>
        <v>0</v>
      </c>
      <c r="J179" s="475" t="s">
        <v>137</v>
      </c>
      <c r="K179" s="475" t="s">
        <v>137</v>
      </c>
      <c r="L17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79" s="475"/>
    </row>
    <row r="180" spans="1:13">
      <c r="A180" t="s">
        <v>427</v>
      </c>
      <c r="B180" t="s">
        <v>448</v>
      </c>
      <c r="C180" t="s">
        <v>602</v>
      </c>
      <c r="D180" t="s">
        <v>830</v>
      </c>
      <c r="E180" s="656"/>
      <c r="F180" s="656"/>
      <c r="G180" s="656"/>
      <c r="H180" s="656"/>
      <c r="I180" s="659">
        <f>ROUND(Trial_1Cut[[#This Row],[Net]]/10^2,2)</f>
        <v>0</v>
      </c>
      <c r="J180" s="475"/>
      <c r="K180" s="475"/>
      <c r="L18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0" s="475"/>
    </row>
    <row r="181" spans="1:13">
      <c r="A181" t="s">
        <v>427</v>
      </c>
      <c r="B181" t="s">
        <v>448</v>
      </c>
      <c r="C181" t="s">
        <v>602</v>
      </c>
      <c r="D181" t="s">
        <v>831</v>
      </c>
      <c r="E181" s="656"/>
      <c r="F181" s="656"/>
      <c r="G181" s="656"/>
      <c r="H181" s="656"/>
      <c r="I181" s="659">
        <f>ROUND(Trial_1Cut[[#This Row],[Net]]/10^2,2)</f>
        <v>0</v>
      </c>
      <c r="J181" s="475" t="s">
        <v>216</v>
      </c>
      <c r="K181" s="475" t="str">
        <f>'Sch - assets'!A78</f>
        <v>Other Current Assets</v>
      </c>
      <c r="L18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1" s="475"/>
    </row>
    <row r="182" spans="1:13">
      <c r="A182" t="s">
        <v>427</v>
      </c>
      <c r="B182" t="s">
        <v>448</v>
      </c>
      <c r="C182" t="s">
        <v>602</v>
      </c>
      <c r="D182" t="s">
        <v>832</v>
      </c>
      <c r="E182" s="656"/>
      <c r="F182" s="656"/>
      <c r="G182" s="656"/>
      <c r="H182" s="656"/>
      <c r="I182" s="659">
        <f>ROUND(Trial_1Cut[[#This Row],[Net]]/10^2,2)</f>
        <v>0</v>
      </c>
      <c r="J182" s="475" t="s">
        <v>216</v>
      </c>
      <c r="K182" s="475" t="str">
        <f>'Sch - assets'!$A$75</f>
        <v>Advance to suppliers</v>
      </c>
      <c r="L18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2" s="475"/>
    </row>
    <row r="183" spans="1:13">
      <c r="A183" t="s">
        <v>427</v>
      </c>
      <c r="B183" t="s">
        <v>448</v>
      </c>
      <c r="C183" t="s">
        <v>602</v>
      </c>
      <c r="D183" t="s">
        <v>833</v>
      </c>
      <c r="E183" s="656"/>
      <c r="F183" s="656"/>
      <c r="G183" s="656"/>
      <c r="H183" s="656"/>
      <c r="I183" s="659">
        <f>ROUND(Trial_1Cut[[#This Row],[Net]]/10^2,2)</f>
        <v>0</v>
      </c>
      <c r="J183" s="475"/>
      <c r="K183" s="475"/>
      <c r="L18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3" s="475"/>
    </row>
    <row r="184" spans="1:13">
      <c r="A184" t="s">
        <v>427</v>
      </c>
      <c r="B184" t="s">
        <v>448</v>
      </c>
      <c r="C184" t="s">
        <v>602</v>
      </c>
      <c r="D184" t="s">
        <v>834</v>
      </c>
      <c r="E184" s="656"/>
      <c r="F184" s="656"/>
      <c r="G184" s="656"/>
      <c r="H184" s="656"/>
      <c r="I184" s="659">
        <f>ROUND(Trial_1Cut[[#This Row],[Net]]/10^2,2)</f>
        <v>0</v>
      </c>
      <c r="J184" s="475"/>
      <c r="K184" s="475"/>
      <c r="L18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4" s="475"/>
    </row>
    <row r="185" spans="1:13">
      <c r="A185" t="s">
        <v>427</v>
      </c>
      <c r="B185" t="s">
        <v>422</v>
      </c>
      <c r="C185" t="s">
        <v>429</v>
      </c>
      <c r="D185" t="s">
        <v>835</v>
      </c>
      <c r="E185" s="656"/>
      <c r="F185" s="656"/>
      <c r="G185" s="656"/>
      <c r="H185" s="656"/>
      <c r="I185" s="659">
        <f>ROUND(Trial_1Cut[[#This Row],[Net]]/10^2,2)</f>
        <v>0</v>
      </c>
      <c r="J185" s="475" t="s">
        <v>628</v>
      </c>
      <c r="K185" s="475" t="str">
        <f>'Sch - liab'!$A$75</f>
        <v>Shri Ganesh Jee</v>
      </c>
      <c r="L18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5" s="475"/>
    </row>
    <row r="186" spans="1:13">
      <c r="A186" t="s">
        <v>427</v>
      </c>
      <c r="B186" t="s">
        <v>448</v>
      </c>
      <c r="C186" t="s">
        <v>429</v>
      </c>
      <c r="D186" t="s">
        <v>836</v>
      </c>
      <c r="E186" s="656"/>
      <c r="F186" s="656"/>
      <c r="G186" s="656"/>
      <c r="H186" s="656"/>
      <c r="I186" s="659">
        <f>ROUND(Trial_1Cut[[#This Row],[Net]]/10^2,2)</f>
        <v>0</v>
      </c>
      <c r="J186" s="475" t="s">
        <v>429</v>
      </c>
      <c r="K186" s="475" t="s">
        <v>402</v>
      </c>
      <c r="L18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6" s="475"/>
    </row>
    <row r="187" spans="1:13">
      <c r="A187" t="s">
        <v>427</v>
      </c>
      <c r="B187" t="s">
        <v>448</v>
      </c>
      <c r="C187" t="s">
        <v>429</v>
      </c>
      <c r="D187" t="s">
        <v>837</v>
      </c>
      <c r="E187" s="656"/>
      <c r="F187" s="656"/>
      <c r="G187" s="656"/>
      <c r="H187" s="656"/>
      <c r="I187" s="659">
        <f>ROUND(Trial_1Cut[[#This Row],[Net]]/10^2,2)</f>
        <v>0</v>
      </c>
      <c r="J187" s="475" t="s">
        <v>429</v>
      </c>
      <c r="K187" s="475" t="s">
        <v>402</v>
      </c>
      <c r="L18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7" s="475"/>
    </row>
    <row r="188" spans="1:13">
      <c r="A188" t="s">
        <v>427</v>
      </c>
      <c r="B188" t="s">
        <v>448</v>
      </c>
      <c r="C188" t="s">
        <v>429</v>
      </c>
      <c r="D188" t="s">
        <v>838</v>
      </c>
      <c r="E188" s="656"/>
      <c r="F188" s="656"/>
      <c r="G188" s="656"/>
      <c r="H188" s="656"/>
      <c r="I188" s="659">
        <f>ROUND(Trial_1Cut[[#This Row],[Net]]/10^2,2)</f>
        <v>0</v>
      </c>
      <c r="J188" s="475" t="s">
        <v>429</v>
      </c>
      <c r="K188" s="475" t="s">
        <v>402</v>
      </c>
      <c r="L18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8" s="475"/>
    </row>
    <row r="189" spans="1:13">
      <c r="A189" t="s">
        <v>427</v>
      </c>
      <c r="B189" t="s">
        <v>448</v>
      </c>
      <c r="C189" t="s">
        <v>429</v>
      </c>
      <c r="D189" t="s">
        <v>839</v>
      </c>
      <c r="E189" s="656"/>
      <c r="F189" s="656"/>
      <c r="G189" s="656"/>
      <c r="H189" s="656"/>
      <c r="I189" s="659">
        <f>ROUND(Trial_1Cut[[#This Row],[Net]]/10^2,2)</f>
        <v>0</v>
      </c>
      <c r="J189" s="475" t="s">
        <v>429</v>
      </c>
      <c r="K189" s="475" t="s">
        <v>402</v>
      </c>
      <c r="L18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89" s="475"/>
    </row>
    <row r="190" spans="1:13">
      <c r="A190" t="s">
        <v>427</v>
      </c>
      <c r="B190" t="s">
        <v>448</v>
      </c>
      <c r="C190" t="s">
        <v>429</v>
      </c>
      <c r="D190" t="s">
        <v>840</v>
      </c>
      <c r="E190" s="656"/>
      <c r="F190" s="656"/>
      <c r="G190" s="656"/>
      <c r="H190" s="656"/>
      <c r="I190" s="659">
        <f>ROUND(Trial_1Cut[[#This Row],[Net]]/10^2,2)</f>
        <v>0</v>
      </c>
      <c r="J190" s="475" t="s">
        <v>429</v>
      </c>
      <c r="K190" s="475" t="s">
        <v>402</v>
      </c>
      <c r="L19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0" s="475"/>
    </row>
    <row r="191" spans="1:13">
      <c r="A191" t="s">
        <v>427</v>
      </c>
      <c r="B191" t="s">
        <v>448</v>
      </c>
      <c r="C191" t="s">
        <v>429</v>
      </c>
      <c r="D191" t="s">
        <v>841</v>
      </c>
      <c r="E191" s="656"/>
      <c r="F191" s="656"/>
      <c r="G191" s="656"/>
      <c r="H191" s="656"/>
      <c r="I191" s="659">
        <f>ROUND(Trial_1Cut[[#This Row],[Net]]/10^2,2)</f>
        <v>0</v>
      </c>
      <c r="J191" s="475" t="s">
        <v>429</v>
      </c>
      <c r="K191" s="475" t="s">
        <v>402</v>
      </c>
      <c r="L19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1" s="475"/>
    </row>
    <row r="192" spans="1:13">
      <c r="A192" t="s">
        <v>427</v>
      </c>
      <c r="B192" t="s">
        <v>448</v>
      </c>
      <c r="C192" t="s">
        <v>429</v>
      </c>
      <c r="D192" t="s">
        <v>842</v>
      </c>
      <c r="E192" s="656"/>
      <c r="F192" s="656"/>
      <c r="G192" s="656"/>
      <c r="H192" s="656"/>
      <c r="I192" s="659">
        <f>ROUND(Trial_1Cut[[#This Row],[Net]]/10^2,2)</f>
        <v>0</v>
      </c>
      <c r="J192" s="475" t="s">
        <v>429</v>
      </c>
      <c r="K192" s="475" t="s">
        <v>402</v>
      </c>
      <c r="L19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2" s="475"/>
    </row>
    <row r="193" spans="1:13">
      <c r="A193" t="s">
        <v>427</v>
      </c>
      <c r="B193" t="s">
        <v>448</v>
      </c>
      <c r="C193" t="s">
        <v>429</v>
      </c>
      <c r="D193" t="s">
        <v>843</v>
      </c>
      <c r="E193" s="656"/>
      <c r="F193" s="656"/>
      <c r="G193" s="656"/>
      <c r="H193" s="656"/>
      <c r="I193" s="659">
        <f>ROUND(Trial_1Cut[[#This Row],[Net]]/10^2,2)</f>
        <v>0</v>
      </c>
      <c r="J193" s="475" t="s">
        <v>429</v>
      </c>
      <c r="K193" s="475" t="s">
        <v>402</v>
      </c>
      <c r="L19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3" s="475"/>
    </row>
    <row r="194" spans="1:13">
      <c r="A194" t="s">
        <v>427</v>
      </c>
      <c r="B194" t="s">
        <v>448</v>
      </c>
      <c r="C194" t="s">
        <v>429</v>
      </c>
      <c r="D194" t="s">
        <v>844</v>
      </c>
      <c r="E194" s="656"/>
      <c r="F194" s="656"/>
      <c r="G194" s="656"/>
      <c r="H194" s="656"/>
      <c r="I194" s="659">
        <f>ROUND(Trial_1Cut[[#This Row],[Net]]/10^2,2)</f>
        <v>0</v>
      </c>
      <c r="J194" s="475" t="s">
        <v>429</v>
      </c>
      <c r="K194" s="475" t="s">
        <v>402</v>
      </c>
      <c r="L19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4" s="475"/>
    </row>
    <row r="195" spans="1:13">
      <c r="A195" t="s">
        <v>427</v>
      </c>
      <c r="B195" t="s">
        <v>448</v>
      </c>
      <c r="C195" t="s">
        <v>429</v>
      </c>
      <c r="D195" t="s">
        <v>845</v>
      </c>
      <c r="E195" s="656"/>
      <c r="F195" s="656"/>
      <c r="G195" s="656"/>
      <c r="H195" s="656"/>
      <c r="I195" s="659">
        <f>ROUND(Trial_1Cut[[#This Row],[Net]]/10^2,2)</f>
        <v>0</v>
      </c>
      <c r="J195" s="475" t="s">
        <v>429</v>
      </c>
      <c r="K195" s="475" t="s">
        <v>402</v>
      </c>
      <c r="L19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5" s="475"/>
    </row>
    <row r="196" spans="1:13">
      <c r="A196" t="s">
        <v>427</v>
      </c>
      <c r="B196" t="s">
        <v>448</v>
      </c>
      <c r="C196" t="s">
        <v>429</v>
      </c>
      <c r="D196" t="s">
        <v>846</v>
      </c>
      <c r="E196" s="656"/>
      <c r="F196" s="656"/>
      <c r="G196" s="656"/>
      <c r="H196" s="656"/>
      <c r="I196" s="659">
        <f>ROUND(Trial_1Cut[[#This Row],[Net]]/10^2,2)</f>
        <v>0</v>
      </c>
      <c r="J196" s="475" t="s">
        <v>429</v>
      </c>
      <c r="K196" s="475" t="s">
        <v>402</v>
      </c>
      <c r="L19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6" s="475"/>
    </row>
    <row r="197" spans="1:13">
      <c r="A197" t="s">
        <v>427</v>
      </c>
      <c r="B197" t="s">
        <v>448</v>
      </c>
      <c r="C197" t="s">
        <v>429</v>
      </c>
      <c r="D197" t="s">
        <v>847</v>
      </c>
      <c r="E197" s="656"/>
      <c r="F197" s="656"/>
      <c r="G197" s="656"/>
      <c r="H197" s="656"/>
      <c r="I197" s="659">
        <f>ROUND(Trial_1Cut[[#This Row],[Net]]/10^2,2)</f>
        <v>0</v>
      </c>
      <c r="J197" s="475" t="s">
        <v>429</v>
      </c>
      <c r="K197" s="475" t="s">
        <v>402</v>
      </c>
      <c r="L19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7" s="475"/>
    </row>
    <row r="198" spans="1:13">
      <c r="A198" t="s">
        <v>427</v>
      </c>
      <c r="B198" t="s">
        <v>448</v>
      </c>
      <c r="C198" t="s">
        <v>429</v>
      </c>
      <c r="D198" t="s">
        <v>848</v>
      </c>
      <c r="E198" s="656"/>
      <c r="F198" s="656"/>
      <c r="G198" s="656"/>
      <c r="H198" s="656"/>
      <c r="I198" s="659">
        <f>ROUND(Trial_1Cut[[#This Row],[Net]]/10^2,2)</f>
        <v>0</v>
      </c>
      <c r="J198" s="475" t="s">
        <v>429</v>
      </c>
      <c r="K198" s="475" t="s">
        <v>402</v>
      </c>
      <c r="L19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8" s="475"/>
    </row>
    <row r="199" spans="1:13">
      <c r="A199" t="s">
        <v>427</v>
      </c>
      <c r="B199" t="s">
        <v>422</v>
      </c>
      <c r="C199" t="s">
        <v>429</v>
      </c>
      <c r="D199" t="s">
        <v>849</v>
      </c>
      <c r="E199" s="656"/>
      <c r="F199" s="656"/>
      <c r="G199" s="656"/>
      <c r="H199" s="656"/>
      <c r="I199" s="659">
        <f>ROUND(Trial_1Cut[[#This Row],[Net]]/10^2,2)</f>
        <v>0</v>
      </c>
      <c r="J199" s="475" t="s">
        <v>628</v>
      </c>
      <c r="K199" s="475" t="str">
        <f>'Sch - liab'!$A$75</f>
        <v>Shri Ganesh Jee</v>
      </c>
      <c r="L19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199" s="475"/>
    </row>
    <row r="200" spans="1:13">
      <c r="A200" t="s">
        <v>427</v>
      </c>
      <c r="B200" t="s">
        <v>448</v>
      </c>
      <c r="C200" t="s">
        <v>603</v>
      </c>
      <c r="D200" t="s">
        <v>850</v>
      </c>
      <c r="E200" s="656"/>
      <c r="F200" s="656"/>
      <c r="G200" s="656"/>
      <c r="H200" s="656"/>
      <c r="I200" s="659">
        <f>ROUND(Trial_1Cut[[#This Row],[Net]]/10^2,2)</f>
        <v>0</v>
      </c>
      <c r="J200" s="475" t="s">
        <v>629</v>
      </c>
      <c r="K200" s="475" t="str">
        <f>'Sch - assets'!$A$54</f>
        <v>Cash In Hand</v>
      </c>
      <c r="L20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0" s="475"/>
    </row>
    <row r="201" spans="1:13">
      <c r="A201" t="s">
        <v>427</v>
      </c>
      <c r="B201" t="s">
        <v>448</v>
      </c>
      <c r="C201" t="s">
        <v>604</v>
      </c>
      <c r="D201" t="s">
        <v>851</v>
      </c>
      <c r="E201" s="656"/>
      <c r="F201" s="656"/>
      <c r="G201" s="656"/>
      <c r="H201" s="656"/>
      <c r="I201" s="659">
        <f>ROUND(Trial_1Cut[[#This Row],[Net]]/10^2,2)</f>
        <v>0</v>
      </c>
      <c r="J201" s="475" t="s">
        <v>629</v>
      </c>
      <c r="K201" s="475" t="str">
        <f>'Sch - assets'!$A$55</f>
        <v>Bank Balance</v>
      </c>
      <c r="L20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1" s="475"/>
    </row>
    <row r="202" spans="1:13">
      <c r="A202" t="s">
        <v>427</v>
      </c>
      <c r="B202" t="s">
        <v>448</v>
      </c>
      <c r="C202" t="s">
        <v>604</v>
      </c>
      <c r="D202" t="s">
        <v>852</v>
      </c>
      <c r="E202" s="656"/>
      <c r="F202" s="656"/>
      <c r="G202" s="656"/>
      <c r="H202" s="656"/>
      <c r="I202" s="659">
        <f>ROUND(Trial_1Cut[[#This Row],[Net]]/10^2,2)</f>
        <v>0</v>
      </c>
      <c r="J202" s="475" t="s">
        <v>629</v>
      </c>
      <c r="K202" s="475" t="str">
        <f>'Sch - assets'!$A$55</f>
        <v>Bank Balance</v>
      </c>
      <c r="L20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2" s="475"/>
    </row>
    <row r="203" spans="1:13">
      <c r="A203" t="s">
        <v>427</v>
      </c>
      <c r="B203" t="s">
        <v>448</v>
      </c>
      <c r="C203" t="s">
        <v>604</v>
      </c>
      <c r="D203" t="s">
        <v>853</v>
      </c>
      <c r="E203" s="656"/>
      <c r="F203" s="656"/>
      <c r="G203" s="656"/>
      <c r="H203" s="656"/>
      <c r="I203" s="659">
        <f>ROUND(Trial_1Cut[[#This Row],[Net]]/10^2,2)</f>
        <v>0</v>
      </c>
      <c r="J203" s="475" t="s">
        <v>629</v>
      </c>
      <c r="K203" s="475" t="str">
        <f>'Sch - assets'!$A$58</f>
        <v>FD with Banks</v>
      </c>
      <c r="L20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3" s="475"/>
    </row>
    <row r="204" spans="1:13">
      <c r="A204" t="s">
        <v>427</v>
      </c>
      <c r="B204" t="s">
        <v>448</v>
      </c>
      <c r="C204" t="s">
        <v>604</v>
      </c>
      <c r="D204" t="s">
        <v>854</v>
      </c>
      <c r="E204" s="656"/>
      <c r="F204" s="656"/>
      <c r="G204" s="656"/>
      <c r="H204" s="656"/>
      <c r="I204" s="659">
        <f>ROUND(Trial_1Cut[[#This Row],[Net]]/10^2,2)</f>
        <v>0</v>
      </c>
      <c r="J204" s="475" t="s">
        <v>629</v>
      </c>
      <c r="K204" s="475" t="str">
        <f>'Sch - assets'!$A$58</f>
        <v>FD with Banks</v>
      </c>
      <c r="L20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4" s="475"/>
    </row>
    <row r="205" spans="1:13">
      <c r="A205" t="s">
        <v>427</v>
      </c>
      <c r="B205" t="s">
        <v>448</v>
      </c>
      <c r="C205" t="s">
        <v>604</v>
      </c>
      <c r="D205" t="s">
        <v>855</v>
      </c>
      <c r="E205" s="656"/>
      <c r="F205" s="656"/>
      <c r="G205" s="656"/>
      <c r="H205" s="656"/>
      <c r="I205" s="659">
        <f>ROUND(Trial_1Cut[[#This Row],[Net]]/10^2,2)</f>
        <v>0</v>
      </c>
      <c r="J205" s="475" t="s">
        <v>629</v>
      </c>
      <c r="K205" s="475" t="str">
        <f>'Sch - assets'!$A$58</f>
        <v>FD with Banks</v>
      </c>
      <c r="L20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5" s="475"/>
    </row>
    <row r="206" spans="1:13">
      <c r="A206" t="s">
        <v>427</v>
      </c>
      <c r="B206" t="s">
        <v>448</v>
      </c>
      <c r="C206" t="s">
        <v>604</v>
      </c>
      <c r="D206" t="s">
        <v>856</v>
      </c>
      <c r="E206" s="656"/>
      <c r="F206" s="656"/>
      <c r="G206" s="656"/>
      <c r="H206" s="656"/>
      <c r="I206" s="659">
        <f>ROUND(Trial_1Cut[[#This Row],[Net]]/10^2,2)</f>
        <v>0</v>
      </c>
      <c r="J206" s="475" t="s">
        <v>629</v>
      </c>
      <c r="K206" s="475" t="str">
        <f>'Sch - assets'!$A$58</f>
        <v>FD with Banks</v>
      </c>
      <c r="L20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6" s="475"/>
    </row>
    <row r="207" spans="1:13">
      <c r="A207" t="s">
        <v>427</v>
      </c>
      <c r="B207" t="s">
        <v>448</v>
      </c>
      <c r="C207" t="s">
        <v>604</v>
      </c>
      <c r="D207" t="s">
        <v>857</v>
      </c>
      <c r="E207" s="656"/>
      <c r="F207" s="656"/>
      <c r="G207" s="656"/>
      <c r="H207" s="656"/>
      <c r="I207" s="659">
        <f>ROUND(Trial_1Cut[[#This Row],[Net]]/10^2,2)</f>
        <v>0</v>
      </c>
      <c r="J207" s="475" t="s">
        <v>629</v>
      </c>
      <c r="K207" s="475" t="str">
        <f>'Sch - assets'!$A$58</f>
        <v>FD with Banks</v>
      </c>
      <c r="L20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7" s="475"/>
    </row>
    <row r="208" spans="1:13">
      <c r="A208" t="s">
        <v>427</v>
      </c>
      <c r="B208" t="s">
        <v>448</v>
      </c>
      <c r="C208" t="s">
        <v>604</v>
      </c>
      <c r="D208" t="s">
        <v>858</v>
      </c>
      <c r="E208" s="656"/>
      <c r="F208" s="656"/>
      <c r="G208" s="656"/>
      <c r="H208" s="656"/>
      <c r="I208" s="659">
        <f>ROUND(Trial_1Cut[[#This Row],[Net]]/10^2,2)</f>
        <v>0</v>
      </c>
      <c r="J208" s="475" t="s">
        <v>629</v>
      </c>
      <c r="K208" s="475" t="str">
        <f>'Sch - assets'!$A$58</f>
        <v>FD with Banks</v>
      </c>
      <c r="L20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8" s="475"/>
    </row>
    <row r="209" spans="1:13">
      <c r="A209" t="s">
        <v>427</v>
      </c>
      <c r="B209" t="s">
        <v>448</v>
      </c>
      <c r="C209" t="s">
        <v>604</v>
      </c>
      <c r="D209" t="s">
        <v>859</v>
      </c>
      <c r="E209" s="656"/>
      <c r="F209" s="656"/>
      <c r="G209" s="656"/>
      <c r="H209" s="656"/>
      <c r="I209" s="659">
        <f>ROUND(Trial_1Cut[[#This Row],[Net]]/10^2,2)</f>
        <v>0</v>
      </c>
      <c r="J209" s="475" t="s">
        <v>629</v>
      </c>
      <c r="K209" s="475" t="str">
        <f>'Sch - assets'!$A$58</f>
        <v>FD with Banks</v>
      </c>
      <c r="L20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09" s="475"/>
    </row>
    <row r="210" spans="1:13">
      <c r="A210" t="s">
        <v>427</v>
      </c>
      <c r="B210" t="s">
        <v>448</v>
      </c>
      <c r="C210" t="s">
        <v>604</v>
      </c>
      <c r="D210" t="s">
        <v>860</v>
      </c>
      <c r="E210" s="656"/>
      <c r="F210" s="656"/>
      <c r="G210" s="656"/>
      <c r="H210" s="656"/>
      <c r="I210" s="659">
        <f>ROUND(Trial_1Cut[[#This Row],[Net]]/10^2,2)</f>
        <v>0</v>
      </c>
      <c r="J210" s="475" t="s">
        <v>629</v>
      </c>
      <c r="K210" s="475" t="str">
        <f>'Sch - assets'!$A$58</f>
        <v>FD with Banks</v>
      </c>
      <c r="L210"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0" s="475"/>
    </row>
    <row r="211" spans="1:13">
      <c r="A211" t="s">
        <v>427</v>
      </c>
      <c r="B211" t="s">
        <v>448</v>
      </c>
      <c r="C211" t="s">
        <v>604</v>
      </c>
      <c r="D211" t="s">
        <v>861</v>
      </c>
      <c r="E211" s="656"/>
      <c r="F211" s="656"/>
      <c r="G211" s="656"/>
      <c r="H211" s="656"/>
      <c r="I211" s="659">
        <f>ROUND(Trial_1Cut[[#This Row],[Net]]/10^2,2)</f>
        <v>0</v>
      </c>
      <c r="J211" s="475" t="s">
        <v>629</v>
      </c>
      <c r="K211" s="475" t="str">
        <f>'Sch - assets'!$A$58</f>
        <v>FD with Banks</v>
      </c>
      <c r="L21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1" s="475"/>
    </row>
    <row r="212" spans="1:13">
      <c r="A212" t="s">
        <v>427</v>
      </c>
      <c r="B212" t="s">
        <v>448</v>
      </c>
      <c r="C212" t="s">
        <v>604</v>
      </c>
      <c r="D212" t="s">
        <v>862</v>
      </c>
      <c r="E212" s="656"/>
      <c r="F212" s="656"/>
      <c r="G212" s="656"/>
      <c r="H212" s="656"/>
      <c r="I212" s="659">
        <f>ROUND(Trial_1Cut[[#This Row],[Net]]/10^2,2)</f>
        <v>0</v>
      </c>
      <c r="J212" s="475" t="s">
        <v>629</v>
      </c>
      <c r="K212" s="475" t="str">
        <f>'Sch - assets'!$A$58</f>
        <v>FD with Banks</v>
      </c>
      <c r="L212"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2" s="475"/>
    </row>
    <row r="213" spans="1:13">
      <c r="A213" t="s">
        <v>427</v>
      </c>
      <c r="B213" t="s">
        <v>448</v>
      </c>
      <c r="C213" t="s">
        <v>604</v>
      </c>
      <c r="D213" t="s">
        <v>863</v>
      </c>
      <c r="E213" s="656"/>
      <c r="F213" s="656"/>
      <c r="G213" s="656"/>
      <c r="H213" s="656"/>
      <c r="I213" s="659">
        <f>ROUND(Trial_1Cut[[#This Row],[Net]]/10^2,2)</f>
        <v>0</v>
      </c>
      <c r="J213" s="475" t="s">
        <v>629</v>
      </c>
      <c r="K213" s="475" t="str">
        <f>'Sch - assets'!$A$58</f>
        <v>FD with Banks</v>
      </c>
      <c r="L213"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3" s="475"/>
    </row>
    <row r="214" spans="1:13">
      <c r="A214" t="s">
        <v>427</v>
      </c>
      <c r="B214" t="s">
        <v>448</v>
      </c>
      <c r="C214" t="s">
        <v>604</v>
      </c>
      <c r="D214" t="s">
        <v>864</v>
      </c>
      <c r="E214" s="656"/>
      <c r="F214" s="656"/>
      <c r="G214" s="656"/>
      <c r="H214" s="656"/>
      <c r="I214" s="659">
        <f>ROUND(Trial_1Cut[[#This Row],[Net]]/10^2,2)</f>
        <v>0</v>
      </c>
      <c r="J214" s="475" t="s">
        <v>629</v>
      </c>
      <c r="K214" s="475" t="str">
        <f>'Sch - assets'!$A$58</f>
        <v>FD with Banks</v>
      </c>
      <c r="L21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4" s="475"/>
    </row>
    <row r="215" spans="1:13">
      <c r="A215" t="s">
        <v>427</v>
      </c>
      <c r="B215" t="s">
        <v>448</v>
      </c>
      <c r="C215" t="s">
        <v>604</v>
      </c>
      <c r="D215" t="s">
        <v>865</v>
      </c>
      <c r="E215" s="656"/>
      <c r="F215" s="656"/>
      <c r="G215" s="656"/>
      <c r="H215" s="656"/>
      <c r="I215" s="659">
        <f>ROUND(Trial_1Cut[[#This Row],[Net]]/10^2,2)</f>
        <v>0</v>
      </c>
      <c r="J215" s="475" t="s">
        <v>629</v>
      </c>
      <c r="K215" s="475" t="str">
        <f>'Sch - assets'!$A$58</f>
        <v>FD with Banks</v>
      </c>
      <c r="L21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5" s="475"/>
    </row>
    <row r="216" spans="1:13">
      <c r="A216" t="s">
        <v>427</v>
      </c>
      <c r="B216" t="s">
        <v>448</v>
      </c>
      <c r="C216" t="s">
        <v>604</v>
      </c>
      <c r="D216" t="s">
        <v>866</v>
      </c>
      <c r="E216" s="656"/>
      <c r="F216" s="656"/>
      <c r="G216" s="656"/>
      <c r="H216" s="656"/>
      <c r="I216" s="659">
        <f>ROUND(Trial_1Cut[[#This Row],[Net]]/10^2,2)</f>
        <v>0</v>
      </c>
      <c r="J216" s="475" t="s">
        <v>629</v>
      </c>
      <c r="K216" s="475" t="str">
        <f>'Sch - assets'!$A$58</f>
        <v>FD with Banks</v>
      </c>
      <c r="L21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6" s="475"/>
    </row>
    <row r="217" spans="1:13">
      <c r="A217" t="s">
        <v>427</v>
      </c>
      <c r="B217" t="s">
        <v>448</v>
      </c>
      <c r="C217" t="s">
        <v>604</v>
      </c>
      <c r="D217" t="s">
        <v>867</v>
      </c>
      <c r="E217" s="656"/>
      <c r="F217" s="656"/>
      <c r="G217" s="656"/>
      <c r="H217" s="656"/>
      <c r="I217" s="659">
        <f>ROUND(Trial_1Cut[[#This Row],[Net]]/10^2,2)</f>
        <v>0</v>
      </c>
      <c r="J217" s="475" t="s">
        <v>629</v>
      </c>
      <c r="K217" s="475" t="str">
        <f>'Sch - assets'!$A$58</f>
        <v>FD with Banks</v>
      </c>
      <c r="L21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7" s="475"/>
    </row>
    <row r="218" spans="1:13">
      <c r="A218" t="s">
        <v>427</v>
      </c>
      <c r="B218" t="s">
        <v>448</v>
      </c>
      <c r="C218" t="s">
        <v>604</v>
      </c>
      <c r="D218" t="s">
        <v>868</v>
      </c>
      <c r="E218" s="656"/>
      <c r="F218" s="656"/>
      <c r="G218" s="656"/>
      <c r="H218" s="656"/>
      <c r="I218" s="659">
        <f>ROUND(Trial_1Cut[[#This Row],[Net]]/10^2,2)</f>
        <v>0</v>
      </c>
      <c r="J218" s="475" t="s">
        <v>629</v>
      </c>
      <c r="K218" s="475" t="str">
        <f>'Sch - assets'!$A$58</f>
        <v>FD with Banks</v>
      </c>
      <c r="L21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8" s="475"/>
    </row>
    <row r="219" spans="1:13">
      <c r="A219" t="s">
        <v>427</v>
      </c>
      <c r="B219" t="s">
        <v>448</v>
      </c>
      <c r="C219" t="s">
        <v>604</v>
      </c>
      <c r="D219" t="s">
        <v>869</v>
      </c>
      <c r="E219" s="656"/>
      <c r="F219" s="656"/>
      <c r="G219" s="656"/>
      <c r="H219" s="656"/>
      <c r="I219" s="659">
        <f>ROUND(Trial_1Cut[[#This Row],[Net]]/10^2,2)</f>
        <v>0</v>
      </c>
      <c r="J219" s="475" t="s">
        <v>629</v>
      </c>
      <c r="K219" s="475" t="str">
        <f>'Sch - assets'!$A$55</f>
        <v>Bank Balance</v>
      </c>
      <c r="L21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19" s="475"/>
    </row>
    <row r="220" spans="1:13">
      <c r="A220" t="s">
        <v>427</v>
      </c>
      <c r="B220" t="s">
        <v>448</v>
      </c>
      <c r="C220" t="s">
        <v>605</v>
      </c>
      <c r="D220" t="s">
        <v>870</v>
      </c>
      <c r="E220" s="656"/>
      <c r="F220" s="656"/>
      <c r="G220" s="656"/>
      <c r="H220" s="656"/>
      <c r="I220" s="659">
        <f>ROUND(Trial_1Cut[[#This Row],[Net]]/10^2,2)</f>
        <v>0</v>
      </c>
      <c r="J220" s="475" t="s">
        <v>624</v>
      </c>
      <c r="K220" s="475" t="str">
        <f>'Sch - liab'!$A$85</f>
        <v>Statutory Dues</v>
      </c>
      <c r="L220" s="447" t="str">
        <f ca="1">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0" s="475"/>
    </row>
    <row r="221" spans="1:13">
      <c r="A221" t="s">
        <v>427</v>
      </c>
      <c r="B221" t="s">
        <v>448</v>
      </c>
      <c r="C221" t="s">
        <v>605</v>
      </c>
      <c r="D221" t="s">
        <v>871</v>
      </c>
      <c r="E221" s="656"/>
      <c r="F221" s="656"/>
      <c r="G221" s="656"/>
      <c r="H221" s="656"/>
      <c r="I221" s="659">
        <f>ROUND(Trial_1Cut[[#This Row],[Net]]/10^2,2)</f>
        <v>0</v>
      </c>
      <c r="J221" s="475" t="s">
        <v>216</v>
      </c>
      <c r="K221" s="475" t="str">
        <f>'Sch - assets'!$A$76</f>
        <v>Prepaid expenses</v>
      </c>
      <c r="L221"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1" s="475"/>
    </row>
    <row r="222" spans="1:13">
      <c r="A222" t="s">
        <v>427</v>
      </c>
      <c r="B222" t="s">
        <v>448</v>
      </c>
      <c r="C222" t="s">
        <v>605</v>
      </c>
      <c r="D222" t="s">
        <v>872</v>
      </c>
      <c r="E222" s="656"/>
      <c r="F222" s="656"/>
      <c r="G222" s="656"/>
      <c r="H222" s="656"/>
      <c r="I222" s="659">
        <f>ROUND(Trial_1Cut[[#This Row],[Net]]/10^2,2)</f>
        <v>0</v>
      </c>
      <c r="J222" s="475" t="s">
        <v>624</v>
      </c>
      <c r="K222" s="475" t="str">
        <f>'Sch - liab'!$A$85</f>
        <v>Statutory Dues</v>
      </c>
      <c r="L222" s="447" t="str">
        <f ca="1">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2" s="475"/>
    </row>
    <row r="223" spans="1:13">
      <c r="A223" t="s">
        <v>427</v>
      </c>
      <c r="B223" t="s">
        <v>448</v>
      </c>
      <c r="C223" t="s">
        <v>605</v>
      </c>
      <c r="D223" t="s">
        <v>873</v>
      </c>
      <c r="E223" s="656"/>
      <c r="F223" s="656"/>
      <c r="G223" s="656"/>
      <c r="H223" s="656"/>
      <c r="I223" s="659">
        <f>ROUND(Trial_1Cut[[#This Row],[Net]]/10^2,2)</f>
        <v>0</v>
      </c>
      <c r="J223" s="475" t="s">
        <v>624</v>
      </c>
      <c r="K223" s="475" t="str">
        <f>'Sch - liab'!$A$85</f>
        <v>Statutory Dues</v>
      </c>
      <c r="L223" s="447" t="str">
        <f ca="1">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3" s="475"/>
    </row>
    <row r="224" spans="1:13">
      <c r="A224" t="s">
        <v>427</v>
      </c>
      <c r="B224" t="s">
        <v>448</v>
      </c>
      <c r="C224" t="s">
        <v>606</v>
      </c>
      <c r="D224" t="s">
        <v>874</v>
      </c>
      <c r="E224" s="656"/>
      <c r="F224" s="656"/>
      <c r="G224" s="656"/>
      <c r="H224" s="656"/>
      <c r="I224" s="659">
        <f>ROUND(Trial_1Cut[[#This Row],[Net]]/10^2,2)</f>
        <v>0</v>
      </c>
      <c r="J224" s="475" t="s">
        <v>216</v>
      </c>
      <c r="K224" s="475" t="str">
        <f>'Sch - assets'!$A$75</f>
        <v>Advance to suppliers</v>
      </c>
      <c r="L224"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4" s="475"/>
    </row>
    <row r="225" spans="1:13">
      <c r="A225" t="s">
        <v>427</v>
      </c>
      <c r="B225" t="s">
        <v>448</v>
      </c>
      <c r="C225" t="s">
        <v>606</v>
      </c>
      <c r="D225" t="s">
        <v>875</v>
      </c>
      <c r="E225" s="656"/>
      <c r="F225" s="656"/>
      <c r="G225" s="656"/>
      <c r="H225" s="656"/>
      <c r="I225" s="659">
        <f>ROUND(Trial_1Cut[[#This Row],[Net]]/10^2,2)</f>
        <v>0</v>
      </c>
      <c r="J225" s="475" t="s">
        <v>216</v>
      </c>
      <c r="K225" s="475"/>
      <c r="L225"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5" s="475"/>
    </row>
    <row r="226" spans="1:13">
      <c r="A226" t="s">
        <v>427</v>
      </c>
      <c r="B226" t="s">
        <v>448</v>
      </c>
      <c r="C226" t="s">
        <v>606</v>
      </c>
      <c r="D226" t="s">
        <v>876</v>
      </c>
      <c r="E226" s="656"/>
      <c r="F226" s="656"/>
      <c r="G226" s="656"/>
      <c r="H226" s="656"/>
      <c r="I226" s="659">
        <f>ROUND(Trial_1Cut[[#This Row],[Net]]/10^2,2)</f>
        <v>0</v>
      </c>
      <c r="J226" s="475" t="s">
        <v>216</v>
      </c>
      <c r="K226" s="475" t="str">
        <f>'Sch - assets'!$A$75</f>
        <v>Advance to suppliers</v>
      </c>
      <c r="L226"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6" s="475"/>
    </row>
    <row r="227" spans="1:13">
      <c r="A227" t="s">
        <v>427</v>
      </c>
      <c r="B227" t="s">
        <v>448</v>
      </c>
      <c r="C227" t="s">
        <v>606</v>
      </c>
      <c r="D227" t="s">
        <v>877</v>
      </c>
      <c r="E227" s="656"/>
      <c r="F227" s="656"/>
      <c r="G227" s="656"/>
      <c r="H227" s="656"/>
      <c r="I227" s="659">
        <f>ROUND(Trial_1Cut[[#This Row],[Net]]/10^2,2)</f>
        <v>0</v>
      </c>
      <c r="J227" s="475" t="s">
        <v>216</v>
      </c>
      <c r="K227" s="475" t="str">
        <f>'Sch - assets'!$A$75</f>
        <v>Advance to suppliers</v>
      </c>
      <c r="L227"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7" s="475"/>
    </row>
    <row r="228" spans="1:13">
      <c r="A228" t="s">
        <v>427</v>
      </c>
      <c r="B228" t="s">
        <v>448</v>
      </c>
      <c r="C228" t="s">
        <v>606</v>
      </c>
      <c r="D228" t="s">
        <v>878</v>
      </c>
      <c r="E228" s="656"/>
      <c r="F228" s="656"/>
      <c r="G228" s="656"/>
      <c r="H228" s="656"/>
      <c r="I228" s="659">
        <f>ROUND(Trial_1Cut[[#This Row],[Net]]/10^2,2)</f>
        <v>0</v>
      </c>
      <c r="J228" s="475" t="s">
        <v>216</v>
      </c>
      <c r="K228" s="475" t="str">
        <f>'Sch - assets'!$A$75</f>
        <v>Advance to suppliers</v>
      </c>
      <c r="L228"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8" s="475"/>
    </row>
    <row r="229" spans="1:13">
      <c r="A229" t="s">
        <v>427</v>
      </c>
      <c r="B229" t="s">
        <v>448</v>
      </c>
      <c r="C229" t="s">
        <v>606</v>
      </c>
      <c r="D229" t="s">
        <v>879</v>
      </c>
      <c r="E229" s="656"/>
      <c r="F229" s="656"/>
      <c r="G229" s="656"/>
      <c r="H229" s="656"/>
      <c r="I229" s="659">
        <f>ROUND(Trial_1Cut[[#This Row],[Net]]/10^2,2)</f>
        <v>0</v>
      </c>
      <c r="J229" s="475" t="s">
        <v>216</v>
      </c>
      <c r="K229" s="475" t="str">
        <f>'Sch - assets'!$A$80</f>
        <v>Security with others</v>
      </c>
      <c r="L229" s="447" t="str">
        <f>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29" s="475"/>
    </row>
    <row r="230" spans="1:13">
      <c r="A230" t="s">
        <v>430</v>
      </c>
      <c r="B230" t="s">
        <v>586</v>
      </c>
      <c r="C230" t="s">
        <v>607</v>
      </c>
      <c r="D230" t="s">
        <v>880</v>
      </c>
      <c r="E230" s="656"/>
      <c r="F230" s="656"/>
      <c r="G230" s="656"/>
      <c r="H230" s="656"/>
      <c r="I230" s="659">
        <f>ROUND(Trial_1Cut[[#This Row],[Net]]/10^2,2)</f>
        <v>0</v>
      </c>
      <c r="J230" s="475" t="s">
        <v>630</v>
      </c>
      <c r="K230" s="475" t="str">
        <f>'Sch - PL'!$A$9</f>
        <v>Domestic Sale</v>
      </c>
      <c r="L230"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0" s="475"/>
    </row>
    <row r="231" spans="1:13">
      <c r="A231" t="s">
        <v>430</v>
      </c>
      <c r="B231" t="s">
        <v>586</v>
      </c>
      <c r="C231" t="s">
        <v>607</v>
      </c>
      <c r="D231" t="s">
        <v>881</v>
      </c>
      <c r="E231" s="656"/>
      <c r="F231" s="656"/>
      <c r="G231" s="656"/>
      <c r="H231" s="656"/>
      <c r="I231" s="659">
        <f>ROUND(Trial_1Cut[[#This Row],[Net]]/10^2,2)</f>
        <v>0</v>
      </c>
      <c r="J231" s="475" t="s">
        <v>630</v>
      </c>
      <c r="K231" s="475" t="str">
        <f>'Sch - PL'!$A$9</f>
        <v>Domestic Sale</v>
      </c>
      <c r="L231"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1" s="475"/>
    </row>
    <row r="232" spans="1:13">
      <c r="A232" t="s">
        <v>430</v>
      </c>
      <c r="B232" t="s">
        <v>586</v>
      </c>
      <c r="C232" t="s">
        <v>607</v>
      </c>
      <c r="D232" t="s">
        <v>882</v>
      </c>
      <c r="E232" s="656"/>
      <c r="F232" s="656"/>
      <c r="G232" s="656"/>
      <c r="H232" s="656"/>
      <c r="I232" s="659">
        <f>ROUND(Trial_1Cut[[#This Row],[Net]]/10^2,2)</f>
        <v>0</v>
      </c>
      <c r="J232" s="475" t="s">
        <v>630</v>
      </c>
      <c r="K232" s="475" t="str">
        <f>'Sch - PL'!$A$9</f>
        <v>Domestic Sale</v>
      </c>
      <c r="L232"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2" s="475"/>
    </row>
    <row r="233" spans="1:13">
      <c r="A233" t="s">
        <v>430</v>
      </c>
      <c r="B233" t="s">
        <v>586</v>
      </c>
      <c r="C233" t="s">
        <v>607</v>
      </c>
      <c r="D233" t="s">
        <v>883</v>
      </c>
      <c r="E233" s="656"/>
      <c r="F233" s="656"/>
      <c r="G233" s="656"/>
      <c r="H233" s="656"/>
      <c r="I233" s="659">
        <f>ROUND(Trial_1Cut[[#This Row],[Net]]/10^2,2)</f>
        <v>0</v>
      </c>
      <c r="J233" s="475" t="s">
        <v>630</v>
      </c>
      <c r="K233" s="475" t="str">
        <f>'Sch - PL'!$A$11</f>
        <v>Less: Interbranch Sale</v>
      </c>
      <c r="L233"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3" s="475"/>
    </row>
    <row r="234" spans="1:13">
      <c r="A234" t="s">
        <v>430</v>
      </c>
      <c r="B234" t="s">
        <v>586</v>
      </c>
      <c r="C234" t="s">
        <v>607</v>
      </c>
      <c r="D234" t="s">
        <v>884</v>
      </c>
      <c r="E234" s="656"/>
      <c r="F234" s="656"/>
      <c r="G234" s="656"/>
      <c r="H234" s="656"/>
      <c r="I234" s="659">
        <f>ROUND(Trial_1Cut[[#This Row],[Net]]/10^2,2)</f>
        <v>0</v>
      </c>
      <c r="J234" s="475" t="s">
        <v>630</v>
      </c>
      <c r="K234" s="475" t="str">
        <f>'Sch - PL'!$A$11</f>
        <v>Less: Interbranch Sale</v>
      </c>
      <c r="L234"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4" s="475"/>
    </row>
    <row r="235" spans="1:13">
      <c r="A235" t="s">
        <v>430</v>
      </c>
      <c r="B235" t="s">
        <v>586</v>
      </c>
      <c r="C235" t="s">
        <v>607</v>
      </c>
      <c r="D235" t="s">
        <v>885</v>
      </c>
      <c r="E235" s="656"/>
      <c r="F235" s="656"/>
      <c r="G235" s="656"/>
      <c r="H235" s="656"/>
      <c r="I235" s="659">
        <f>ROUND(Trial_1Cut[[#This Row],[Net]]/10^2,2)</f>
        <v>0</v>
      </c>
      <c r="J235" s="475" t="s">
        <v>630</v>
      </c>
      <c r="K235" s="475" t="str">
        <f>'Sch - PL'!$A$11</f>
        <v>Less: Interbranch Sale</v>
      </c>
      <c r="L235"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5" s="475"/>
    </row>
    <row r="236" spans="1:13">
      <c r="A236" t="s">
        <v>430</v>
      </c>
      <c r="B236" t="s">
        <v>586</v>
      </c>
      <c r="C236" t="s">
        <v>607</v>
      </c>
      <c r="D236" t="s">
        <v>886</v>
      </c>
      <c r="E236" s="656"/>
      <c r="F236" s="656"/>
      <c r="G236" s="656"/>
      <c r="H236" s="656"/>
      <c r="I236" s="659">
        <f>ROUND(Trial_1Cut[[#This Row],[Net]]/10^2,2)</f>
        <v>0</v>
      </c>
      <c r="J236" s="475" t="s">
        <v>630</v>
      </c>
      <c r="K236" s="475" t="str">
        <f>'Sch - PL'!$A$11</f>
        <v>Less: Interbranch Sale</v>
      </c>
      <c r="L236"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6" s="475"/>
    </row>
    <row r="237" spans="1:13">
      <c r="A237" t="s">
        <v>430</v>
      </c>
      <c r="B237" t="s">
        <v>586</v>
      </c>
      <c r="C237" t="s">
        <v>607</v>
      </c>
      <c r="D237" t="s">
        <v>887</v>
      </c>
      <c r="E237" s="656"/>
      <c r="F237" s="656"/>
      <c r="G237" s="656"/>
      <c r="H237" s="656"/>
      <c r="I237" s="659">
        <f>ROUND(Trial_1Cut[[#This Row],[Net]]/10^2,2)</f>
        <v>0</v>
      </c>
      <c r="J237" s="475" t="s">
        <v>630</v>
      </c>
      <c r="K237" s="475" t="str">
        <f>'Sch - PL'!$A$11</f>
        <v>Less: Interbranch Sale</v>
      </c>
      <c r="L237"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7" s="475"/>
    </row>
    <row r="238" spans="1:13">
      <c r="A238" t="s">
        <v>430</v>
      </c>
      <c r="B238" t="s">
        <v>586</v>
      </c>
      <c r="C238" t="s">
        <v>607</v>
      </c>
      <c r="D238" t="s">
        <v>888</v>
      </c>
      <c r="E238" s="656"/>
      <c r="F238" s="656"/>
      <c r="G238" s="656"/>
      <c r="H238" s="656"/>
      <c r="I238" s="659">
        <f>ROUND(Trial_1Cut[[#This Row],[Net]]/10^2,2)</f>
        <v>0</v>
      </c>
      <c r="J238" s="475" t="s">
        <v>630</v>
      </c>
      <c r="K238" s="475" t="str">
        <f>'Sch - PL'!$A$11</f>
        <v>Less: Interbranch Sale</v>
      </c>
      <c r="L238"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8" s="475"/>
    </row>
    <row r="239" spans="1:13">
      <c r="A239" t="s">
        <v>430</v>
      </c>
      <c r="B239" t="s">
        <v>586</v>
      </c>
      <c r="C239" t="s">
        <v>607</v>
      </c>
      <c r="D239" t="s">
        <v>889</v>
      </c>
      <c r="E239" s="656"/>
      <c r="F239" s="656"/>
      <c r="G239" s="656"/>
      <c r="H239" s="656"/>
      <c r="I239" s="659">
        <f>ROUND(Trial_1Cut[[#This Row],[Net]]/10^2,2)</f>
        <v>0</v>
      </c>
      <c r="J239" s="475" t="s">
        <v>630</v>
      </c>
      <c r="K239" s="475" t="str">
        <f>'Sch - PL'!$A$11</f>
        <v>Less: Interbranch Sale</v>
      </c>
      <c r="L239"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39" s="475"/>
    </row>
    <row r="240" spans="1:13">
      <c r="A240" t="s">
        <v>83</v>
      </c>
      <c r="B240" t="s">
        <v>587</v>
      </c>
      <c r="C240" t="s">
        <v>607</v>
      </c>
      <c r="D240" t="s">
        <v>890</v>
      </c>
      <c r="E240" s="656"/>
      <c r="F240" s="656"/>
      <c r="G240" s="656"/>
      <c r="H240" s="656"/>
      <c r="I240" s="659">
        <f>ROUND(Trial_1Cut[[#This Row],[Net]]/10^2,2)</f>
        <v>0</v>
      </c>
      <c r="J240" s="475" t="s">
        <v>410</v>
      </c>
      <c r="K240" s="475" t="str">
        <f>'Sch - PL'!$A$48</f>
        <v>Purchase of Stock in trade</v>
      </c>
      <c r="L240"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0" s="475"/>
    </row>
    <row r="241" spans="1:13">
      <c r="A241" t="s">
        <v>83</v>
      </c>
      <c r="B241" t="s">
        <v>587</v>
      </c>
      <c r="C241" t="s">
        <v>607</v>
      </c>
      <c r="D241" t="s">
        <v>891</v>
      </c>
      <c r="E241" s="656"/>
      <c r="F241" s="656"/>
      <c r="G241" s="656"/>
      <c r="H241" s="656"/>
      <c r="I241" s="659">
        <f>ROUND(Trial_1Cut[[#This Row],[Net]]/10^2,2)</f>
        <v>0</v>
      </c>
      <c r="J241" s="475" t="s">
        <v>410</v>
      </c>
      <c r="K241" s="475" t="str">
        <f>'Sch - PL'!$A$48</f>
        <v>Purchase of Stock in trade</v>
      </c>
      <c r="L241"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1" s="475"/>
    </row>
    <row r="242" spans="1:13">
      <c r="A242" t="s">
        <v>83</v>
      </c>
      <c r="B242" t="s">
        <v>587</v>
      </c>
      <c r="C242" t="s">
        <v>607</v>
      </c>
      <c r="D242" t="s">
        <v>892</v>
      </c>
      <c r="E242" s="656"/>
      <c r="F242" s="656"/>
      <c r="G242" s="656"/>
      <c r="H242" s="656"/>
      <c r="I242" s="659">
        <f>ROUND(Trial_1Cut[[#This Row],[Net]]/10^2,2)</f>
        <v>0</v>
      </c>
      <c r="J242" s="475" t="s">
        <v>410</v>
      </c>
      <c r="K242" s="475" t="str">
        <f>'Sch - PL'!$A$48</f>
        <v>Purchase of Stock in trade</v>
      </c>
      <c r="L242"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2" s="475"/>
    </row>
    <row r="243" spans="1:13">
      <c r="A243" t="s">
        <v>83</v>
      </c>
      <c r="B243" t="s">
        <v>587</v>
      </c>
      <c r="C243" t="s">
        <v>607</v>
      </c>
      <c r="D243" t="s">
        <v>893</v>
      </c>
      <c r="E243" s="656"/>
      <c r="F243" s="656"/>
      <c r="G243" s="656"/>
      <c r="H243" s="656"/>
      <c r="I243" s="659">
        <f>ROUND(Trial_1Cut[[#This Row],[Net]]/10^2,2)</f>
        <v>0</v>
      </c>
      <c r="J243" s="475" t="s">
        <v>410</v>
      </c>
      <c r="K243" s="475" t="str">
        <f>'Sch - PL'!$A$48</f>
        <v>Purchase of Stock in trade</v>
      </c>
      <c r="L243"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3" s="475"/>
    </row>
    <row r="244" spans="1:13">
      <c r="A244" t="s">
        <v>83</v>
      </c>
      <c r="B244" t="s">
        <v>587</v>
      </c>
      <c r="C244" t="s">
        <v>607</v>
      </c>
      <c r="D244" t="s">
        <v>894</v>
      </c>
      <c r="E244" s="656"/>
      <c r="F244" s="656"/>
      <c r="G244" s="656"/>
      <c r="H244" s="656"/>
      <c r="I244" s="659">
        <f>ROUND(Trial_1Cut[[#This Row],[Net]]/10^2,2)</f>
        <v>0</v>
      </c>
      <c r="J244" s="475" t="s">
        <v>410</v>
      </c>
      <c r="K244" s="475" t="str">
        <f>'Sch - PL'!$A$48</f>
        <v>Purchase of Stock in trade</v>
      </c>
      <c r="L244"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4" s="475"/>
    </row>
    <row r="245" spans="1:13">
      <c r="A245" t="s">
        <v>83</v>
      </c>
      <c r="B245" t="s">
        <v>587</v>
      </c>
      <c r="C245" t="s">
        <v>607</v>
      </c>
      <c r="D245" t="s">
        <v>895</v>
      </c>
      <c r="E245" s="656"/>
      <c r="F245" s="656"/>
      <c r="G245" s="656"/>
      <c r="H245" s="656"/>
      <c r="I245" s="659">
        <f>ROUND(Trial_1Cut[[#This Row],[Net]]/10^2,2)</f>
        <v>0</v>
      </c>
      <c r="J245" s="475" t="s">
        <v>410</v>
      </c>
      <c r="K245" s="475" t="str">
        <f>'Sch - PL'!$A$48</f>
        <v>Purchase of Stock in trade</v>
      </c>
      <c r="L245"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5" s="475"/>
    </row>
    <row r="246" spans="1:13">
      <c r="A246" t="s">
        <v>83</v>
      </c>
      <c r="B246" t="s">
        <v>587</v>
      </c>
      <c r="C246" t="s">
        <v>607</v>
      </c>
      <c r="D246" t="s">
        <v>896</v>
      </c>
      <c r="E246" s="656"/>
      <c r="F246" s="656"/>
      <c r="G246" s="656"/>
      <c r="H246" s="656"/>
      <c r="I246" s="659">
        <f>ROUND(Trial_1Cut[[#This Row],[Net]]/10^2,2)</f>
        <v>0</v>
      </c>
      <c r="J246" s="475" t="s">
        <v>410</v>
      </c>
      <c r="K246" s="475" t="str">
        <f>'Sch - PL'!$A$48</f>
        <v>Purchase of Stock in trade</v>
      </c>
      <c r="L246"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6" s="475"/>
    </row>
    <row r="247" spans="1:13">
      <c r="A247" t="s">
        <v>430</v>
      </c>
      <c r="B247" t="s">
        <v>431</v>
      </c>
      <c r="C247" t="s">
        <v>607</v>
      </c>
      <c r="D247" t="s">
        <v>897</v>
      </c>
      <c r="E247" s="656"/>
      <c r="F247" s="656"/>
      <c r="G247" s="656"/>
      <c r="H247" s="656"/>
      <c r="I247" s="659">
        <f>ROUND(Trial_1Cut[[#This Row],[Net]]/10^2,2)</f>
        <v>0</v>
      </c>
      <c r="J247" s="475" t="s">
        <v>410</v>
      </c>
      <c r="K247" s="475">
        <f>'Sch - PL'!$A$26</f>
        <v>0</v>
      </c>
      <c r="L247"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7" s="475"/>
    </row>
    <row r="248" spans="1:13">
      <c r="A248" t="s">
        <v>430</v>
      </c>
      <c r="B248" t="s">
        <v>431</v>
      </c>
      <c r="C248" t="s">
        <v>607</v>
      </c>
      <c r="D248" t="s">
        <v>898</v>
      </c>
      <c r="E248" s="656"/>
      <c r="F248" s="656"/>
      <c r="G248" s="656"/>
      <c r="H248" s="656"/>
      <c r="I248" s="659">
        <f>ROUND(Trial_1Cut[[#This Row],[Net]]/10^2,2)</f>
        <v>0</v>
      </c>
      <c r="J248" s="475" t="s">
        <v>120</v>
      </c>
      <c r="K248" s="475" t="str">
        <f>'Sch - PL'!$A$20</f>
        <v>Short &amp; Excess</v>
      </c>
      <c r="L248"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8" s="475"/>
    </row>
    <row r="249" spans="1:13">
      <c r="A249" t="s">
        <v>430</v>
      </c>
      <c r="B249" t="s">
        <v>431</v>
      </c>
      <c r="C249" t="s">
        <v>607</v>
      </c>
      <c r="D249" t="s">
        <v>899</v>
      </c>
      <c r="E249" s="656"/>
      <c r="F249" s="656"/>
      <c r="G249" s="656"/>
      <c r="H249" s="656"/>
      <c r="I249" s="659">
        <f>ROUND(Trial_1Cut[[#This Row],[Net]]/10^2,2)</f>
        <v>0</v>
      </c>
      <c r="J249" s="475" t="s">
        <v>120</v>
      </c>
      <c r="K249" s="475" t="str">
        <f>'Sch - PL'!$A$20</f>
        <v>Short &amp; Excess</v>
      </c>
      <c r="L249"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49" s="475"/>
    </row>
    <row r="250" spans="1:13">
      <c r="A250" t="s">
        <v>430</v>
      </c>
      <c r="B250" t="s">
        <v>431</v>
      </c>
      <c r="C250" t="s">
        <v>607</v>
      </c>
      <c r="D250" t="s">
        <v>900</v>
      </c>
      <c r="E250" s="656"/>
      <c r="F250" s="656"/>
      <c r="G250" s="656"/>
      <c r="H250" s="656"/>
      <c r="I250" s="659">
        <f>ROUND(Trial_1Cut[[#This Row],[Net]]/10^2,2)</f>
        <v>0</v>
      </c>
      <c r="J250" s="475" t="s">
        <v>120</v>
      </c>
      <c r="K250" s="475" t="str">
        <f>'Sch - PL'!$A$20</f>
        <v>Short &amp; Excess</v>
      </c>
      <c r="L250"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0" s="475"/>
    </row>
    <row r="251" spans="1:13">
      <c r="A251" t="s">
        <v>83</v>
      </c>
      <c r="B251" t="s">
        <v>432</v>
      </c>
      <c r="C251" t="s">
        <v>608</v>
      </c>
      <c r="D251" t="s">
        <v>901</v>
      </c>
      <c r="E251" s="656"/>
      <c r="F251" s="656"/>
      <c r="G251" s="656"/>
      <c r="H251" s="656"/>
      <c r="I251" s="659">
        <f>ROUND(Trial_1Cut[[#This Row],[Net]]/10^2,2)</f>
        <v>0</v>
      </c>
      <c r="J251" s="475"/>
      <c r="K251" s="475" t="s">
        <v>608</v>
      </c>
      <c r="L251"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1" s="475"/>
    </row>
    <row r="252" spans="1:13">
      <c r="A252" t="s">
        <v>83</v>
      </c>
      <c r="B252" t="s">
        <v>432</v>
      </c>
      <c r="C252" t="s">
        <v>608</v>
      </c>
      <c r="D252" t="s">
        <v>902</v>
      </c>
      <c r="E252" s="656"/>
      <c r="F252" s="656"/>
      <c r="G252" s="656"/>
      <c r="H252" s="656"/>
      <c r="I252" s="659">
        <f>ROUND(Trial_1Cut[[#This Row],[Net]]/10^2,2)</f>
        <v>0</v>
      </c>
      <c r="J252" s="475"/>
      <c r="K252" s="475" t="s">
        <v>608</v>
      </c>
      <c r="L252"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2" s="475"/>
    </row>
    <row r="253" spans="1:13">
      <c r="A253" t="s">
        <v>83</v>
      </c>
      <c r="B253" t="s">
        <v>432</v>
      </c>
      <c r="C253" t="s">
        <v>609</v>
      </c>
      <c r="D253" t="s">
        <v>903</v>
      </c>
      <c r="E253" s="656"/>
      <c r="F253" s="656"/>
      <c r="G253" s="656"/>
      <c r="H253" s="656"/>
      <c r="I253" s="659">
        <f>ROUND(Trial_1Cut[[#This Row],[Net]]/10^2,2)</f>
        <v>0</v>
      </c>
      <c r="J253" s="475"/>
      <c r="K253" s="475" t="s">
        <v>632</v>
      </c>
      <c r="L253"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3" s="475"/>
    </row>
    <row r="254" spans="1:13">
      <c r="A254" t="s">
        <v>83</v>
      </c>
      <c r="B254" t="s">
        <v>432</v>
      </c>
      <c r="C254" t="s">
        <v>609</v>
      </c>
      <c r="D254" t="s">
        <v>904</v>
      </c>
      <c r="E254" s="656"/>
      <c r="F254" s="656"/>
      <c r="G254" s="656"/>
      <c r="H254" s="656"/>
      <c r="I254" s="659">
        <f>ROUND(Trial_1Cut[[#This Row],[Net]]/10^2,2)</f>
        <v>0</v>
      </c>
      <c r="J254" s="475"/>
      <c r="K254" s="475" t="s">
        <v>635</v>
      </c>
      <c r="L254"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4" s="475"/>
    </row>
    <row r="255" spans="1:13">
      <c r="A255" t="s">
        <v>83</v>
      </c>
      <c r="B255" t="s">
        <v>432</v>
      </c>
      <c r="C255" t="s">
        <v>609</v>
      </c>
      <c r="D255" t="s">
        <v>905</v>
      </c>
      <c r="E255" s="656"/>
      <c r="F255" s="656"/>
      <c r="G255" s="656"/>
      <c r="H255" s="656"/>
      <c r="I255" s="659">
        <f>ROUND(Trial_1Cut[[#This Row],[Net]]/10^2,2)</f>
        <v>0</v>
      </c>
      <c r="J255" s="475"/>
      <c r="K255" s="475" t="s">
        <v>634</v>
      </c>
      <c r="L255"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5" s="475"/>
    </row>
    <row r="256" spans="1:13">
      <c r="A256" t="s">
        <v>83</v>
      </c>
      <c r="B256" t="s">
        <v>432</v>
      </c>
      <c r="C256" t="s">
        <v>609</v>
      </c>
      <c r="D256" t="s">
        <v>906</v>
      </c>
      <c r="E256" s="656"/>
      <c r="F256" s="656"/>
      <c r="G256" s="656"/>
      <c r="H256" s="656"/>
      <c r="I256" s="659">
        <f>ROUND(Trial_1Cut[[#This Row],[Net]]/10^2,2)</f>
        <v>0</v>
      </c>
      <c r="J256" s="475"/>
      <c r="K256" s="475" t="s">
        <v>636</v>
      </c>
      <c r="L256"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6" s="475"/>
    </row>
    <row r="257" spans="1:13">
      <c r="A257" t="s">
        <v>83</v>
      </c>
      <c r="B257" t="s">
        <v>432</v>
      </c>
      <c r="C257" t="s">
        <v>609</v>
      </c>
      <c r="D257" t="s">
        <v>907</v>
      </c>
      <c r="E257" s="656"/>
      <c r="F257" s="656"/>
      <c r="G257" s="656"/>
      <c r="H257" s="656"/>
      <c r="I257" s="659">
        <f>ROUND(Trial_1Cut[[#This Row],[Net]]/10^2,2)</f>
        <v>0</v>
      </c>
      <c r="J257" s="475"/>
      <c r="K257" s="475" t="s">
        <v>632</v>
      </c>
      <c r="L257"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7" s="475"/>
    </row>
    <row r="258" spans="1:13">
      <c r="A258" t="s">
        <v>430</v>
      </c>
      <c r="B258" t="s">
        <v>588</v>
      </c>
      <c r="C258" t="s">
        <v>588</v>
      </c>
      <c r="D258" t="s">
        <v>908</v>
      </c>
      <c r="E258" s="656"/>
      <c r="F258" s="656"/>
      <c r="G258" s="656"/>
      <c r="H258" s="656"/>
      <c r="I258" s="659">
        <f>ROUND(Trial_1Cut[[#This Row],[Net]]/10^2,2)</f>
        <v>0</v>
      </c>
      <c r="J258" s="475" t="s">
        <v>120</v>
      </c>
      <c r="K258" s="475" t="str">
        <f>'Sch - PL'!$A$19</f>
        <v>Discount</v>
      </c>
      <c r="L258"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8" s="475"/>
    </row>
    <row r="259" spans="1:13">
      <c r="A259" t="s">
        <v>430</v>
      </c>
      <c r="B259" t="s">
        <v>588</v>
      </c>
      <c r="C259" t="s">
        <v>588</v>
      </c>
      <c r="D259" t="s">
        <v>909</v>
      </c>
      <c r="E259" s="656"/>
      <c r="F259" s="656"/>
      <c r="G259" s="656"/>
      <c r="H259" s="656"/>
      <c r="I259" s="659">
        <f>ROUND(Trial_1Cut[[#This Row],[Net]]/10^2,2)</f>
        <v>0</v>
      </c>
      <c r="J259" s="475" t="s">
        <v>120</v>
      </c>
      <c r="K259" s="475" t="e">
        <f>'Sch - PL'!#REF!</f>
        <v>#REF!</v>
      </c>
      <c r="L259"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59" s="475"/>
    </row>
    <row r="260" spans="1:13">
      <c r="A260" t="s">
        <v>430</v>
      </c>
      <c r="B260" t="s">
        <v>588</v>
      </c>
      <c r="C260" t="s">
        <v>588</v>
      </c>
      <c r="D260" t="s">
        <v>910</v>
      </c>
      <c r="E260" s="656"/>
      <c r="F260" s="656"/>
      <c r="G260" s="656"/>
      <c r="H260" s="656"/>
      <c r="I260" s="659">
        <f>ROUND(Trial_1Cut[[#This Row],[Net]]/10^2,2)</f>
        <v>0</v>
      </c>
      <c r="J260" s="475" t="s">
        <v>120</v>
      </c>
      <c r="K260" s="475">
        <f>'Sch - PL'!$A$28</f>
        <v>0</v>
      </c>
      <c r="L260"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0" s="475"/>
    </row>
    <row r="261" spans="1:13">
      <c r="A261" t="s">
        <v>83</v>
      </c>
      <c r="B261" t="s">
        <v>433</v>
      </c>
      <c r="C261" t="s">
        <v>435</v>
      </c>
      <c r="D261" t="s">
        <v>911</v>
      </c>
      <c r="E261" s="656"/>
      <c r="F261" s="656"/>
      <c r="G261" s="656"/>
      <c r="H261" s="656"/>
      <c r="I261" s="659">
        <f>ROUND(Trial_1Cut[[#This Row],[Net]]/10^2,2)</f>
        <v>0</v>
      </c>
      <c r="J261" s="475" t="s">
        <v>120</v>
      </c>
      <c r="K261" s="475" t="s">
        <v>100</v>
      </c>
      <c r="L261"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1" s="475"/>
    </row>
    <row r="262" spans="1:13">
      <c r="A262" t="s">
        <v>83</v>
      </c>
      <c r="B262" t="s">
        <v>433</v>
      </c>
      <c r="C262" t="s">
        <v>435</v>
      </c>
      <c r="D262" t="s">
        <v>912</v>
      </c>
      <c r="E262" s="656"/>
      <c r="F262" s="656"/>
      <c r="G262" s="656"/>
      <c r="H262" s="656"/>
      <c r="I262" s="659">
        <f>ROUND(Trial_1Cut[[#This Row],[Net]]/10^2,2)</f>
        <v>0</v>
      </c>
      <c r="J262" s="475"/>
      <c r="K262" s="475" t="s">
        <v>100</v>
      </c>
      <c r="L262"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2" s="475"/>
    </row>
    <row r="263" spans="1:13">
      <c r="A263" t="s">
        <v>83</v>
      </c>
      <c r="B263" t="s">
        <v>433</v>
      </c>
      <c r="C263" t="s">
        <v>101</v>
      </c>
      <c r="D263" t="s">
        <v>913</v>
      </c>
      <c r="E263" s="656"/>
      <c r="F263" s="656"/>
      <c r="G263" s="656"/>
      <c r="H263" s="656"/>
      <c r="I263" s="659">
        <f>ROUND(Trial_1Cut[[#This Row],[Net]]/10^2,2)</f>
        <v>0</v>
      </c>
      <c r="J263" s="475"/>
      <c r="K263" s="475" t="s">
        <v>637</v>
      </c>
      <c r="L263"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3" s="475"/>
    </row>
    <row r="264" spans="1:13">
      <c r="A264" t="s">
        <v>83</v>
      </c>
      <c r="B264" t="s">
        <v>433</v>
      </c>
      <c r="C264" t="s">
        <v>610</v>
      </c>
      <c r="D264" t="s">
        <v>914</v>
      </c>
      <c r="E264" s="656"/>
      <c r="F264" s="656"/>
      <c r="G264" s="656"/>
      <c r="H264" s="656"/>
      <c r="I264" s="659">
        <f>ROUND(Trial_1Cut[[#This Row],[Net]]/10^2,2)</f>
        <v>0</v>
      </c>
      <c r="J264" s="475"/>
      <c r="K264" s="475" t="s">
        <v>636</v>
      </c>
      <c r="L264"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4" s="475"/>
    </row>
    <row r="265" spans="1:13">
      <c r="A265" t="s">
        <v>83</v>
      </c>
      <c r="B265" t="s">
        <v>433</v>
      </c>
      <c r="C265" t="s">
        <v>611</v>
      </c>
      <c r="D265" t="s">
        <v>915</v>
      </c>
      <c r="E265" s="656"/>
      <c r="F265" s="656"/>
      <c r="G265" s="656"/>
      <c r="H265" s="656"/>
      <c r="I265" s="659">
        <f>ROUND(Trial_1Cut[[#This Row],[Net]]/10^2,2)</f>
        <v>0</v>
      </c>
      <c r="J265" s="475"/>
      <c r="K265" s="475" t="s">
        <v>636</v>
      </c>
      <c r="L265"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5" s="475"/>
    </row>
    <row r="266" spans="1:13">
      <c r="A266" t="s">
        <v>83</v>
      </c>
      <c r="B266" t="s">
        <v>433</v>
      </c>
      <c r="C266" t="s">
        <v>611</v>
      </c>
      <c r="D266" t="s">
        <v>916</v>
      </c>
      <c r="E266" s="656"/>
      <c r="F266" s="656"/>
      <c r="G266" s="656"/>
      <c r="H266" s="656"/>
      <c r="I266" s="659">
        <f>ROUND(Trial_1Cut[[#This Row],[Net]]/10^2,2)</f>
        <v>0</v>
      </c>
      <c r="J266" s="475"/>
      <c r="K266" s="475" t="s">
        <v>636</v>
      </c>
      <c r="L266"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6" s="475"/>
    </row>
    <row r="267" spans="1:13">
      <c r="A267" t="s">
        <v>83</v>
      </c>
      <c r="B267" t="s">
        <v>433</v>
      </c>
      <c r="C267" t="s">
        <v>612</v>
      </c>
      <c r="D267" t="s">
        <v>917</v>
      </c>
      <c r="E267" s="656"/>
      <c r="F267" s="656"/>
      <c r="G267" s="656"/>
      <c r="H267" s="656"/>
      <c r="I267" s="659">
        <f>ROUND(Trial_1Cut[[#This Row],[Net]]/10^2,2)</f>
        <v>0</v>
      </c>
      <c r="J267" s="475"/>
      <c r="K267" s="475" t="s">
        <v>637</v>
      </c>
      <c r="L267"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7" s="475"/>
    </row>
    <row r="268" spans="1:13">
      <c r="A268" t="s">
        <v>83</v>
      </c>
      <c r="B268" t="s">
        <v>433</v>
      </c>
      <c r="C268" t="s">
        <v>613</v>
      </c>
      <c r="D268" t="s">
        <v>918</v>
      </c>
      <c r="E268" s="656"/>
      <c r="F268" s="656"/>
      <c r="G268" s="656"/>
      <c r="H268" s="656"/>
      <c r="I268" s="659">
        <f>ROUND(Trial_1Cut[[#This Row],[Net]]/10^2,2)</f>
        <v>0</v>
      </c>
      <c r="J268" s="475"/>
      <c r="K268" s="475" t="s">
        <v>638</v>
      </c>
      <c r="L268"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8" s="475"/>
    </row>
    <row r="269" spans="1:13">
      <c r="A269" t="s">
        <v>83</v>
      </c>
      <c r="B269" t="s">
        <v>433</v>
      </c>
      <c r="C269" t="s">
        <v>613</v>
      </c>
      <c r="D269" t="s">
        <v>919</v>
      </c>
      <c r="E269" s="656"/>
      <c r="F269" s="656"/>
      <c r="G269" s="656"/>
      <c r="H269" s="656"/>
      <c r="I269" s="659">
        <f>ROUND(Trial_1Cut[[#This Row],[Net]]/10^2,2)</f>
        <v>0</v>
      </c>
      <c r="J269" s="475"/>
      <c r="K269" s="475" t="s">
        <v>638</v>
      </c>
      <c r="L269"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69" s="475"/>
    </row>
    <row r="270" spans="1:13">
      <c r="A270" t="s">
        <v>83</v>
      </c>
      <c r="B270" t="s">
        <v>433</v>
      </c>
      <c r="C270" t="s">
        <v>614</v>
      </c>
      <c r="D270" t="s">
        <v>920</v>
      </c>
      <c r="E270" s="656"/>
      <c r="F270" s="656"/>
      <c r="G270" s="656"/>
      <c r="H270" s="656"/>
      <c r="I270" s="659">
        <f>ROUND(Trial_1Cut[[#This Row],[Net]]/10^2,2)</f>
        <v>0</v>
      </c>
      <c r="J270" s="475"/>
      <c r="K270" s="475" t="s">
        <v>642</v>
      </c>
      <c r="L270"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0" s="475"/>
    </row>
    <row r="271" spans="1:13">
      <c r="A271" t="s">
        <v>83</v>
      </c>
      <c r="B271" t="s">
        <v>433</v>
      </c>
      <c r="C271" t="s">
        <v>614</v>
      </c>
      <c r="D271" t="s">
        <v>921</v>
      </c>
      <c r="E271" s="656"/>
      <c r="F271" s="656"/>
      <c r="G271" s="656"/>
      <c r="H271" s="656"/>
      <c r="I271" s="659">
        <f>ROUND(Trial_1Cut[[#This Row],[Net]]/10^2,2)</f>
        <v>0</v>
      </c>
      <c r="J271" s="475"/>
      <c r="K271" s="475" t="s">
        <v>639</v>
      </c>
      <c r="L271"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1" s="475"/>
    </row>
    <row r="272" spans="1:13">
      <c r="A272" t="s">
        <v>83</v>
      </c>
      <c r="B272" t="s">
        <v>433</v>
      </c>
      <c r="C272" t="s">
        <v>614</v>
      </c>
      <c r="D272" t="s">
        <v>922</v>
      </c>
      <c r="E272" s="656"/>
      <c r="F272" s="656"/>
      <c r="G272" s="656"/>
      <c r="H272" s="656"/>
      <c r="I272" s="659">
        <f>ROUND(Trial_1Cut[[#This Row],[Net]]/10^2,2)</f>
        <v>0</v>
      </c>
      <c r="J272" s="475"/>
      <c r="K272" s="475" t="s">
        <v>640</v>
      </c>
      <c r="L272"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2" s="475"/>
    </row>
    <row r="273" spans="1:13">
      <c r="A273" t="s">
        <v>83</v>
      </c>
      <c r="B273" t="s">
        <v>433</v>
      </c>
      <c r="C273" t="s">
        <v>614</v>
      </c>
      <c r="D273" t="s">
        <v>923</v>
      </c>
      <c r="E273" s="656"/>
      <c r="F273" s="656"/>
      <c r="G273" s="656"/>
      <c r="H273" s="656"/>
      <c r="I273" s="659">
        <f>ROUND(Trial_1Cut[[#This Row],[Net]]/10^2,2)</f>
        <v>0</v>
      </c>
      <c r="J273" s="475"/>
      <c r="K273" s="475" t="s">
        <v>639</v>
      </c>
      <c r="L273"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3" s="475"/>
    </row>
    <row r="274" spans="1:13">
      <c r="A274" t="s">
        <v>83</v>
      </c>
      <c r="B274" t="s">
        <v>433</v>
      </c>
      <c r="C274" t="s">
        <v>614</v>
      </c>
      <c r="D274" t="s">
        <v>924</v>
      </c>
      <c r="E274" s="656"/>
      <c r="F274" s="656"/>
      <c r="G274" s="656"/>
      <c r="H274" s="656"/>
      <c r="I274" s="659">
        <f>ROUND(Trial_1Cut[[#This Row],[Net]]/10^2,2)</f>
        <v>0</v>
      </c>
      <c r="J274" s="475"/>
      <c r="K274" s="475" t="s">
        <v>434</v>
      </c>
      <c r="L274"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4" s="475"/>
    </row>
    <row r="275" spans="1:13">
      <c r="A275" t="s">
        <v>83</v>
      </c>
      <c r="B275" t="s">
        <v>433</v>
      </c>
      <c r="C275" t="s">
        <v>614</v>
      </c>
      <c r="D275" t="s">
        <v>925</v>
      </c>
      <c r="E275" s="656"/>
      <c r="F275" s="656"/>
      <c r="G275" s="656"/>
      <c r="H275" s="656"/>
      <c r="I275" s="659">
        <f>ROUND(Trial_1Cut[[#This Row],[Net]]/10^2,2)</f>
        <v>0</v>
      </c>
      <c r="J275" s="475"/>
      <c r="K275" s="475" t="s">
        <v>641</v>
      </c>
      <c r="L275"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5" s="475"/>
    </row>
    <row r="276" spans="1:13">
      <c r="A276" t="s">
        <v>83</v>
      </c>
      <c r="B276" t="s">
        <v>433</v>
      </c>
      <c r="C276" t="s">
        <v>614</v>
      </c>
      <c r="D276" t="s">
        <v>926</v>
      </c>
      <c r="E276" s="656"/>
      <c r="F276" s="656"/>
      <c r="G276" s="656"/>
      <c r="H276" s="656"/>
      <c r="I276" s="659">
        <f>ROUND(Trial_1Cut[[#This Row],[Net]]/10^2,2)</f>
        <v>0</v>
      </c>
      <c r="J276" s="475"/>
      <c r="K276" s="475" t="s">
        <v>641</v>
      </c>
      <c r="L276"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6" s="475"/>
    </row>
    <row r="277" spans="1:13">
      <c r="A277" t="s">
        <v>83</v>
      </c>
      <c r="B277" t="s">
        <v>433</v>
      </c>
      <c r="C277" t="s">
        <v>614</v>
      </c>
      <c r="D277" t="s">
        <v>927</v>
      </c>
      <c r="E277" s="656"/>
      <c r="F277" s="656"/>
      <c r="G277" s="656"/>
      <c r="H277" s="656"/>
      <c r="I277" s="659">
        <f>ROUND(Trial_1Cut[[#This Row],[Net]]/10^2,2)</f>
        <v>0</v>
      </c>
      <c r="J277" s="475"/>
      <c r="K277" s="475" t="s">
        <v>643</v>
      </c>
      <c r="L277"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7" s="475"/>
    </row>
    <row r="278" spans="1:13">
      <c r="A278" t="s">
        <v>83</v>
      </c>
      <c r="B278" t="s">
        <v>433</v>
      </c>
      <c r="C278" t="s">
        <v>614</v>
      </c>
      <c r="D278" t="s">
        <v>928</v>
      </c>
      <c r="E278" s="656"/>
      <c r="F278" s="656"/>
      <c r="G278" s="656"/>
      <c r="H278" s="656"/>
      <c r="I278" s="659">
        <f>ROUND(Trial_1Cut[[#This Row],[Net]]/10^2,2)</f>
        <v>0</v>
      </c>
      <c r="J278" s="475"/>
      <c r="K278" s="475" t="s">
        <v>644</v>
      </c>
      <c r="L278"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8" s="475"/>
    </row>
    <row r="279" spans="1:13">
      <c r="A279" t="s">
        <v>83</v>
      </c>
      <c r="B279" t="s">
        <v>433</v>
      </c>
      <c r="C279" t="s">
        <v>614</v>
      </c>
      <c r="D279" t="s">
        <v>929</v>
      </c>
      <c r="E279" s="656"/>
      <c r="F279" s="656"/>
      <c r="G279" s="656"/>
      <c r="H279" s="656"/>
      <c r="I279" s="659">
        <f>ROUND(Trial_1Cut[[#This Row],[Net]]/10^2,2)</f>
        <v>0</v>
      </c>
      <c r="J279" s="475"/>
      <c r="K279" s="475" t="s">
        <v>645</v>
      </c>
      <c r="L279"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79" s="475"/>
    </row>
    <row r="280" spans="1:13">
      <c r="A280" t="s">
        <v>83</v>
      </c>
      <c r="B280" t="s">
        <v>433</v>
      </c>
      <c r="C280" t="s">
        <v>614</v>
      </c>
      <c r="D280" t="s">
        <v>930</v>
      </c>
      <c r="E280" s="656"/>
      <c r="F280" s="656"/>
      <c r="G280" s="656"/>
      <c r="H280" s="656"/>
      <c r="I280" s="659">
        <f>ROUND(Trial_1Cut[[#This Row],[Net]]/10^2,2)</f>
        <v>0</v>
      </c>
      <c r="J280" s="475"/>
      <c r="K280" s="475" t="s">
        <v>646</v>
      </c>
      <c r="L280"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0" s="475"/>
    </row>
    <row r="281" spans="1:13">
      <c r="A281" t="s">
        <v>83</v>
      </c>
      <c r="B281" t="s">
        <v>433</v>
      </c>
      <c r="C281" t="s">
        <v>614</v>
      </c>
      <c r="D281" t="s">
        <v>931</v>
      </c>
      <c r="E281" s="656"/>
      <c r="F281" s="656"/>
      <c r="G281" s="656"/>
      <c r="H281" s="656"/>
      <c r="I281" s="659">
        <f>ROUND(Trial_1Cut[[#This Row],[Net]]/10^2,2)</f>
        <v>0</v>
      </c>
      <c r="J281" s="475"/>
      <c r="K281" s="475" t="s">
        <v>647</v>
      </c>
      <c r="L281"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1" s="475"/>
    </row>
    <row r="282" spans="1:13">
      <c r="A282" t="s">
        <v>83</v>
      </c>
      <c r="B282" t="s">
        <v>433</v>
      </c>
      <c r="C282" t="s">
        <v>614</v>
      </c>
      <c r="D282" t="s">
        <v>932</v>
      </c>
      <c r="E282" s="656"/>
      <c r="F282" s="656"/>
      <c r="G282" s="656"/>
      <c r="H282" s="656"/>
      <c r="I282" s="659">
        <f>ROUND(Trial_1Cut[[#This Row],[Net]]/10^2,2)</f>
        <v>0</v>
      </c>
      <c r="J282" s="475"/>
      <c r="K282" s="475" t="s">
        <v>648</v>
      </c>
      <c r="L282"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2" s="475"/>
    </row>
    <row r="283" spans="1:13">
      <c r="A283" t="s">
        <v>83</v>
      </c>
      <c r="B283" t="s">
        <v>433</v>
      </c>
      <c r="C283" t="s">
        <v>614</v>
      </c>
      <c r="D283" t="s">
        <v>933</v>
      </c>
      <c r="E283" s="656"/>
      <c r="F283" s="656"/>
      <c r="G283" s="656"/>
      <c r="H283" s="656"/>
      <c r="I283" s="659">
        <f>ROUND(Trial_1Cut[[#This Row],[Net]]/10^2,2)</f>
        <v>0</v>
      </c>
      <c r="J283" s="475"/>
      <c r="K283" s="475" t="s">
        <v>434</v>
      </c>
      <c r="L283"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3" s="475"/>
    </row>
    <row r="284" spans="1:13">
      <c r="A284" t="s">
        <v>83</v>
      </c>
      <c r="B284" t="s">
        <v>433</v>
      </c>
      <c r="C284" t="s">
        <v>614</v>
      </c>
      <c r="D284" t="s">
        <v>934</v>
      </c>
      <c r="E284" s="656"/>
      <c r="F284" s="656"/>
      <c r="G284" s="656"/>
      <c r="H284" s="656"/>
      <c r="I284" s="659">
        <f>ROUND(Trial_1Cut[[#This Row],[Net]]/10^2,2)</f>
        <v>0</v>
      </c>
      <c r="J284" s="475"/>
      <c r="K284" s="475" t="s">
        <v>649</v>
      </c>
      <c r="L284"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4" s="475"/>
    </row>
    <row r="285" spans="1:13">
      <c r="A285" t="s">
        <v>83</v>
      </c>
      <c r="B285" t="s">
        <v>433</v>
      </c>
      <c r="C285" t="s">
        <v>614</v>
      </c>
      <c r="D285" t="s">
        <v>935</v>
      </c>
      <c r="E285" s="656"/>
      <c r="F285" s="656"/>
      <c r="G285" s="656"/>
      <c r="H285" s="656"/>
      <c r="I285" s="659">
        <f>ROUND(Trial_1Cut[[#This Row],[Net]]/10^2,2)</f>
        <v>0</v>
      </c>
      <c r="J285" s="475"/>
      <c r="K285" s="475" t="s">
        <v>649</v>
      </c>
      <c r="L285"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5" s="475"/>
    </row>
    <row r="286" spans="1:13">
      <c r="A286" t="s">
        <v>83</v>
      </c>
      <c r="B286" t="s">
        <v>433</v>
      </c>
      <c r="C286" t="s">
        <v>614</v>
      </c>
      <c r="D286" t="s">
        <v>936</v>
      </c>
      <c r="E286" s="656"/>
      <c r="F286" s="656"/>
      <c r="G286" s="656"/>
      <c r="H286" s="656"/>
      <c r="I286" s="659">
        <f>ROUND(Trial_1Cut[[#This Row],[Net]]/10^2,2)</f>
        <v>0</v>
      </c>
      <c r="J286" s="475"/>
      <c r="K286" s="475" t="s">
        <v>638</v>
      </c>
      <c r="L286"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6" s="475"/>
    </row>
    <row r="287" spans="1:13">
      <c r="A287" t="s">
        <v>83</v>
      </c>
      <c r="B287" t="s">
        <v>433</v>
      </c>
      <c r="C287" t="s">
        <v>614</v>
      </c>
      <c r="D287" t="s">
        <v>937</v>
      </c>
      <c r="E287" s="656"/>
      <c r="F287" s="656"/>
      <c r="G287" s="656"/>
      <c r="H287" s="656"/>
      <c r="I287" s="659">
        <f>ROUND(Trial_1Cut[[#This Row],[Net]]/10^2,2)</f>
        <v>0</v>
      </c>
      <c r="J287" s="475"/>
      <c r="K287" s="475" t="e">
        <f>'Sch - PL'!#REF!</f>
        <v>#REF!</v>
      </c>
      <c r="L287"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7" s="475"/>
    </row>
    <row r="288" spans="1:13">
      <c r="A288" t="s">
        <v>83</v>
      </c>
      <c r="B288" t="s">
        <v>433</v>
      </c>
      <c r="C288" t="s">
        <v>614</v>
      </c>
      <c r="D288" t="s">
        <v>938</v>
      </c>
      <c r="E288" s="656"/>
      <c r="F288" s="656"/>
      <c r="G288" s="656"/>
      <c r="H288" s="656"/>
      <c r="I288" s="659">
        <f>ROUND(Trial_1Cut[[#This Row],[Net]]/10^2,2)</f>
        <v>0</v>
      </c>
      <c r="J288" s="475"/>
      <c r="K288" s="475" t="s">
        <v>638</v>
      </c>
      <c r="L288"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8" s="475"/>
    </row>
    <row r="289" spans="1:13">
      <c r="A289" t="s">
        <v>83</v>
      </c>
      <c r="B289" t="s">
        <v>433</v>
      </c>
      <c r="C289" t="s">
        <v>614</v>
      </c>
      <c r="D289" t="s">
        <v>939</v>
      </c>
      <c r="E289" s="656"/>
      <c r="F289" s="656"/>
      <c r="G289" s="656"/>
      <c r="H289" s="656"/>
      <c r="I289" s="659">
        <f>ROUND(Trial_1Cut[[#This Row],[Net]]/10^2,2)</f>
        <v>0</v>
      </c>
      <c r="J289" s="475"/>
      <c r="K289" s="475" t="s">
        <v>638</v>
      </c>
      <c r="L289"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89" s="475"/>
    </row>
    <row r="290" spans="1:13">
      <c r="A290" t="s">
        <v>83</v>
      </c>
      <c r="B290" t="s">
        <v>433</v>
      </c>
      <c r="C290" t="s">
        <v>614</v>
      </c>
      <c r="D290" t="s">
        <v>940</v>
      </c>
      <c r="E290" s="656"/>
      <c r="F290" s="656"/>
      <c r="G290" s="656"/>
      <c r="H290" s="656"/>
      <c r="I290" s="659">
        <f>ROUND(Trial_1Cut[[#This Row],[Net]]/10^2,2)</f>
        <v>0</v>
      </c>
      <c r="J290" s="475"/>
      <c r="K290" s="475" t="s">
        <v>436</v>
      </c>
      <c r="L290"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90" s="475"/>
    </row>
    <row r="291" spans="1:13">
      <c r="A291" t="s">
        <v>83</v>
      </c>
      <c r="B291" t="s">
        <v>433</v>
      </c>
      <c r="C291" t="s">
        <v>614</v>
      </c>
      <c r="D291" t="s">
        <v>941</v>
      </c>
      <c r="E291" s="656"/>
      <c r="F291" s="656"/>
      <c r="G291" s="656"/>
      <c r="H291" s="656"/>
      <c r="I291" s="659">
        <f>ROUND(Trial_1Cut[[#This Row],[Net]]/10^2,2)</f>
        <v>0</v>
      </c>
      <c r="J291" s="475"/>
      <c r="K291" s="475" t="s">
        <v>650</v>
      </c>
      <c r="L291"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91" s="475"/>
    </row>
    <row r="292" spans="1:13">
      <c r="A292" t="s">
        <v>83</v>
      </c>
      <c r="B292" t="s">
        <v>433</v>
      </c>
      <c r="C292" t="s">
        <v>614</v>
      </c>
      <c r="D292" t="s">
        <v>942</v>
      </c>
      <c r="E292" s="656"/>
      <c r="F292" s="656"/>
      <c r="G292" s="656"/>
      <c r="H292" s="656"/>
      <c r="I292" s="659">
        <f>ROUND(Trial_1Cut[[#This Row],[Net]]/10^2,2)</f>
        <v>0</v>
      </c>
      <c r="J292" s="475"/>
      <c r="K292" s="475" t="s">
        <v>646</v>
      </c>
      <c r="L292"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92" s="475"/>
    </row>
    <row r="293" spans="1:13">
      <c r="A293" t="s">
        <v>83</v>
      </c>
      <c r="B293" t="s">
        <v>433</v>
      </c>
      <c r="C293" t="s">
        <v>614</v>
      </c>
      <c r="D293" t="s">
        <v>943</v>
      </c>
      <c r="E293" s="656"/>
      <c r="F293" s="656"/>
      <c r="G293" s="656"/>
      <c r="H293" s="656"/>
      <c r="I293" s="659">
        <f>ROUND(Trial_1Cut[[#This Row],[Net]]/10^2,2)</f>
        <v>0</v>
      </c>
      <c r="J293" s="475"/>
      <c r="K293" s="475" t="s">
        <v>651</v>
      </c>
      <c r="L293"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93" s="475"/>
    </row>
    <row r="294" spans="1:13">
      <c r="A294" t="s">
        <v>83</v>
      </c>
      <c r="B294" t="s">
        <v>433</v>
      </c>
      <c r="C294" t="s">
        <v>614</v>
      </c>
      <c r="D294" t="s">
        <v>944</v>
      </c>
      <c r="E294" s="656"/>
      <c r="F294" s="656"/>
      <c r="G294" s="656"/>
      <c r="H294" s="656"/>
      <c r="I294" s="659">
        <f>ROUND(Trial_1Cut[[#This Row],[Net]]/10^2,2)</f>
        <v>0</v>
      </c>
      <c r="J294" s="475"/>
      <c r="K294" s="475" t="s">
        <v>643</v>
      </c>
      <c r="L294"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94" s="475"/>
    </row>
    <row r="295" spans="1:13">
      <c r="A295" t="s">
        <v>83</v>
      </c>
      <c r="B295" t="s">
        <v>433</v>
      </c>
      <c r="C295" t="s">
        <v>614</v>
      </c>
      <c r="D295" t="s">
        <v>945</v>
      </c>
      <c r="E295" s="656"/>
      <c r="F295" s="656"/>
      <c r="G295" s="656"/>
      <c r="H295" s="656"/>
      <c r="I295" s="659">
        <f>ROUND(Trial_1Cut[[#This Row],[Net]]/10^2,2)</f>
        <v>0</v>
      </c>
      <c r="J295" s="475"/>
      <c r="K295" s="475" t="s">
        <v>646</v>
      </c>
      <c r="L295"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95" s="475"/>
    </row>
    <row r="296" spans="1:13">
      <c r="A296" t="s">
        <v>83</v>
      </c>
      <c r="B296" t="s">
        <v>433</v>
      </c>
      <c r="C296" t="s">
        <v>614</v>
      </c>
      <c r="D296" t="s">
        <v>946</v>
      </c>
      <c r="E296" s="656"/>
      <c r="F296" s="656"/>
      <c r="G296" s="656"/>
      <c r="H296" s="656"/>
      <c r="I296" s="659">
        <f>ROUND(Trial_1Cut[[#This Row],[Net]]/10^2,2)</f>
        <v>0</v>
      </c>
      <c r="J296" s="475"/>
      <c r="K296" s="475" t="s">
        <v>434</v>
      </c>
      <c r="L296"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96" s="475"/>
    </row>
    <row r="297" spans="1:13">
      <c r="A297" t="s">
        <v>83</v>
      </c>
      <c r="B297" t="s">
        <v>433</v>
      </c>
      <c r="C297" t="s">
        <v>614</v>
      </c>
      <c r="D297" t="s">
        <v>947</v>
      </c>
      <c r="E297" s="656"/>
      <c r="F297" s="656"/>
      <c r="G297" s="656"/>
      <c r="H297" s="656"/>
      <c r="I297" s="659">
        <f>ROUND(Trial_1Cut[[#This Row],[Net]]/10^2,2)</f>
        <v>0</v>
      </c>
      <c r="J297" s="475"/>
      <c r="K297" s="475" t="s">
        <v>650</v>
      </c>
      <c r="L297"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297" s="475"/>
    </row>
    <row r="298" spans="1:13">
      <c r="A298" s="446"/>
      <c r="B298" s="446"/>
      <c r="C298" s="446"/>
      <c r="D298" s="446" t="s">
        <v>948</v>
      </c>
      <c r="E298" s="672"/>
      <c r="F298" s="673">
        <f ca="1">+'Depr I.T, Deferd tax'!C68*100</f>
        <v>0</v>
      </c>
      <c r="G298" s="673"/>
      <c r="H298" s="673">
        <f ca="1">+Trial_1Cut[[#This Row],[Debit]]-Trial_1Cut[[#This Row],[Credit]]</f>
        <v>0</v>
      </c>
      <c r="I298" s="659">
        <f ca="1">ROUND(Trial_1Cut[[#This Row],[Net]]/10^2,2)</f>
        <v>0</v>
      </c>
      <c r="J298" s="475"/>
      <c r="K298" s="475" t="s">
        <v>109</v>
      </c>
      <c r="L298" s="447" t="str">
        <f ca="1">IFERROR(IF(OR(Trial_1Cut[[#This Row],[Level 1]]=$L$1,Trial_1Cut[[#This Row],[Level 1]]=$L$2),IF(SUMIF(Trial_1Cut[Sub Group],Trial_1Cut[[#This Row],[Sub Group]],Trial_1Cut[Rs. In Hundereds])&gt;0,$L$1,$L$2),IF(SUMIF(Trial_1Cut[Sub Group],Trial_1Cut[[#This Row],[Sub Group]],Trial_1Cut[Rs. In Hundereds])&gt;0,$M$2,$M$1)),Trial_1Cut[[#This Row],[Level 1]])</f>
        <v>Income</v>
      </c>
      <c r="M298" s="475"/>
    </row>
    <row r="299" spans="1:13">
      <c r="A299" s="446" t="s">
        <v>621</v>
      </c>
      <c r="B299" s="446"/>
      <c r="C299" s="446"/>
      <c r="D299" s="446" t="s">
        <v>949</v>
      </c>
      <c r="E299" s="672"/>
      <c r="F299" s="673"/>
      <c r="G299" s="673">
        <f ca="1">+F298</f>
        <v>0</v>
      </c>
      <c r="H299" s="673">
        <f ca="1">+Trial_1Cut[[#This Row],[Debit]]-Trial_1Cut[[#This Row],[Credit]]</f>
        <v>0</v>
      </c>
      <c r="I299" s="659">
        <f ca="1">ROUND(Trial_1Cut[[#This Row],[Net]]/10^2,2)</f>
        <v>0</v>
      </c>
      <c r="J299" s="475" t="s">
        <v>624</v>
      </c>
      <c r="K299" s="475" t="str">
        <f>'Sch - liab'!$A$85</f>
        <v>Statutory Dues</v>
      </c>
      <c r="L299" s="447" t="str">
        <f ca="1">IFERROR(IF(OR(Trial_1Cut[[#This Row],[Level 1]]=$L$1,Trial_1Cut[[#This Row],[Level 1]]=$L$2),IF(SUMIF(Trial_1Cut[Sub Group],Trial_1Cut[[#This Row],[Sub Group]],Trial_1Cut[Rs. In Hundereds])&gt;0,$L$1,$L$2),IF(SUMIF(Trial_1Cut[Sub Group],Trial_1Cut[[#This Row],[Sub Group]],Trial_1Cut[Rs. In Hundereds])&gt;0,$M$2,$M$1)),Trial_1Cut[[#This Row],[Level 1]])</f>
        <v>Liability</v>
      </c>
      <c r="M299" s="475"/>
    </row>
    <row r="300" spans="1:13">
      <c r="A300" s="446"/>
      <c r="B300" s="446"/>
      <c r="C300" s="446"/>
      <c r="D300" s="446" t="s">
        <v>950</v>
      </c>
      <c r="E300" s="672"/>
      <c r="F300" s="673"/>
      <c r="G300" s="673"/>
      <c r="H300" s="673"/>
      <c r="I300" s="659">
        <f>ROUND(Trial_1Cut[[#This Row],[Net]]/10^2,2)</f>
        <v>0</v>
      </c>
      <c r="J300" s="475"/>
      <c r="K300" s="475" t="s">
        <v>109</v>
      </c>
      <c r="L300" s="447" t="str">
        <f ca="1">IFERROR(IF(OR(Trial_1Cut[[#This Row],[Level 1]]=$L$1,Trial_1Cut[[#This Row],[Level 1]]=$L$2),IF(SUMIF(Trial_1Cut[Sub Group],Trial_1Cut[[#This Row],[Sub Group]],Trial_1Cut[Rs. In Hundereds])&gt;0,$L$1,$L$2),IF(SUMIF(Trial_1Cut[Sub Group],Trial_1Cut[[#This Row],[Sub Group]],Trial_1Cut[Rs. In Hundereds])&gt;0,$M$2,$M$1)),Trial_1Cut[[#This Row],[Level 1]])</f>
        <v>Income</v>
      </c>
      <c r="M300" s="475"/>
    </row>
    <row r="301" spans="1:13">
      <c r="A301" s="446"/>
      <c r="B301" s="446"/>
      <c r="C301" s="446"/>
      <c r="D301" s="446" t="s">
        <v>951</v>
      </c>
      <c r="E301" s="672"/>
      <c r="F301" s="673"/>
      <c r="G301" s="673"/>
      <c r="H301" s="673"/>
      <c r="I301" s="659">
        <f>ROUND(Trial_1Cut[[#This Row],[Net]]/10^2,2)</f>
        <v>0</v>
      </c>
      <c r="J301" s="475"/>
      <c r="K301" s="475"/>
      <c r="L301" s="447" t="str">
        <f>IFERROR(IF(OR(Trial_1Cut[[#This Row],[Level 1]]=$L$1,Trial_1Cut[[#This Row],[Level 1]]=$L$2),IF(SUMIF(Trial_1Cut[Sub Group],Trial_1Cut[[#This Row],[Sub Group]],Trial_1Cut[Rs. In Hundereds])&gt;0,$L$1,$L$2),IF(SUMIF(Trial_1Cut[Sub Group],Trial_1Cut[[#This Row],[Sub Group]],Trial_1Cut[Rs. In Hundereds])&gt;0,$M$2,$M$1)),Trial_1Cut[[#This Row],[Level 1]])</f>
        <v>Income</v>
      </c>
      <c r="M301" s="475"/>
    </row>
  </sheetData>
  <pageMargins left="0.7" right="0.7" top="0.75" bottom="0.75" header="0.3" footer="0.3"/>
  <pageSetup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1"/>
  <sheetViews>
    <sheetView showGridLines="0" tabSelected="1" view="pageBreakPreview" topLeftCell="A24" zoomScaleSheetLayoutView="100" workbookViewId="0">
      <selection activeCell="J24" sqref="J24"/>
    </sheetView>
  </sheetViews>
  <sheetFormatPr defaultRowHeight="15.75"/>
  <cols>
    <col min="1" max="1" width="3.85546875" style="90" customWidth="1"/>
    <col min="2" max="2" width="6.5703125" style="90" customWidth="1"/>
    <col min="3" max="3" width="5.7109375" style="90" customWidth="1"/>
    <col min="4" max="4" width="54" style="90" customWidth="1"/>
    <col min="5" max="5" width="6.42578125" style="90" customWidth="1"/>
    <col min="6" max="7" width="23.5703125" style="82" customWidth="1"/>
    <col min="8" max="8" width="9.140625" style="90"/>
    <col min="9" max="9" width="24" style="90" bestFit="1" customWidth="1"/>
    <col min="10" max="10" width="15.140625" style="90" bestFit="1" customWidth="1"/>
    <col min="11" max="16384" width="9.140625" style="90"/>
  </cols>
  <sheetData>
    <row r="1" spans="1:10" ht="15.75" customHeight="1">
      <c r="A1" s="635" t="str">
        <f>Master!B10</f>
        <v>ABC PRIVATE LIMITED</v>
      </c>
      <c r="F1" s="90"/>
      <c r="G1" s="90"/>
      <c r="I1" s="90" t="s">
        <v>437</v>
      </c>
      <c r="J1" s="90" t="s">
        <v>1761</v>
      </c>
    </row>
    <row r="2" spans="1:10" ht="14.25" customHeight="1">
      <c r="A2" s="660" t="str">
        <f>"CIN : "&amp;Master!B12</f>
        <v>CIN : U7XXXXXXXXXXXXXXXXX52</v>
      </c>
      <c r="F2" s="90"/>
      <c r="G2" s="90"/>
    </row>
    <row r="3" spans="1:10" ht="15" customHeight="1">
      <c r="A3" s="660" t="str">
        <f>Master!B11</f>
        <v>B-2, XXXXXXXXXXXX XXXXXXXXXXX0034</v>
      </c>
      <c r="F3" s="90"/>
      <c r="G3" s="90"/>
    </row>
    <row r="4" spans="1:10" s="448" customFormat="1">
      <c r="A4" s="660" t="str">
        <f>"BALANCE SHEET AS ON "&amp;UPPER(TEXT(Master!$B$5,"DD MMMM YYYY"))</f>
        <v>BALANCE SHEET AS ON 31 MARCH 2023</v>
      </c>
      <c r="B4" s="90"/>
      <c r="C4" s="90"/>
      <c r="D4" s="90"/>
      <c r="E4" s="90"/>
      <c r="F4" s="90"/>
      <c r="G4" s="90"/>
      <c r="I4" s="90"/>
    </row>
    <row r="5" spans="1:10" ht="25.5">
      <c r="A5" s="290"/>
      <c r="B5" s="1025" t="s">
        <v>63</v>
      </c>
      <c r="C5" s="1025"/>
      <c r="D5" s="1026"/>
      <c r="E5" s="603" t="s">
        <v>116</v>
      </c>
      <c r="F5" s="636" t="str">
        <f>PL!F5</f>
        <v>March 2023</v>
      </c>
      <c r="G5" s="636" t="str">
        <f>PL!G5</f>
        <v>March 2022</v>
      </c>
    </row>
    <row r="6" spans="1:10">
      <c r="A6" s="574"/>
      <c r="B6" s="424"/>
      <c r="C6" s="424"/>
      <c r="D6" s="425"/>
      <c r="E6" s="604"/>
      <c r="F6" s="679" t="str">
        <f>PL!F6</f>
        <v>Rs. In Thousands</v>
      </c>
      <c r="G6" s="636" t="str">
        <f>PL!G6</f>
        <v>Rs. In Thousands</v>
      </c>
    </row>
    <row r="7" spans="1:10">
      <c r="A7" s="619" t="s">
        <v>64</v>
      </c>
      <c r="B7" s="620" t="s">
        <v>65</v>
      </c>
      <c r="C7" s="621"/>
      <c r="D7" s="622"/>
      <c r="E7" s="296"/>
      <c r="F7" s="291"/>
      <c r="G7" s="291"/>
    </row>
    <row r="8" spans="1:10" ht="10.5" customHeight="1">
      <c r="A8" s="268"/>
      <c r="B8" s="297"/>
      <c r="C8" s="298"/>
      <c r="D8" s="310"/>
      <c r="E8" s="299"/>
      <c r="F8" s="292"/>
      <c r="G8" s="292"/>
    </row>
    <row r="9" spans="1:10">
      <c r="A9" s="267">
        <v>1</v>
      </c>
      <c r="B9" s="297" t="s">
        <v>66</v>
      </c>
      <c r="C9" s="297"/>
      <c r="D9" s="310"/>
      <c r="E9" s="299"/>
      <c r="F9" s="292"/>
      <c r="G9" s="292"/>
    </row>
    <row r="10" spans="1:10">
      <c r="A10" s="268"/>
      <c r="B10" s="300" t="s">
        <v>67</v>
      </c>
      <c r="C10" s="298"/>
      <c r="D10" s="310"/>
      <c r="E10" s="301">
        <v>2</v>
      </c>
      <c r="F10" s="292">
        <f>'Sch - liab (2)'!C13</f>
        <v>1000</v>
      </c>
      <c r="G10" s="292">
        <f>'Sch - liab (2)'!E13</f>
        <v>1000</v>
      </c>
      <c r="I10" s="678">
        <f ca="1">+F10+F11+PL!F37+PL!F38</f>
        <v>1209091.8074</v>
      </c>
      <c r="J10" s="90">
        <v>1699.08</v>
      </c>
    </row>
    <row r="11" spans="1:10">
      <c r="A11" s="268"/>
      <c r="B11" s="300" t="s">
        <v>68</v>
      </c>
      <c r="C11" s="298"/>
      <c r="D11" s="310"/>
      <c r="E11" s="301">
        <f ca="1">IF(AND(F11=0,G11=0),0,MAX($E$7:E10)+1)</f>
        <v>3</v>
      </c>
      <c r="F11" s="292">
        <f ca="1">+'Sch - liab'!B19</f>
        <v>1204370.8600000001</v>
      </c>
      <c r="G11" s="292">
        <f>'Sch - liab'!C19</f>
        <v>1215044.4974</v>
      </c>
      <c r="I11" s="476"/>
      <c r="J11" s="476">
        <f ca="1">SUM(F10:F11)+60.84</f>
        <v>1205431.7000000002</v>
      </c>
    </row>
    <row r="12" spans="1:10">
      <c r="A12" s="268"/>
      <c r="B12" s="300" t="s">
        <v>229</v>
      </c>
      <c r="C12" s="298"/>
      <c r="D12" s="310"/>
      <c r="E12" s="301">
        <f>IF(AND(F12=0,G12=0),0,MAX($E$7:E11)+1)</f>
        <v>0</v>
      </c>
      <c r="F12" s="292">
        <v>0</v>
      </c>
      <c r="G12" s="292">
        <v>0</v>
      </c>
      <c r="J12" s="476">
        <f ca="1">SUM(J10:J11)-F27</f>
        <v>-5077.027399999788</v>
      </c>
    </row>
    <row r="13" spans="1:10">
      <c r="A13" s="267">
        <v>2</v>
      </c>
      <c r="B13" s="297" t="s">
        <v>230</v>
      </c>
      <c r="C13" s="298"/>
      <c r="D13" s="310"/>
      <c r="E13" s="301">
        <f>IF(AND(F13=0,G13=0),0,MAX($E$7:E12)+1)</f>
        <v>0</v>
      </c>
      <c r="F13" s="292"/>
      <c r="G13" s="292">
        <v>0</v>
      </c>
    </row>
    <row r="14" spans="1:10">
      <c r="A14" s="267">
        <v>3</v>
      </c>
      <c r="B14" s="297" t="s">
        <v>69</v>
      </c>
      <c r="C14" s="297"/>
      <c r="D14" s="310"/>
      <c r="E14" s="301">
        <f>IF(AND(F14=0,G14=0),0,MAX($E$7:E13)+1)</f>
        <v>0</v>
      </c>
      <c r="F14" s="292"/>
      <c r="G14" s="292"/>
    </row>
    <row r="15" spans="1:10">
      <c r="A15" s="302"/>
      <c r="B15" s="300" t="s">
        <v>70</v>
      </c>
      <c r="C15" s="298"/>
      <c r="D15" s="310"/>
      <c r="E15" s="301">
        <f ca="1">IF(AND(F15=0,G15=0),0,MAX($E$7:E14)+1)</f>
        <v>4</v>
      </c>
      <c r="F15" s="292">
        <f ca="1">'Sch - liab'!B35</f>
        <v>-5153.8600000000006</v>
      </c>
      <c r="G15" s="292">
        <f>'Sch - liab'!C35</f>
        <v>38397.620000000003</v>
      </c>
    </row>
    <row r="16" spans="1:10">
      <c r="A16" s="302"/>
      <c r="B16" s="300" t="s">
        <v>71</v>
      </c>
      <c r="C16" s="298"/>
      <c r="D16" s="310"/>
      <c r="E16" s="301">
        <f ca="1">IF(AND(F16=0,G16=0,F36=0,G36=0),0,MAX($E$7:E15)+1)</f>
        <v>5</v>
      </c>
      <c r="F16" s="292">
        <f>IF('Sch - liab'!B52&lt;0,ABS('Sch - liab'!B55),0)</f>
        <v>3720.9473999999991</v>
      </c>
      <c r="G16" s="292">
        <f>IF('Sch - liab'!C52&lt;0,ABS('Sch - liab'!C55),0)</f>
        <v>0</v>
      </c>
      <c r="I16" s="476"/>
    </row>
    <row r="17" spans="1:7">
      <c r="A17" s="302"/>
      <c r="B17" s="300" t="s">
        <v>231</v>
      </c>
      <c r="C17" s="298"/>
      <c r="D17" s="310"/>
      <c r="E17" s="301">
        <f>IF(AND(F17=0,G17=0),0,MAX($E$7:E16)+1)</f>
        <v>0</v>
      </c>
      <c r="F17" s="292">
        <v>0</v>
      </c>
      <c r="G17" s="292">
        <v>0</v>
      </c>
    </row>
    <row r="18" spans="1:7">
      <c r="A18" s="302"/>
      <c r="B18" s="300" t="s">
        <v>232</v>
      </c>
      <c r="C18" s="298"/>
      <c r="D18" s="310"/>
      <c r="E18" s="301">
        <f>IF(AND(F18=0,G18=0),0,MAX($E$7:E17)+1)</f>
        <v>0</v>
      </c>
      <c r="F18" s="292">
        <v>0</v>
      </c>
      <c r="G18" s="292">
        <v>0</v>
      </c>
    </row>
    <row r="19" spans="1:7">
      <c r="A19" s="267">
        <v>4</v>
      </c>
      <c r="B19" s="297" t="s">
        <v>72</v>
      </c>
      <c r="C19" s="297"/>
      <c r="D19" s="310"/>
      <c r="E19" s="301">
        <f>IF(AND(F19=0,G19=0),0,MAX($E$7:E18)+1)</f>
        <v>0</v>
      </c>
      <c r="F19" s="292"/>
      <c r="G19" s="292"/>
    </row>
    <row r="20" spans="1:7">
      <c r="A20" s="267"/>
      <c r="B20" s="298" t="s">
        <v>211</v>
      </c>
      <c r="C20" s="297"/>
      <c r="D20" s="310"/>
      <c r="E20" s="301">
        <f ca="1">IF(AND(F20=0,G20=0),0,MAX($E$7:E19)+1)</f>
        <v>6</v>
      </c>
      <c r="F20" s="292">
        <f ca="1">'Sch - liab'!B68</f>
        <v>5153.8600000000006</v>
      </c>
      <c r="G20" s="292">
        <f>'Sch - liab'!C68</f>
        <v>1627.64</v>
      </c>
    </row>
    <row r="21" spans="1:7">
      <c r="A21" s="268"/>
      <c r="B21" s="303" t="s">
        <v>110</v>
      </c>
      <c r="C21" s="298"/>
      <c r="D21" s="310"/>
      <c r="E21" s="301">
        <f ca="1">IF(AND(SUM($F$21:$F$23)=0,SUM($G$21:$G$23)=0),0,MAX($E$7:E20)+1)</f>
        <v>7</v>
      </c>
      <c r="F21" s="292"/>
      <c r="G21" s="292">
        <f>'Sch - liab'!C69</f>
        <v>0</v>
      </c>
    </row>
    <row r="22" spans="1:7" ht="25.5" customHeight="1">
      <c r="A22" s="268"/>
      <c r="B22" s="300"/>
      <c r="C22" s="1027" t="s">
        <v>233</v>
      </c>
      <c r="D22" s="1028"/>
      <c r="E22" s="301">
        <f ca="1">IF(AND(F22=0,G22=0),0,MAX($E$7:E21)+1)</f>
        <v>8</v>
      </c>
      <c r="F22" s="292">
        <f>'Sch-Debtor_Creditors'!F7</f>
        <v>1</v>
      </c>
      <c r="G22" s="292"/>
    </row>
    <row r="23" spans="1:7" ht="27" customHeight="1">
      <c r="A23" s="268"/>
      <c r="B23" s="300"/>
      <c r="C23" s="1027" t="s">
        <v>234</v>
      </c>
      <c r="D23" s="1028"/>
      <c r="E23" s="301">
        <f ca="1">IF(AND(F23=0,G23=0),0,MAX($E$7:E22)+1)</f>
        <v>9</v>
      </c>
      <c r="F23" s="292">
        <f>'Sch-Debtor_Creditors'!F8</f>
        <v>3115</v>
      </c>
      <c r="G23" s="292">
        <f>'Sch-Debtor_Creditors'!F22</f>
        <v>4854</v>
      </c>
    </row>
    <row r="24" spans="1:7">
      <c r="A24" s="268"/>
      <c r="B24" s="300" t="s">
        <v>111</v>
      </c>
      <c r="C24" s="298"/>
      <c r="D24" s="310"/>
      <c r="E24" s="301">
        <f ca="1">IF(AND(F24=0,G24=0),0,MAX($E$7:E23)+1)</f>
        <v>10</v>
      </c>
      <c r="F24" s="292">
        <f ca="1">'Sch - liab'!B78</f>
        <v>0</v>
      </c>
      <c r="G24" s="292">
        <f>'Sch - liab'!C78</f>
        <v>847.78</v>
      </c>
    </row>
    <row r="25" spans="1:7">
      <c r="A25" s="268"/>
      <c r="B25" s="300" t="s">
        <v>112</v>
      </c>
      <c r="C25" s="298"/>
      <c r="D25" s="310"/>
      <c r="E25" s="301">
        <f ca="1">IF(AND(F25=0,G25=0),0,MAX($E$7:E24)+1)</f>
        <v>11</v>
      </c>
      <c r="F25" s="292">
        <f ca="1">'Sch - liab'!B88</f>
        <v>0</v>
      </c>
      <c r="G25" s="292">
        <f>'Sch - liab'!C88</f>
        <v>957.91000000000008</v>
      </c>
    </row>
    <row r="26" spans="1:7">
      <c r="A26" s="268"/>
      <c r="B26" s="298"/>
      <c r="C26" s="298"/>
      <c r="D26" s="310"/>
      <c r="E26" s="301"/>
      <c r="F26" s="292"/>
      <c r="G26" s="292"/>
    </row>
    <row r="27" spans="1:7" ht="15.75" customHeight="1" thickBot="1">
      <c r="A27" s="268"/>
      <c r="B27" s="298"/>
      <c r="C27" s="298"/>
      <c r="D27" s="623" t="s">
        <v>73</v>
      </c>
      <c r="E27" s="299"/>
      <c r="F27" s="305">
        <f ca="1">SUM(F9:F26)</f>
        <v>1212207.8074</v>
      </c>
      <c r="G27" s="305">
        <f>SUM(G9:G25)</f>
        <v>1262729.4473999999</v>
      </c>
    </row>
    <row r="28" spans="1:7" ht="16.5" thickTop="1">
      <c r="A28" s="306" t="s">
        <v>74</v>
      </c>
      <c r="B28" s="297" t="s">
        <v>75</v>
      </c>
      <c r="C28" s="307"/>
      <c r="D28" s="310"/>
      <c r="E28" s="299"/>
      <c r="F28" s="292"/>
      <c r="G28" s="292"/>
    </row>
    <row r="29" spans="1:7" ht="12" customHeight="1">
      <c r="A29" s="268"/>
      <c r="B29" s="298"/>
      <c r="C29" s="298"/>
      <c r="D29" s="310"/>
      <c r="E29" s="299"/>
      <c r="F29" s="292"/>
      <c r="G29" s="292"/>
    </row>
    <row r="30" spans="1:7">
      <c r="A30" s="267">
        <v>1</v>
      </c>
      <c r="B30" s="297" t="s">
        <v>76</v>
      </c>
      <c r="C30" s="298"/>
      <c r="D30" s="310"/>
      <c r="E30" s="299"/>
      <c r="F30" s="292"/>
      <c r="G30" s="292"/>
    </row>
    <row r="31" spans="1:7">
      <c r="A31" s="268"/>
      <c r="B31" s="300" t="s">
        <v>490</v>
      </c>
      <c r="C31" s="297" t="s">
        <v>218</v>
      </c>
      <c r="D31" s="310"/>
      <c r="E31" s="301">
        <f ca="1">IF(AND(SUM($F$31:$F$34)=0,SUM($G$31:$G$34)=0),0,MAX($E$7:E30)+1)</f>
        <v>12</v>
      </c>
      <c r="F31" s="292">
        <f>'DEP CO aCT'!J49-F33</f>
        <v>11756.04</v>
      </c>
      <c r="G31" s="292">
        <f>'DEP CO aCT'!J50</f>
        <v>26625.22</v>
      </c>
    </row>
    <row r="32" spans="1:7">
      <c r="A32" s="268"/>
      <c r="B32" s="298"/>
      <c r="C32" s="298" t="s">
        <v>280</v>
      </c>
      <c r="D32" s="310"/>
      <c r="E32" s="299"/>
      <c r="F32" s="292">
        <v>0</v>
      </c>
      <c r="G32" s="292">
        <v>0</v>
      </c>
    </row>
    <row r="33" spans="1:10">
      <c r="A33" s="268"/>
      <c r="B33" s="300"/>
      <c r="C33" s="298" t="s">
        <v>219</v>
      </c>
      <c r="D33" s="310"/>
      <c r="E33" s="299"/>
      <c r="F33" s="292">
        <v>0</v>
      </c>
      <c r="G33" s="292"/>
      <c r="I33" s="678"/>
    </row>
    <row r="34" spans="1:10">
      <c r="A34" s="268"/>
      <c r="B34" s="300"/>
      <c r="C34" s="298" t="s">
        <v>220</v>
      </c>
      <c r="D34" s="310"/>
      <c r="E34" s="299"/>
      <c r="F34" s="292">
        <v>0</v>
      </c>
      <c r="G34" s="292">
        <v>0</v>
      </c>
    </row>
    <row r="35" spans="1:10">
      <c r="A35" s="268"/>
      <c r="B35" s="300" t="s">
        <v>77</v>
      </c>
      <c r="C35" s="298"/>
      <c r="D35" s="310"/>
      <c r="E35" s="301">
        <f ca="1">IF(AND(F35=0,G35=0),0,MAX($E$7:E34)+1)</f>
        <v>0</v>
      </c>
      <c r="F35" s="292">
        <f ca="1">'Sch - assets'!B11</f>
        <v>0</v>
      </c>
      <c r="G35" s="292">
        <f>'Sch - assets'!C11</f>
        <v>0</v>
      </c>
    </row>
    <row r="36" spans="1:10">
      <c r="A36" s="268"/>
      <c r="B36" s="300" t="s">
        <v>409</v>
      </c>
      <c r="C36" s="298"/>
      <c r="D36" s="310"/>
      <c r="E36" s="301">
        <f ca="1">E16</f>
        <v>5</v>
      </c>
      <c r="F36" s="292">
        <f>IF('Sch - liab'!B52&gt;0,ABS('Sch - liab'!B52),0)</f>
        <v>0</v>
      </c>
      <c r="G36" s="292">
        <f>IF('Sch - liab'!C52&gt;0,ABS('Sch - liab'!C52),0)</f>
        <v>671.05739999999946</v>
      </c>
      <c r="I36" s="476"/>
    </row>
    <row r="37" spans="1:10">
      <c r="A37" s="268"/>
      <c r="B37" s="300" t="s">
        <v>221</v>
      </c>
      <c r="C37" s="298"/>
      <c r="D37" s="310"/>
      <c r="E37" s="301">
        <f>IF(AND(F37=0,G37=0),0,MAX($E$7:E36)+1)</f>
        <v>0</v>
      </c>
      <c r="F37" s="292">
        <f>'Sch - assets'!B13</f>
        <v>0</v>
      </c>
      <c r="G37" s="292">
        <f>'Sch - assets'!C13</f>
        <v>0</v>
      </c>
    </row>
    <row r="38" spans="1:10">
      <c r="A38" s="268"/>
      <c r="B38" s="300" t="s">
        <v>222</v>
      </c>
      <c r="C38" s="298"/>
      <c r="D38" s="310"/>
      <c r="E38" s="301">
        <f ca="1">IF(AND(F38=0,G38=0),0,MAX($E$7:E37)+1)</f>
        <v>0</v>
      </c>
      <c r="F38" s="292">
        <f ca="1">'Sch - assets'!B27</f>
        <v>0</v>
      </c>
      <c r="G38" s="292">
        <f>'Sch - assets'!C27</f>
        <v>0</v>
      </c>
    </row>
    <row r="39" spans="1:10" ht="9.75" customHeight="1">
      <c r="A39" s="268"/>
      <c r="B39" s="298"/>
      <c r="C39" s="298"/>
      <c r="D39" s="310"/>
      <c r="E39" s="299"/>
      <c r="F39" s="292"/>
      <c r="G39" s="292"/>
    </row>
    <row r="40" spans="1:10">
      <c r="A40" s="267">
        <v>2</v>
      </c>
      <c r="B40" s="297" t="s">
        <v>78</v>
      </c>
      <c r="C40" s="297"/>
      <c r="D40" s="310"/>
      <c r="E40" s="299"/>
      <c r="F40" s="292"/>
      <c r="G40" s="292"/>
    </row>
    <row r="41" spans="1:10">
      <c r="A41" s="267"/>
      <c r="B41" s="300" t="s">
        <v>223</v>
      </c>
      <c r="C41" s="297"/>
      <c r="D41" s="310"/>
      <c r="E41" s="301">
        <f>IF(AND(F41=0,G41=0),0,MAX($E$7:E40)+1)</f>
        <v>0</v>
      </c>
      <c r="F41" s="292">
        <v>0</v>
      </c>
      <c r="G41" s="292">
        <v>0</v>
      </c>
    </row>
    <row r="42" spans="1:10">
      <c r="A42" s="268"/>
      <c r="B42" s="300" t="s">
        <v>224</v>
      </c>
      <c r="C42" s="298"/>
      <c r="D42" s="310"/>
      <c r="E42" s="301">
        <f ca="1">IF(AND(F42=0,G42=0),0,MAX($E$7:E41)+1)</f>
        <v>13</v>
      </c>
      <c r="F42" s="292">
        <f ca="1">'Sch - assets'!B45</f>
        <v>0</v>
      </c>
      <c r="G42" s="292">
        <f>'Sch - assets'!C45</f>
        <v>6952.6900000000005</v>
      </c>
    </row>
    <row r="43" spans="1:10">
      <c r="A43" s="268"/>
      <c r="B43" s="300" t="s">
        <v>225</v>
      </c>
      <c r="C43" s="298"/>
      <c r="D43" s="310"/>
      <c r="E43" s="301">
        <f ca="1">IF(AND(F43=0,G43=0),0,MAX($E$7:E42)+1)</f>
        <v>14</v>
      </c>
      <c r="F43" s="292">
        <f ca="1">'Sch-Debtor_Creditors'!H34</f>
        <v>0</v>
      </c>
      <c r="G43" s="292">
        <f>'Sch-Debtor_Creditors'!G44</f>
        <v>300</v>
      </c>
    </row>
    <row r="44" spans="1:10">
      <c r="A44" s="268"/>
      <c r="B44" s="300" t="s">
        <v>226</v>
      </c>
      <c r="C44" s="298"/>
      <c r="D44" s="310"/>
      <c r="E44" s="301">
        <f ca="1">IF(AND(F44=0,G44=0),0,MAX($E$7:E43)+1)</f>
        <v>15</v>
      </c>
      <c r="F44" s="292">
        <f ca="1">'Sch - assets'!B60</f>
        <v>0</v>
      </c>
      <c r="G44" s="292">
        <f>'Sch - assets'!C60</f>
        <v>1437.4</v>
      </c>
    </row>
    <row r="45" spans="1:10">
      <c r="A45" s="268"/>
      <c r="B45" s="300" t="s">
        <v>227</v>
      </c>
      <c r="C45" s="298"/>
      <c r="D45" s="310"/>
      <c r="E45" s="301">
        <f ca="1">IF(AND(F45=0,G45=0),0,MAX($E$7:E44)+1)</f>
        <v>0</v>
      </c>
      <c r="F45" s="292">
        <f ca="1">'Sch - assets'!B69</f>
        <v>0</v>
      </c>
      <c r="G45" s="292">
        <f>'Sch - assets'!C69</f>
        <v>0</v>
      </c>
    </row>
    <row r="46" spans="1:10">
      <c r="A46" s="268"/>
      <c r="B46" s="300" t="s">
        <v>228</v>
      </c>
      <c r="C46" s="298"/>
      <c r="D46" s="310"/>
      <c r="E46" s="301">
        <f ca="1">IF(AND(F46=0,G46=0),0,MAX($E$7:E45)+1)</f>
        <v>16</v>
      </c>
      <c r="F46" s="292">
        <f ca="1">'Sch - assets'!B82</f>
        <v>0</v>
      </c>
      <c r="G46" s="292">
        <f>'Sch - assets'!C82</f>
        <v>8254.86</v>
      </c>
    </row>
    <row r="47" spans="1:10" ht="16.5" thickBot="1">
      <c r="A47" s="624"/>
      <c r="B47" s="625"/>
      <c r="C47" s="625"/>
      <c r="D47" s="626" t="s">
        <v>73</v>
      </c>
      <c r="E47" s="627"/>
      <c r="F47" s="305">
        <f ca="1">SUM(F31:F46)</f>
        <v>11756.04</v>
      </c>
      <c r="G47" s="305">
        <f>SUM(G31:G46)</f>
        <v>44241.227400000003</v>
      </c>
    </row>
    <row r="48" spans="1:10" ht="15.75" customHeight="1" thickTop="1">
      <c r="A48" s="297" t="s">
        <v>79</v>
      </c>
      <c r="B48" s="298"/>
      <c r="C48" s="298"/>
      <c r="D48" s="298"/>
      <c r="E48" s="298">
        <v>1</v>
      </c>
      <c r="F48" s="309">
        <f ca="1">ROUND(F27-F47,2)</f>
        <v>1200451.77</v>
      </c>
      <c r="G48" s="309">
        <f>ROUND(G27-G47,2)</f>
        <v>1218488.22</v>
      </c>
      <c r="I48" s="999">
        <f ca="1">F27-F47</f>
        <v>1200451.7674</v>
      </c>
      <c r="J48" s="999">
        <f>G27-G47</f>
        <v>1218488.22</v>
      </c>
    </row>
    <row r="49" spans="1:7">
      <c r="A49" s="298" t="s">
        <v>1724</v>
      </c>
      <c r="B49" s="298"/>
      <c r="C49" s="298"/>
      <c r="D49" s="298"/>
      <c r="E49" s="298"/>
      <c r="F49" s="298"/>
      <c r="G49" s="298"/>
    </row>
    <row r="50" spans="1:7" ht="15.75" customHeight="1">
      <c r="A50" s="614" t="str">
        <f>"For "&amp;Master!$B$54</f>
        <v>For A XXXXXXXXXXXociates</v>
      </c>
      <c r="B50" s="311"/>
      <c r="C50" s="311"/>
      <c r="D50" s="311"/>
      <c r="F50" s="1029" t="s">
        <v>1730</v>
      </c>
      <c r="G50" s="1029"/>
    </row>
    <row r="51" spans="1:7" ht="15.75" customHeight="1">
      <c r="A51" s="615" t="s">
        <v>119</v>
      </c>
      <c r="B51" s="311"/>
      <c r="C51" s="311"/>
      <c r="D51" s="311"/>
      <c r="E51" s="657"/>
      <c r="F51" s="1029" t="str">
        <f>PROPER($A$1)</f>
        <v>Abc Private Limited</v>
      </c>
      <c r="G51" s="1029"/>
    </row>
    <row r="52" spans="1:7">
      <c r="A52" s="1030" t="s">
        <v>1726</v>
      </c>
      <c r="B52" s="1030"/>
      <c r="C52" s="311" t="str">
        <f>": "&amp;Master!$B$58</f>
        <v>: XXXXXXXXX</v>
      </c>
      <c r="D52" s="311"/>
      <c r="E52" s="311"/>
      <c r="F52" s="311"/>
      <c r="G52" s="470"/>
    </row>
    <row r="53" spans="1:7">
      <c r="A53" s="615"/>
      <c r="B53" s="311"/>
      <c r="C53" s="311"/>
      <c r="D53" s="311"/>
      <c r="E53" s="311"/>
      <c r="F53" s="311"/>
      <c r="G53" s="470"/>
    </row>
    <row r="54" spans="1:7">
      <c r="A54" s="615"/>
      <c r="B54" s="311"/>
      <c r="C54" s="311"/>
      <c r="D54" s="311"/>
      <c r="E54" s="311"/>
      <c r="F54" s="311"/>
      <c r="G54" s="470"/>
    </row>
    <row r="55" spans="1:7">
      <c r="A55" s="615"/>
      <c r="B55" s="311"/>
      <c r="C55" s="311"/>
      <c r="D55" s="311"/>
      <c r="E55" s="311"/>
      <c r="F55" s="311"/>
      <c r="G55" s="470"/>
    </row>
    <row r="56" spans="1:7">
      <c r="A56" s="477" t="str">
        <f>Master!$B$59</f>
        <v>Akshay Garg</v>
      </c>
      <c r="B56" s="311"/>
      <c r="C56" s="311"/>
      <c r="D56" s="311"/>
      <c r="E56" s="311"/>
      <c r="F56" s="657" t="str">
        <f>Master!$B$34</f>
        <v>Director 1</v>
      </c>
      <c r="G56" s="657" t="str">
        <f>Master!$B$36</f>
        <v>Director 2</v>
      </c>
    </row>
    <row r="57" spans="1:7">
      <c r="A57" s="477" t="str">
        <f>Master!$B$60</f>
        <v>Partner</v>
      </c>
      <c r="B57" s="311"/>
      <c r="C57" s="311"/>
      <c r="D57" s="311"/>
      <c r="E57" s="298"/>
      <c r="F57" s="663" t="s">
        <v>205</v>
      </c>
      <c r="G57" s="663" t="s">
        <v>205</v>
      </c>
    </row>
    <row r="58" spans="1:7">
      <c r="A58" s="1030" t="s">
        <v>1727</v>
      </c>
      <c r="B58" s="1030"/>
      <c r="C58" s="311" t="str">
        <f>": "&amp;Master!$B$63</f>
        <v>: XXXXXX</v>
      </c>
      <c r="D58" s="311"/>
      <c r="E58" s="298"/>
      <c r="F58" s="658" t="str">
        <f>"DIN - "&amp;Master!$B$35</f>
        <v>DIN - 00XXXX70</v>
      </c>
      <c r="G58" s="658" t="str">
        <f>"DIN - "&amp;Master!$B$37</f>
        <v>DIN - 00XXXX70</v>
      </c>
    </row>
    <row r="59" spans="1:7">
      <c r="A59" s="1030" t="s">
        <v>980</v>
      </c>
      <c r="B59" s="1030"/>
      <c r="C59" s="311" t="str">
        <f>": "&amp;TEXT(Master!$B$61,"mmmm dd, yyyy")</f>
        <v>: September 01, 2023</v>
      </c>
      <c r="D59" s="311"/>
      <c r="E59" s="311"/>
      <c r="F59" s="90"/>
      <c r="G59" s="90"/>
    </row>
    <row r="60" spans="1:7">
      <c r="A60" s="1030" t="s">
        <v>1728</v>
      </c>
      <c r="B60" s="1030"/>
      <c r="C60" s="311" t="str">
        <f>": "&amp;Master!$B$62</f>
        <v>: Delhi</v>
      </c>
      <c r="D60" s="477"/>
      <c r="E60" s="311"/>
      <c r="F60" s="311"/>
      <c r="G60" s="311"/>
    </row>
    <row r="61" spans="1:7">
      <c r="A61" s="1030" t="s">
        <v>1729</v>
      </c>
      <c r="B61" s="1030"/>
      <c r="C61" s="311" t="str">
        <f>": "&amp;Master!$B$64</f>
        <v xml:space="preserve">: </v>
      </c>
      <c r="D61" s="356"/>
      <c r="E61" s="359"/>
      <c r="F61" s="293"/>
      <c r="G61" s="293"/>
    </row>
  </sheetData>
  <mergeCells count="10">
    <mergeCell ref="A52:B52"/>
    <mergeCell ref="A58:B58"/>
    <mergeCell ref="A59:B59"/>
    <mergeCell ref="A60:B60"/>
    <mergeCell ref="A61:B61"/>
    <mergeCell ref="B5:D5"/>
    <mergeCell ref="C23:D23"/>
    <mergeCell ref="C22:D22"/>
    <mergeCell ref="F51:G51"/>
    <mergeCell ref="F50:G50"/>
  </mergeCells>
  <phoneticPr fontId="10" type="noConversion"/>
  <conditionalFormatting sqref="E7:E47">
    <cfRule type="cellIs" dxfId="8" priority="1" operator="equal">
      <formula>0</formula>
    </cfRule>
  </conditionalFormatting>
  <conditionalFormatting sqref="F48:G48">
    <cfRule type="cellIs" dxfId="7" priority="2" operator="equal">
      <formula>0</formula>
    </cfRule>
  </conditionalFormatting>
  <printOptions horizontalCentered="1"/>
  <pageMargins left="0.7" right="0.7"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102"/>
  <sheetViews>
    <sheetView showGridLines="0" view="pageBreakPreview" topLeftCell="A25" zoomScaleNormal="80" zoomScaleSheetLayoutView="100" workbookViewId="0">
      <selection activeCell="E25" sqref="E25"/>
    </sheetView>
  </sheetViews>
  <sheetFormatPr defaultColWidth="12.5703125" defaultRowHeight="15.75"/>
  <cols>
    <col min="1" max="3" width="4.85546875" style="4" customWidth="1"/>
    <col min="4" max="4" width="63.85546875" style="2" customWidth="1"/>
    <col min="5" max="5" width="6.28515625" style="4" customWidth="1"/>
    <col min="6" max="6" width="25.7109375" style="82" customWidth="1"/>
    <col min="7" max="7" width="25.7109375" style="10" customWidth="1"/>
    <col min="8" max="8" width="17.7109375" style="2" bestFit="1" customWidth="1"/>
    <col min="9" max="9" width="17.5703125" style="2" bestFit="1" customWidth="1"/>
    <col min="10" max="10" width="9.140625" style="2" customWidth="1"/>
    <col min="11" max="11" width="14.28515625" style="2" bestFit="1" customWidth="1"/>
    <col min="12" max="254" width="9.140625" style="2" customWidth="1"/>
    <col min="255" max="16384" width="12.5703125" style="2"/>
  </cols>
  <sheetData>
    <row r="1" spans="1:9">
      <c r="A1" s="634" t="str">
        <f>BS!A1</f>
        <v>ABC PRIVATE LIMITED</v>
      </c>
      <c r="B1" s="634"/>
      <c r="C1" s="634"/>
      <c r="D1" s="485"/>
      <c r="E1" s="485"/>
      <c r="F1" s="485"/>
      <c r="G1" s="485"/>
    </row>
    <row r="2" spans="1:9">
      <c r="A2" s="661" t="str">
        <f>BS!A2</f>
        <v>CIN : U7XXXXXXXXXXXXXXXXX52</v>
      </c>
      <c r="B2" s="661"/>
      <c r="C2" s="661"/>
      <c r="D2" s="485"/>
      <c r="E2" s="485"/>
      <c r="F2" s="485"/>
      <c r="G2" s="485"/>
    </row>
    <row r="3" spans="1:9" ht="15.75" customHeight="1">
      <c r="A3" s="661" t="str">
        <f>BS!A3</f>
        <v>B-2, XXXXXXXXXXXX XXXXXXXXXXX0034</v>
      </c>
      <c r="B3" s="661"/>
      <c r="C3" s="661"/>
      <c r="D3" s="485"/>
      <c r="E3" s="485"/>
      <c r="F3" s="485"/>
      <c r="G3" s="485"/>
    </row>
    <row r="4" spans="1:9">
      <c r="A4" s="662" t="str">
        <f>"STATEMENT OF PROFIT AND LOSS ACCOUNT FOR THE YEAR ENDED "&amp;UPPER(TEXT(Master!$B$5,"DD MMMM YYYY"))</f>
        <v>STATEMENT OF PROFIT AND LOSS ACCOUNT FOR THE YEAR ENDED 31 MARCH 2023</v>
      </c>
      <c r="B4" s="662"/>
      <c r="C4" s="662"/>
      <c r="D4" s="426"/>
      <c r="E4" s="426"/>
      <c r="F4" s="426"/>
      <c r="G4" s="426"/>
    </row>
    <row r="5" spans="1:9" ht="25.5">
      <c r="A5" s="606"/>
      <c r="B5" s="911"/>
      <c r="C5" s="911"/>
      <c r="D5" s="427" t="s">
        <v>63</v>
      </c>
      <c r="E5" s="605" t="s">
        <v>116</v>
      </c>
      <c r="F5" s="637" t="s">
        <v>652</v>
      </c>
      <c r="G5" s="637" t="s">
        <v>399</v>
      </c>
    </row>
    <row r="6" spans="1:9">
      <c r="A6" s="411"/>
      <c r="B6" s="912"/>
      <c r="C6" s="912"/>
      <c r="D6" s="607"/>
      <c r="E6" s="605"/>
      <c r="F6" s="638" t="s">
        <v>1765</v>
      </c>
      <c r="G6" s="638" t="s">
        <v>1765</v>
      </c>
    </row>
    <row r="7" spans="1:9" ht="12" customHeight="1">
      <c r="A7" s="628"/>
      <c r="B7" s="913"/>
      <c r="C7" s="913"/>
      <c r="D7" s="629"/>
      <c r="E7" s="315"/>
      <c r="F7" s="292"/>
      <c r="G7" s="316"/>
    </row>
    <row r="8" spans="1:9">
      <c r="A8" s="313" t="s">
        <v>39</v>
      </c>
      <c r="B8" s="1041" t="s">
        <v>82</v>
      </c>
      <c r="C8" s="1041"/>
      <c r="D8" s="1042"/>
      <c r="E8" s="301">
        <f ca="1">IF(AND(F8=0,G8=0),0,MAX(BS!$E$7:$E$46)+1)</f>
        <v>17</v>
      </c>
      <c r="F8" s="292">
        <f ca="1">'Sch - PL'!B13</f>
        <v>0</v>
      </c>
      <c r="G8" s="316">
        <f>'Sch - PL'!C13</f>
        <v>1231110.3899999999</v>
      </c>
      <c r="H8" s="487">
        <f ca="1">F8-F16-F17-F15</f>
        <v>-6952.6900000000005</v>
      </c>
      <c r="I8" s="488" t="e">
        <f ca="1">H8/F8</f>
        <v>#DIV/0!</v>
      </c>
    </row>
    <row r="9" spans="1:9" ht="12" customHeight="1">
      <c r="A9" s="313"/>
      <c r="B9" s="1031"/>
      <c r="C9" s="1031"/>
      <c r="D9" s="1032"/>
      <c r="E9" s="301">
        <f>IF(AND(F9=0,G9=0),0,MAX($E$7:E8)+1)</f>
        <v>0</v>
      </c>
      <c r="F9" s="292"/>
      <c r="G9" s="316"/>
      <c r="H9" s="2">
        <v>2219.7800000000002</v>
      </c>
    </row>
    <row r="10" spans="1:9">
      <c r="A10" s="313" t="s">
        <v>59</v>
      </c>
      <c r="B10" s="1041" t="s">
        <v>236</v>
      </c>
      <c r="C10" s="1041"/>
      <c r="D10" s="1042"/>
      <c r="E10" s="301">
        <f ca="1">IF(AND(F10=0,G10=0),0,MAX($E$7:E9)+1)</f>
        <v>18</v>
      </c>
      <c r="F10" s="292">
        <f ca="1">'Sch - PL'!B30</f>
        <v>0</v>
      </c>
      <c r="G10" s="316">
        <f>'Sch - PL'!C30</f>
        <v>53.980000000000004</v>
      </c>
      <c r="H10" s="487">
        <f ca="1">H8-H9</f>
        <v>-9172.4700000000012</v>
      </c>
    </row>
    <row r="11" spans="1:9">
      <c r="A11" s="313"/>
      <c r="B11" s="1031"/>
      <c r="C11" s="1031"/>
      <c r="D11" s="1032"/>
      <c r="E11" s="317"/>
      <c r="F11" s="292"/>
      <c r="G11" s="316"/>
    </row>
    <row r="12" spans="1:9">
      <c r="A12" s="313" t="s">
        <v>235</v>
      </c>
      <c r="B12" s="1043" t="s">
        <v>237</v>
      </c>
      <c r="C12" s="1043"/>
      <c r="D12" s="1044"/>
      <c r="E12" s="317"/>
      <c r="F12" s="318">
        <f ca="1">SUM(F8:F10)</f>
        <v>0</v>
      </c>
      <c r="G12" s="318">
        <f>SUM(G8:G10)</f>
        <v>1231164.3699999999</v>
      </c>
    </row>
    <row r="13" spans="1:9">
      <c r="A13" s="313"/>
      <c r="B13" s="1031"/>
      <c r="C13" s="1031"/>
      <c r="D13" s="1032"/>
      <c r="E13" s="317"/>
      <c r="F13" s="292"/>
      <c r="G13" s="316"/>
      <c r="I13" s="487">
        <f ca="1">F8-F16-F17</f>
        <v>-6952.6900000000005</v>
      </c>
    </row>
    <row r="14" spans="1:9">
      <c r="A14" s="313" t="s">
        <v>244</v>
      </c>
      <c r="B14" s="1033" t="s">
        <v>83</v>
      </c>
      <c r="C14" s="1033"/>
      <c r="D14" s="1034"/>
      <c r="E14" s="317"/>
      <c r="F14" s="292"/>
      <c r="G14" s="316"/>
    </row>
    <row r="15" spans="1:9">
      <c r="A15" s="313"/>
      <c r="B15" s="1037" t="s">
        <v>84</v>
      </c>
      <c r="C15" s="1037"/>
      <c r="D15" s="1038"/>
      <c r="E15" s="301">
        <f ca="1">IF(AND(F15=0,G15=0),0,MAX($E$7:E14)+1)</f>
        <v>0</v>
      </c>
      <c r="F15" s="292">
        <f ca="1">'Sch - PL'!B41</f>
        <v>0</v>
      </c>
      <c r="G15" s="316">
        <f>'Sch - PL'!C41</f>
        <v>0</v>
      </c>
    </row>
    <row r="16" spans="1:9">
      <c r="A16" s="313"/>
      <c r="B16" s="1037" t="s">
        <v>238</v>
      </c>
      <c r="C16" s="1037"/>
      <c r="D16" s="1038"/>
      <c r="E16" s="301">
        <f ca="1">IF(AND(F16=0,G16=0),0,MAX($E$7:E15)+1)</f>
        <v>19</v>
      </c>
      <c r="F16" s="292">
        <f ca="1">'Sch - PL'!B50</f>
        <v>0</v>
      </c>
      <c r="G16" s="316">
        <f>'Sch - PL'!C50</f>
        <v>7384.8799999999992</v>
      </c>
    </row>
    <row r="17" spans="1:11" ht="33.75" customHeight="1">
      <c r="A17" s="313"/>
      <c r="B17" s="1039" t="s">
        <v>239</v>
      </c>
      <c r="C17" s="1039"/>
      <c r="D17" s="1040"/>
      <c r="E17" s="301">
        <f ca="1">IF(AND(F17=0,G17=0),0,MAX($E$7:E16)+1)</f>
        <v>20</v>
      </c>
      <c r="F17" s="292">
        <f ca="1">'Sch - PL'!B68</f>
        <v>6952.6900000000005</v>
      </c>
      <c r="G17" s="316">
        <f>'Sch - PL'!C68</f>
        <v>-3782.2800000000007</v>
      </c>
    </row>
    <row r="18" spans="1:11">
      <c r="A18" s="313"/>
      <c r="B18" s="1037" t="s">
        <v>240</v>
      </c>
      <c r="C18" s="1037"/>
      <c r="D18" s="1038"/>
      <c r="E18" s="301">
        <f ca="1">IF(AND(F18=0,G18=0),0,MAX($E$7:E17)+1)</f>
        <v>21</v>
      </c>
      <c r="F18" s="292">
        <f ca="1">'Sch - PL'!B80</f>
        <v>0</v>
      </c>
      <c r="G18" s="316">
        <f>'Sch - PL'!C80</f>
        <v>9215.9</v>
      </c>
      <c r="J18" s="134"/>
    </row>
    <row r="19" spans="1:11">
      <c r="A19" s="313"/>
      <c r="B19" s="1037" t="s">
        <v>241</v>
      </c>
      <c r="C19" s="1037"/>
      <c r="D19" s="1038"/>
      <c r="E19" s="301">
        <f ca="1">IF(AND(F19=0,G19=0),0,MAX($E$7:E18)+1)</f>
        <v>0</v>
      </c>
      <c r="F19" s="292">
        <f ca="1">'Sch - PL'!B90</f>
        <v>0</v>
      </c>
      <c r="G19" s="316">
        <f>'Sch - PL'!C90</f>
        <v>0</v>
      </c>
    </row>
    <row r="20" spans="1:11">
      <c r="A20" s="313"/>
      <c r="B20" s="1037" t="s">
        <v>242</v>
      </c>
      <c r="C20" s="1037"/>
      <c r="D20" s="1038"/>
      <c r="E20" s="317">
        <f ca="1">BS!$E$31</f>
        <v>12</v>
      </c>
      <c r="F20" s="292">
        <f>Trial_2Cut!I208</f>
        <v>0</v>
      </c>
      <c r="G20" s="316">
        <v>5469.87</v>
      </c>
    </row>
    <row r="21" spans="1:11">
      <c r="A21" s="313"/>
      <c r="B21" s="1037" t="s">
        <v>243</v>
      </c>
      <c r="C21" s="1037"/>
      <c r="D21" s="1038"/>
      <c r="E21" s="301">
        <f ca="1">IF(AND(F21=0,G21=0),0,MAX($E$7:E20)+1)</f>
        <v>0</v>
      </c>
      <c r="F21" s="292">
        <f ca="1">'Sch - PL'!B144</f>
        <v>0</v>
      </c>
      <c r="G21" s="316">
        <f>'Sch - PL'!C144</f>
        <v>0</v>
      </c>
    </row>
    <row r="22" spans="1:11">
      <c r="A22" s="313"/>
      <c r="B22" s="1031"/>
      <c r="C22" s="1031"/>
      <c r="D22" s="1032"/>
      <c r="E22" s="317"/>
      <c r="F22" s="292"/>
      <c r="G22" s="316"/>
    </row>
    <row r="23" spans="1:11">
      <c r="A23" s="313"/>
      <c r="B23" s="1043" t="s">
        <v>121</v>
      </c>
      <c r="C23" s="1043"/>
      <c r="D23" s="1044"/>
      <c r="E23" s="317"/>
      <c r="F23" s="319">
        <f ca="1">SUM(F15:F21)</f>
        <v>6952.6900000000005</v>
      </c>
      <c r="G23" s="320">
        <f>SUM(G15:G21)</f>
        <v>18288.37</v>
      </c>
      <c r="H23" s="91"/>
    </row>
    <row r="24" spans="1:11">
      <c r="A24" s="313"/>
      <c r="B24" s="1031"/>
      <c r="C24" s="1031"/>
      <c r="D24" s="1032"/>
      <c r="E24" s="317"/>
      <c r="F24" s="292"/>
      <c r="G24" s="316"/>
    </row>
    <row r="25" spans="1:11">
      <c r="A25" s="313" t="s">
        <v>245</v>
      </c>
      <c r="B25" s="1043" t="s">
        <v>247</v>
      </c>
      <c r="C25" s="1043"/>
      <c r="D25" s="1044"/>
      <c r="E25" s="317"/>
      <c r="F25" s="319">
        <f ca="1">F12-F23</f>
        <v>-6952.6900000000005</v>
      </c>
      <c r="G25" s="320">
        <f>G12-G23</f>
        <v>1212875.9999999998</v>
      </c>
      <c r="H25" s="91"/>
      <c r="I25" s="91"/>
      <c r="K25" s="91"/>
    </row>
    <row r="26" spans="1:11" ht="9.75" customHeight="1">
      <c r="A26" s="313"/>
      <c r="B26" s="1031"/>
      <c r="C26" s="1031"/>
      <c r="D26" s="1032"/>
      <c r="E26" s="317"/>
      <c r="F26" s="292"/>
      <c r="G26" s="316"/>
      <c r="H26" s="91"/>
    </row>
    <row r="27" spans="1:11">
      <c r="A27" s="313" t="s">
        <v>246</v>
      </c>
      <c r="B27" s="1033" t="s">
        <v>248</v>
      </c>
      <c r="C27" s="1033"/>
      <c r="D27" s="1034"/>
      <c r="E27" s="317"/>
      <c r="F27" s="292">
        <v>0</v>
      </c>
      <c r="G27" s="316">
        <v>0</v>
      </c>
      <c r="H27" s="91"/>
    </row>
    <row r="28" spans="1:11" ht="9.75" customHeight="1">
      <c r="A28" s="313"/>
      <c r="B28" s="1031"/>
      <c r="C28" s="1031"/>
      <c r="D28" s="1032"/>
      <c r="E28" s="317"/>
      <c r="F28" s="292"/>
      <c r="G28" s="316"/>
      <c r="H28" s="91"/>
    </row>
    <row r="29" spans="1:11">
      <c r="A29" s="313" t="s">
        <v>249</v>
      </c>
      <c r="B29" s="1043" t="s">
        <v>250</v>
      </c>
      <c r="C29" s="1043"/>
      <c r="D29" s="1044"/>
      <c r="E29" s="317"/>
      <c r="F29" s="292">
        <f ca="1">F25-F27</f>
        <v>-6952.6900000000005</v>
      </c>
      <c r="G29" s="292">
        <f>G25-G27</f>
        <v>1212875.9999999998</v>
      </c>
      <c r="H29" s="91"/>
    </row>
    <row r="30" spans="1:11" ht="9.75" customHeight="1">
      <c r="A30" s="313"/>
      <c r="B30" s="1031"/>
      <c r="C30" s="1031"/>
      <c r="D30" s="1032"/>
      <c r="E30" s="317"/>
      <c r="F30" s="292"/>
      <c r="G30" s="316"/>
      <c r="H30" s="91"/>
    </row>
    <row r="31" spans="1:11">
      <c r="A31" s="313" t="s">
        <v>251</v>
      </c>
      <c r="B31" s="1033" t="s">
        <v>252</v>
      </c>
      <c r="C31" s="1033"/>
      <c r="D31" s="1034"/>
      <c r="E31" s="317"/>
      <c r="F31" s="292">
        <v>0</v>
      </c>
      <c r="G31" s="316">
        <v>0</v>
      </c>
      <c r="H31" s="91"/>
    </row>
    <row r="32" spans="1:11" ht="9.75" customHeight="1">
      <c r="A32" s="313"/>
      <c r="B32" s="1031"/>
      <c r="C32" s="1031"/>
      <c r="D32" s="1032"/>
      <c r="E32" s="317"/>
      <c r="F32" s="292"/>
      <c r="G32" s="316"/>
      <c r="H32" s="91"/>
    </row>
    <row r="33" spans="1:10">
      <c r="A33" s="313" t="s">
        <v>253</v>
      </c>
      <c r="B33" s="1033" t="s">
        <v>254</v>
      </c>
      <c r="C33" s="1033"/>
      <c r="D33" s="1034"/>
      <c r="E33" s="317"/>
      <c r="F33" s="292">
        <f ca="1">F29-F31</f>
        <v>-6952.6900000000005</v>
      </c>
      <c r="G33" s="292">
        <f>G29-G31</f>
        <v>1212875.9999999998</v>
      </c>
      <c r="H33" s="91"/>
      <c r="I33" s="2">
        <v>2416.13</v>
      </c>
      <c r="J33" s="487">
        <f ca="1">F33+I33</f>
        <v>-4536.5600000000004</v>
      </c>
    </row>
    <row r="34" spans="1:10" ht="9.75" hidden="1" customHeight="1">
      <c r="A34" s="313"/>
      <c r="B34" s="1031"/>
      <c r="C34" s="1031"/>
      <c r="D34" s="1032"/>
      <c r="E34" s="317"/>
      <c r="F34" s="292"/>
      <c r="G34" s="316"/>
      <c r="H34" s="91"/>
    </row>
    <row r="35" spans="1:10" ht="9.75" customHeight="1">
      <c r="A35" s="313"/>
      <c r="B35" s="1031"/>
      <c r="C35" s="1031"/>
      <c r="D35" s="1032"/>
      <c r="E35" s="317"/>
      <c r="F35" s="292"/>
      <c r="G35" s="316"/>
      <c r="H35" s="91"/>
    </row>
    <row r="36" spans="1:10">
      <c r="A36" s="313" t="s">
        <v>256</v>
      </c>
      <c r="B36" s="1033" t="s">
        <v>122</v>
      </c>
      <c r="C36" s="1033"/>
      <c r="D36" s="1034"/>
      <c r="E36" s="317"/>
      <c r="F36" s="292"/>
      <c r="G36" s="316"/>
      <c r="H36" s="91"/>
    </row>
    <row r="37" spans="1:10">
      <c r="A37" s="313"/>
      <c r="B37" s="1037" t="s">
        <v>109</v>
      </c>
      <c r="C37" s="1037"/>
      <c r="D37" s="1038"/>
      <c r="E37" s="317"/>
      <c r="F37" s="292">
        <f ca="1">+'Depr I.T, Deferd tax'!C68</f>
        <v>0</v>
      </c>
      <c r="G37" s="316"/>
      <c r="H37" s="91"/>
      <c r="I37" s="91"/>
    </row>
    <row r="38" spans="1:10">
      <c r="A38" s="313"/>
      <c r="B38" s="1037" t="s">
        <v>255</v>
      </c>
      <c r="C38" s="1037"/>
      <c r="D38" s="1038"/>
      <c r="E38" s="317"/>
      <c r="F38" s="292">
        <f>-'Sch - liab'!B55</f>
        <v>3720.9473999999991</v>
      </c>
      <c r="G38" s="292">
        <v>836.65300000000002</v>
      </c>
    </row>
    <row r="39" spans="1:10" ht="10.5" customHeight="1">
      <c r="A39" s="313"/>
      <c r="B39" s="1031"/>
      <c r="C39" s="1031"/>
      <c r="D39" s="1032"/>
      <c r="E39" s="317"/>
      <c r="F39" s="262"/>
      <c r="G39" s="316"/>
    </row>
    <row r="40" spans="1:10">
      <c r="A40" s="313" t="s">
        <v>258</v>
      </c>
      <c r="B40" s="1043" t="s">
        <v>257</v>
      </c>
      <c r="C40" s="1043"/>
      <c r="D40" s="1044"/>
      <c r="E40" s="317"/>
      <c r="F40" s="292">
        <f ca="1">F33-F37-F38</f>
        <v>-10673.6374</v>
      </c>
      <c r="G40" s="292">
        <f>G33-G37-G38</f>
        <v>1212039.3469999998</v>
      </c>
      <c r="H40" s="91"/>
    </row>
    <row r="41" spans="1:10">
      <c r="A41" s="313" t="s">
        <v>259</v>
      </c>
      <c r="B41" s="1043" t="s">
        <v>260</v>
      </c>
      <c r="C41" s="1043"/>
      <c r="D41" s="1044"/>
      <c r="E41" s="317"/>
      <c r="F41" s="319">
        <v>0</v>
      </c>
      <c r="G41" s="320">
        <v>0</v>
      </c>
      <c r="H41" s="91"/>
    </row>
    <row r="42" spans="1:10">
      <c r="A42" s="313" t="s">
        <v>261</v>
      </c>
      <c r="B42" s="1043" t="s">
        <v>262</v>
      </c>
      <c r="C42" s="1043"/>
      <c r="D42" s="1044"/>
      <c r="E42" s="317"/>
      <c r="F42" s="319">
        <v>0</v>
      </c>
      <c r="G42" s="320">
        <v>0</v>
      </c>
      <c r="H42" s="91"/>
    </row>
    <row r="43" spans="1:10">
      <c r="A43" s="313" t="s">
        <v>263</v>
      </c>
      <c r="B43" s="1043" t="s">
        <v>264</v>
      </c>
      <c r="C43" s="1043"/>
      <c r="D43" s="1044"/>
      <c r="E43" s="317"/>
      <c r="F43" s="319">
        <v>0</v>
      </c>
      <c r="G43" s="320">
        <v>0</v>
      </c>
      <c r="H43" s="91"/>
    </row>
    <row r="44" spans="1:10">
      <c r="A44" s="313"/>
      <c r="B44" s="1031"/>
      <c r="C44" s="1031"/>
      <c r="D44" s="1032"/>
      <c r="E44" s="317"/>
      <c r="F44" s="319"/>
      <c r="G44" s="320"/>
      <c r="H44" s="91"/>
    </row>
    <row r="45" spans="1:10">
      <c r="A45" s="313" t="s">
        <v>265</v>
      </c>
      <c r="B45" s="1045" t="s">
        <v>266</v>
      </c>
      <c r="C45" s="1045"/>
      <c r="D45" s="1046"/>
      <c r="E45" s="317"/>
      <c r="F45" s="319">
        <f ca="1">F40+F41+F42+F43</f>
        <v>-10673.6374</v>
      </c>
      <c r="G45" s="319">
        <f>G40+G41+G42+G43</f>
        <v>1212039.3469999998</v>
      </c>
      <c r="H45" s="91"/>
    </row>
    <row r="46" spans="1:10" ht="9" customHeight="1">
      <c r="A46" s="313"/>
      <c r="B46" s="1031"/>
      <c r="C46" s="1031"/>
      <c r="D46" s="1032"/>
      <c r="E46" s="317"/>
      <c r="F46" s="319"/>
      <c r="G46" s="320"/>
      <c r="H46" s="91"/>
    </row>
    <row r="47" spans="1:10">
      <c r="A47" s="313" t="s">
        <v>267</v>
      </c>
      <c r="B47" s="1047" t="s">
        <v>485</v>
      </c>
      <c r="C47" s="1047"/>
      <c r="D47" s="1048"/>
      <c r="E47" s="317"/>
      <c r="F47" s="319"/>
      <c r="G47" s="320"/>
      <c r="H47" s="91"/>
    </row>
    <row r="48" spans="1:10">
      <c r="A48" s="313"/>
      <c r="B48" s="1047" t="s">
        <v>486</v>
      </c>
      <c r="C48" s="1047"/>
      <c r="D48" s="1048"/>
      <c r="E48" s="317"/>
      <c r="F48" s="319">
        <f ca="1">F45/'Sch - liab (2)'!B13</f>
        <v>-106.736374</v>
      </c>
      <c r="G48" s="319">
        <f>G40/'Sch - liab (2)'!D13</f>
        <v>12120.393469999999</v>
      </c>
      <c r="H48" s="91"/>
    </row>
    <row r="49" spans="1:8" ht="16.5" customHeight="1">
      <c r="A49" s="411"/>
      <c r="B49" s="1049" t="s">
        <v>487</v>
      </c>
      <c r="C49" s="1049"/>
      <c r="D49" s="1050"/>
      <c r="E49" s="321"/>
      <c r="F49" s="322">
        <f ca="1">F45/'Sch - liab (2)'!B13</f>
        <v>-106.736374</v>
      </c>
      <c r="G49" s="322">
        <f>G40/'Sch - liab (2)'!D13</f>
        <v>12120.393469999999</v>
      </c>
      <c r="H49" s="91"/>
    </row>
    <row r="50" spans="1:8" ht="14.25" customHeight="1">
      <c r="A50" s="297" t="s">
        <v>79</v>
      </c>
      <c r="B50" s="298"/>
      <c r="C50" s="298"/>
      <c r="D50" s="298"/>
      <c r="E50" s="298"/>
      <c r="F50" s="309"/>
      <c r="G50" s="309"/>
    </row>
    <row r="51" spans="1:8" ht="15.75" customHeight="1">
      <c r="A51" s="298" t="s">
        <v>1724</v>
      </c>
      <c r="B51" s="298"/>
      <c r="C51" s="298"/>
      <c r="D51" s="298"/>
      <c r="E51" s="298"/>
      <c r="F51" s="298"/>
      <c r="G51" s="298"/>
    </row>
    <row r="52" spans="1:8" ht="15.75" customHeight="1">
      <c r="A52" s="614" t="str">
        <f>"For "&amp;Master!$B$54</f>
        <v>For A XXXXXXXXXXXociates</v>
      </c>
      <c r="B52" s="311"/>
      <c r="C52" s="311"/>
      <c r="D52" s="311"/>
      <c r="E52" s="90"/>
      <c r="F52" s="1029" t="s">
        <v>1730</v>
      </c>
      <c r="G52" s="1029"/>
    </row>
    <row r="53" spans="1:8" ht="15.75" customHeight="1">
      <c r="A53" s="615" t="s">
        <v>119</v>
      </c>
      <c r="B53" s="311"/>
      <c r="C53" s="311"/>
      <c r="D53" s="311"/>
      <c r="E53" s="657"/>
      <c r="F53" s="1029" t="str">
        <f>PROPER($A$1)</f>
        <v>Abc Private Limited</v>
      </c>
      <c r="G53" s="1029"/>
    </row>
    <row r="54" spans="1:8">
      <c r="A54" s="1030" t="s">
        <v>1726</v>
      </c>
      <c r="B54" s="1030"/>
      <c r="C54" s="311" t="str">
        <f>": "&amp;Master!$B$58</f>
        <v>: XXXXXXXXX</v>
      </c>
      <c r="D54" s="311"/>
      <c r="E54" s="311"/>
      <c r="F54" s="311"/>
      <c r="G54" s="470"/>
    </row>
    <row r="55" spans="1:8">
      <c r="A55" s="615"/>
      <c r="B55" s="311"/>
      <c r="C55" s="311"/>
      <c r="D55" s="311"/>
      <c r="E55" s="311"/>
      <c r="F55" s="311"/>
      <c r="G55" s="470"/>
    </row>
    <row r="56" spans="1:8">
      <c r="A56" s="615"/>
      <c r="B56" s="311"/>
      <c r="C56" s="311"/>
      <c r="D56" s="311"/>
      <c r="E56" s="311"/>
      <c r="F56" s="311"/>
      <c r="G56" s="470"/>
    </row>
    <row r="57" spans="1:8">
      <c r="A57" s="615"/>
      <c r="B57" s="311"/>
      <c r="C57" s="311"/>
      <c r="D57" s="311"/>
      <c r="E57" s="311"/>
      <c r="F57" s="311"/>
      <c r="G57" s="470"/>
    </row>
    <row r="58" spans="1:8">
      <c r="A58" s="477" t="str">
        <f>Master!$B$59</f>
        <v>Akshay Garg</v>
      </c>
      <c r="B58" s="311"/>
      <c r="C58" s="311"/>
      <c r="D58" s="311"/>
      <c r="E58" s="311"/>
      <c r="F58" s="657" t="str">
        <f>Master!$B$34</f>
        <v>Director 1</v>
      </c>
      <c r="G58" s="657" t="str">
        <f>Master!$B$36</f>
        <v>Director 2</v>
      </c>
    </row>
    <row r="59" spans="1:8">
      <c r="A59" s="477" t="str">
        <f>Master!$B$60</f>
        <v>Partner</v>
      </c>
      <c r="B59" s="311"/>
      <c r="C59" s="311"/>
      <c r="D59" s="311"/>
      <c r="E59" s="298"/>
      <c r="F59" s="663" t="s">
        <v>205</v>
      </c>
      <c r="G59" s="663" t="s">
        <v>205</v>
      </c>
    </row>
    <row r="60" spans="1:8">
      <c r="A60" s="1030" t="s">
        <v>1727</v>
      </c>
      <c r="B60" s="1030"/>
      <c r="C60" s="311" t="str">
        <f>": "&amp;Master!$B$63</f>
        <v>: XXXXXX</v>
      </c>
      <c r="D60" s="311"/>
      <c r="E60" s="298"/>
      <c r="F60" s="658" t="str">
        <f>"DIN - "&amp;Master!$B$35</f>
        <v>DIN - 00XXXX70</v>
      </c>
      <c r="G60" s="658" t="str">
        <f>"DIN - "&amp;Master!$B$37</f>
        <v>DIN - 00XXXX70</v>
      </c>
    </row>
    <row r="61" spans="1:8">
      <c r="A61" s="1030" t="s">
        <v>980</v>
      </c>
      <c r="B61" s="1030"/>
      <c r="C61" s="311" t="str">
        <f>": "&amp;TEXT(Master!$B$61,"mmmm dd, yyyy")</f>
        <v>: September 01, 2023</v>
      </c>
      <c r="D61" s="311"/>
      <c r="E61" s="311"/>
      <c r="F61" s="90"/>
      <c r="G61" s="90"/>
    </row>
    <row r="62" spans="1:8">
      <c r="A62" s="1030" t="s">
        <v>1728</v>
      </c>
      <c r="B62" s="1030"/>
      <c r="C62" s="311" t="str">
        <f>": "&amp;Master!$B$62</f>
        <v>: Delhi</v>
      </c>
      <c r="D62" s="477"/>
      <c r="E62" s="311"/>
      <c r="F62" s="311"/>
      <c r="G62" s="311"/>
    </row>
    <row r="63" spans="1:8">
      <c r="A63" s="1030" t="s">
        <v>1729</v>
      </c>
      <c r="B63" s="1030"/>
      <c r="C63" s="311" t="str">
        <f>": "&amp;Master!$B$64</f>
        <v xml:space="preserve">: </v>
      </c>
      <c r="D63" s="356"/>
      <c r="E63" s="359"/>
      <c r="F63" s="293"/>
      <c r="G63" s="293"/>
    </row>
    <row r="64" spans="1:8">
      <c r="A64" s="2"/>
      <c r="B64" s="2"/>
      <c r="C64" s="2"/>
      <c r="E64" s="12"/>
      <c r="F64" s="30"/>
      <c r="G64" s="21"/>
    </row>
    <row r="65" spans="1:7">
      <c r="A65" s="13"/>
      <c r="B65" s="13"/>
      <c r="C65" s="13"/>
      <c r="D65" s="1"/>
      <c r="E65" s="15"/>
    </row>
    <row r="66" spans="1:7">
      <c r="A66" s="13"/>
      <c r="B66" s="13"/>
      <c r="C66" s="13"/>
      <c r="E66" s="15"/>
    </row>
    <row r="67" spans="1:7">
      <c r="A67" s="13"/>
      <c r="B67" s="13"/>
      <c r="C67" s="13"/>
      <c r="D67" s="1"/>
      <c r="E67" s="15"/>
      <c r="G67" s="22"/>
    </row>
    <row r="68" spans="1:7">
      <c r="A68" s="13"/>
      <c r="B68" s="13"/>
      <c r="C68" s="13"/>
      <c r="D68" s="14"/>
      <c r="E68" s="15"/>
      <c r="G68" s="22"/>
    </row>
    <row r="69" spans="1:7" ht="18" customHeight="1">
      <c r="A69" s="1035"/>
      <c r="B69" s="1035"/>
      <c r="C69" s="1035"/>
      <c r="D69" s="1035"/>
      <c r="E69" s="1035"/>
      <c r="F69" s="1035"/>
      <c r="G69" s="1035"/>
    </row>
    <row r="70" spans="1:7">
      <c r="A70" s="1"/>
      <c r="B70" s="1"/>
      <c r="C70" s="1"/>
      <c r="D70" s="1"/>
      <c r="E70" s="1"/>
      <c r="F70" s="81"/>
      <c r="G70" s="9"/>
    </row>
    <row r="71" spans="1:7">
      <c r="A71" s="1"/>
      <c r="B71" s="1"/>
      <c r="C71" s="1"/>
      <c r="D71" s="1"/>
      <c r="E71" s="1"/>
      <c r="F71" s="81"/>
      <c r="G71" s="9"/>
    </row>
    <row r="72" spans="1:7">
      <c r="A72" s="1036"/>
      <c r="B72" s="1036"/>
      <c r="C72" s="1036"/>
      <c r="D72" s="1036"/>
      <c r="E72" s="23"/>
      <c r="F72" s="83"/>
      <c r="G72" s="24"/>
    </row>
    <row r="73" spans="1:7">
      <c r="A73" s="13"/>
      <c r="B73" s="13"/>
      <c r="C73" s="13"/>
      <c r="D73" s="13"/>
      <c r="E73" s="23"/>
      <c r="F73" s="84"/>
      <c r="G73" s="25"/>
    </row>
    <row r="74" spans="1:7" ht="39.6" customHeight="1">
      <c r="A74" s="13"/>
      <c r="B74" s="13"/>
      <c r="C74" s="13"/>
      <c r="D74" s="14"/>
      <c r="E74" s="15"/>
    </row>
    <row r="75" spans="1:7">
      <c r="A75" s="13"/>
      <c r="B75" s="13"/>
      <c r="C75" s="13"/>
      <c r="D75" s="3"/>
      <c r="E75" s="15"/>
    </row>
    <row r="76" spans="1:7">
      <c r="A76" s="13"/>
      <c r="B76" s="13"/>
      <c r="C76" s="13"/>
      <c r="D76" s="26"/>
      <c r="E76" s="15"/>
    </row>
    <row r="77" spans="1:7">
      <c r="A77" s="13"/>
      <c r="B77" s="13"/>
      <c r="C77" s="13"/>
      <c r="D77" s="26"/>
      <c r="E77" s="15"/>
    </row>
    <row r="78" spans="1:7">
      <c r="A78" s="13"/>
      <c r="B78" s="13"/>
      <c r="C78" s="13"/>
      <c r="D78" s="3"/>
      <c r="E78" s="15"/>
    </row>
    <row r="79" spans="1:7">
      <c r="A79" s="13"/>
      <c r="B79" s="13"/>
      <c r="C79" s="13"/>
      <c r="D79" s="26"/>
      <c r="E79" s="15"/>
    </row>
    <row r="80" spans="1:7">
      <c r="A80" s="13"/>
      <c r="B80" s="13"/>
      <c r="C80" s="13"/>
      <c r="D80" s="26"/>
      <c r="E80" s="15"/>
    </row>
    <row r="81" spans="1:7">
      <c r="A81" s="13"/>
      <c r="B81" s="13"/>
      <c r="C81" s="13"/>
      <c r="E81" s="15"/>
    </row>
    <row r="82" spans="1:7" ht="13.15" customHeight="1">
      <c r="A82" s="13"/>
      <c r="B82" s="13"/>
      <c r="C82" s="13"/>
      <c r="D82" s="14"/>
      <c r="E82" s="15"/>
    </row>
    <row r="83" spans="1:7">
      <c r="A83" s="13"/>
      <c r="B83" s="13"/>
      <c r="C83" s="13"/>
      <c r="D83" s="3"/>
      <c r="E83" s="15"/>
    </row>
    <row r="84" spans="1:7">
      <c r="A84" s="13"/>
      <c r="B84" s="13"/>
      <c r="C84" s="13"/>
      <c r="D84" s="26"/>
      <c r="E84" s="15"/>
    </row>
    <row r="85" spans="1:7">
      <c r="A85" s="13"/>
      <c r="B85" s="13"/>
      <c r="C85" s="13"/>
      <c r="D85" s="26"/>
      <c r="E85" s="15"/>
    </row>
    <row r="86" spans="1:7">
      <c r="A86" s="13"/>
      <c r="B86" s="13"/>
      <c r="C86" s="13"/>
      <c r="D86" s="3"/>
      <c r="E86" s="15"/>
    </row>
    <row r="87" spans="1:7">
      <c r="A87" s="13"/>
      <c r="B87" s="13"/>
      <c r="C87" s="13"/>
      <c r="D87" s="26"/>
      <c r="E87" s="15"/>
    </row>
    <row r="88" spans="1:7">
      <c r="A88" s="13"/>
      <c r="B88" s="13"/>
      <c r="C88" s="13"/>
      <c r="D88" s="26"/>
      <c r="E88" s="15"/>
    </row>
    <row r="89" spans="1:7">
      <c r="A89" s="13"/>
      <c r="B89" s="13"/>
      <c r="C89" s="13"/>
      <c r="E89" s="15"/>
    </row>
    <row r="90" spans="1:7">
      <c r="A90" s="13"/>
      <c r="B90" s="13"/>
      <c r="C90" s="13"/>
      <c r="D90" s="14"/>
      <c r="E90" s="14"/>
      <c r="F90" s="85"/>
    </row>
    <row r="91" spans="1:7">
      <c r="A91" s="12"/>
      <c r="B91" s="12"/>
      <c r="C91" s="12"/>
      <c r="F91" s="30"/>
      <c r="G91" s="5"/>
    </row>
    <row r="92" spans="1:7">
      <c r="A92" s="7"/>
      <c r="B92" s="7"/>
      <c r="C92" s="7"/>
      <c r="D92" s="16"/>
      <c r="E92" s="1"/>
      <c r="F92" s="28"/>
      <c r="G92" s="8"/>
    </row>
    <row r="93" spans="1:7">
      <c r="A93" s="12"/>
      <c r="B93" s="12"/>
      <c r="C93" s="12"/>
      <c r="D93" s="16"/>
      <c r="E93" s="17"/>
      <c r="F93" s="30"/>
      <c r="G93" s="20"/>
    </row>
    <row r="94" spans="1:7">
      <c r="A94" s="17"/>
      <c r="B94" s="17"/>
      <c r="C94" s="17"/>
      <c r="D94" s="16"/>
      <c r="E94" s="17"/>
      <c r="F94" s="30"/>
      <c r="G94" s="5"/>
    </row>
    <row r="95" spans="1:7">
      <c r="A95" s="17"/>
      <c r="B95" s="17"/>
      <c r="C95" s="17"/>
      <c r="D95" s="16"/>
      <c r="E95" s="17"/>
      <c r="F95" s="30"/>
      <c r="G95" s="5"/>
    </row>
    <row r="96" spans="1:7">
      <c r="A96" s="7"/>
      <c r="B96" s="7"/>
      <c r="C96" s="7"/>
      <c r="D96" s="16"/>
      <c r="E96" s="7"/>
      <c r="F96" s="30"/>
      <c r="G96" s="9"/>
    </row>
    <row r="97" spans="1:7">
      <c r="A97" s="7"/>
      <c r="B97" s="7"/>
      <c r="C97" s="7"/>
      <c r="D97" s="18"/>
      <c r="E97" s="7"/>
      <c r="F97" s="30"/>
      <c r="G97" s="9"/>
    </row>
    <row r="98" spans="1:7">
      <c r="A98" s="19"/>
      <c r="B98" s="19"/>
      <c r="C98" s="19"/>
      <c r="D98" s="18"/>
      <c r="E98" s="19"/>
      <c r="F98" s="30"/>
      <c r="G98" s="20"/>
    </row>
    <row r="99" spans="1:7">
      <c r="A99" s="19"/>
      <c r="B99" s="19"/>
      <c r="C99" s="19"/>
      <c r="D99" s="18"/>
      <c r="E99" s="7"/>
      <c r="G99" s="11"/>
    </row>
    <row r="100" spans="1:7">
      <c r="A100" s="17"/>
      <c r="B100" s="17"/>
      <c r="C100" s="17"/>
      <c r="D100" s="16"/>
      <c r="E100" s="17"/>
      <c r="F100" s="30"/>
      <c r="G100" s="20"/>
    </row>
    <row r="101" spans="1:7">
      <c r="D101" s="16"/>
      <c r="E101" s="12"/>
      <c r="F101" s="30"/>
      <c r="G101" s="21"/>
    </row>
    <row r="102" spans="1:7">
      <c r="A102" s="12"/>
      <c r="B102" s="12"/>
      <c r="C102" s="12"/>
      <c r="E102" s="12"/>
      <c r="F102" s="30"/>
      <c r="G102" s="21"/>
    </row>
  </sheetData>
  <mergeCells count="51">
    <mergeCell ref="B45:D45"/>
    <mergeCell ref="B46:D46"/>
    <mergeCell ref="B47:D47"/>
    <mergeCell ref="B48:D48"/>
    <mergeCell ref="B49:D49"/>
    <mergeCell ref="B40:D40"/>
    <mergeCell ref="B41:D41"/>
    <mergeCell ref="B42:D42"/>
    <mergeCell ref="B43:D43"/>
    <mergeCell ref="B44:D44"/>
    <mergeCell ref="B35:D35"/>
    <mergeCell ref="B36:D36"/>
    <mergeCell ref="B37:D37"/>
    <mergeCell ref="B38:D38"/>
    <mergeCell ref="B39:D39"/>
    <mergeCell ref="B30:D30"/>
    <mergeCell ref="B31:D31"/>
    <mergeCell ref="B32:D32"/>
    <mergeCell ref="B33:D33"/>
    <mergeCell ref="B34:D34"/>
    <mergeCell ref="B25:D25"/>
    <mergeCell ref="B26:D26"/>
    <mergeCell ref="B27:D27"/>
    <mergeCell ref="B28:D28"/>
    <mergeCell ref="B29:D29"/>
    <mergeCell ref="B20:D20"/>
    <mergeCell ref="B21:D21"/>
    <mergeCell ref="B22:D22"/>
    <mergeCell ref="B23:D23"/>
    <mergeCell ref="B24:D24"/>
    <mergeCell ref="B8:D8"/>
    <mergeCell ref="B9:D9"/>
    <mergeCell ref="B10:D10"/>
    <mergeCell ref="B11:D11"/>
    <mergeCell ref="B12:D12"/>
    <mergeCell ref="B13:D13"/>
    <mergeCell ref="B14:D14"/>
    <mergeCell ref="A69:G69"/>
    <mergeCell ref="A72:D72"/>
    <mergeCell ref="F52:G52"/>
    <mergeCell ref="F53:G53"/>
    <mergeCell ref="A54:B54"/>
    <mergeCell ref="A60:B60"/>
    <mergeCell ref="A61:B61"/>
    <mergeCell ref="A63:B63"/>
    <mergeCell ref="A62:B62"/>
    <mergeCell ref="B15:D15"/>
    <mergeCell ref="B16:D16"/>
    <mergeCell ref="B17:D17"/>
    <mergeCell ref="B18:D18"/>
    <mergeCell ref="B19:D19"/>
  </mergeCells>
  <phoneticPr fontId="10" type="noConversion"/>
  <conditionalFormatting sqref="E8:E10">
    <cfRule type="cellIs" dxfId="6" priority="3" operator="equal">
      <formula>0</formula>
    </cfRule>
  </conditionalFormatting>
  <conditionalFormatting sqref="E15:E19">
    <cfRule type="cellIs" dxfId="5" priority="2" operator="equal">
      <formula>0</formula>
    </cfRule>
  </conditionalFormatting>
  <conditionalFormatting sqref="E21">
    <cfRule type="cellIs" dxfId="4" priority="1" operator="equal">
      <formula>0</formula>
    </cfRule>
  </conditionalFormatting>
  <conditionalFormatting sqref="F50:G50">
    <cfRule type="cellIs" dxfId="3" priority="4" operator="equal">
      <formula>0</formula>
    </cfRule>
  </conditionalFormatting>
  <printOptions horizontalCentered="1"/>
  <pageMargins left="0.7" right="0.7" top="0.75" bottom="0.75" header="0.3" footer="0.3"/>
  <pageSetup paperSize="9" scale="64" orientation="portrait" r:id="rId1"/>
  <rowBreaks count="1" manualBreakCount="1">
    <brk id="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64"/>
  <sheetViews>
    <sheetView showGridLines="0" view="pageBreakPreview" zoomScaleSheetLayoutView="100" workbookViewId="0">
      <selection activeCell="B12" sqref="B12"/>
    </sheetView>
  </sheetViews>
  <sheetFormatPr defaultRowHeight="15.75"/>
  <cols>
    <col min="1" max="1" width="35.28515625" style="27" customWidth="1"/>
    <col min="2" max="2" width="24" style="27" customWidth="1"/>
    <col min="3" max="3" width="24.28515625" style="29" bestFit="1" customWidth="1"/>
    <col min="4" max="4" width="22" style="27" customWidth="1"/>
    <col min="5" max="5" width="29.28515625" style="27" customWidth="1"/>
    <col min="6" max="16384" width="9.140625" style="27"/>
  </cols>
  <sheetData>
    <row r="1" spans="1:5">
      <c r="A1" s="1058" t="str">
        <f>BS!A1</f>
        <v>ABC PRIVATE LIMITED</v>
      </c>
      <c r="B1" s="1059"/>
      <c r="C1" s="1059"/>
      <c r="D1" s="1059"/>
      <c r="E1" s="1059"/>
    </row>
    <row r="2" spans="1:5">
      <c r="A2" s="1059" t="s">
        <v>106</v>
      </c>
      <c r="B2" s="1059"/>
      <c r="C2" s="1059"/>
      <c r="D2" s="1059"/>
      <c r="E2" s="1059"/>
    </row>
    <row r="3" spans="1:5">
      <c r="A3" s="481"/>
      <c r="B3" s="481"/>
      <c r="C3" s="481"/>
      <c r="D3" s="481"/>
      <c r="E3" s="481"/>
    </row>
    <row r="4" spans="1:5">
      <c r="A4" s="356" t="str">
        <f>"Note -"&amp;BS!$E$10&amp;". SHARE CAPITAL"</f>
        <v>Note -2. SHARE CAPITAL</v>
      </c>
      <c r="B4" s="328"/>
      <c r="C4" s="329"/>
      <c r="D4" s="298"/>
      <c r="E4" s="297"/>
    </row>
    <row r="5" spans="1:5" ht="15" customHeight="1">
      <c r="A5" s="573" t="s">
        <v>63</v>
      </c>
      <c r="B5" s="1060" t="str">
        <f>BS!F5</f>
        <v>March 2023</v>
      </c>
      <c r="C5" s="1060"/>
      <c r="D5" s="1060" t="str">
        <f>BS!G5</f>
        <v>March 2022</v>
      </c>
      <c r="E5" s="1060"/>
    </row>
    <row r="6" spans="1:5" ht="25.5">
      <c r="A6" s="574"/>
      <c r="B6" s="575" t="s">
        <v>1766</v>
      </c>
      <c r="C6" s="576" t="str">
        <f>PL!F6</f>
        <v>Rs. In Thousands</v>
      </c>
      <c r="D6" s="575" t="s">
        <v>1766</v>
      </c>
      <c r="E6" s="576" t="str">
        <f>PL!F6</f>
        <v>Rs. In Thousands</v>
      </c>
    </row>
    <row r="7" spans="1:5" ht="16.5" thickBot="1">
      <c r="A7" s="308" t="s">
        <v>96</v>
      </c>
      <c r="B7" s="330">
        <f>SUM(B8:B9)</f>
        <v>100</v>
      </c>
      <c r="C7" s="330">
        <f>SUM(C8:C9)</f>
        <v>1000</v>
      </c>
      <c r="D7" s="330">
        <f>SUM(D8:D9)</f>
        <v>100</v>
      </c>
      <c r="E7" s="330">
        <f>SUM(E8:E9)</f>
        <v>1000</v>
      </c>
    </row>
    <row r="8" spans="1:5" ht="39" thickTop="1">
      <c r="A8" s="977" t="s">
        <v>1826</v>
      </c>
      <c r="B8" s="331">
        <v>100</v>
      </c>
      <c r="C8" s="332">
        <v>1000</v>
      </c>
      <c r="D8" s="331">
        <v>100</v>
      </c>
      <c r="E8" s="332">
        <v>1000</v>
      </c>
    </row>
    <row r="9" spans="1:5">
      <c r="A9" s="302"/>
      <c r="B9" s="331"/>
      <c r="C9" s="332"/>
      <c r="D9" s="325"/>
      <c r="E9" s="310"/>
    </row>
    <row r="10" spans="1:5" ht="26.25" thickBot="1">
      <c r="A10" s="630" t="s">
        <v>98</v>
      </c>
      <c r="B10" s="330">
        <f>SUM(B11:B12)</f>
        <v>100</v>
      </c>
      <c r="C10" s="330">
        <f>SUM(C11:C12)</f>
        <v>1000</v>
      </c>
      <c r="D10" s="330">
        <f>SUM(D11:D12)</f>
        <v>100</v>
      </c>
      <c r="E10" s="330">
        <f>SUM(E11:E12)</f>
        <v>1000</v>
      </c>
    </row>
    <row r="11" spans="1:5" ht="26.25" thickTop="1">
      <c r="A11" s="977" t="s">
        <v>1827</v>
      </c>
      <c r="B11" s="331">
        <v>100</v>
      </c>
      <c r="C11" s="332">
        <v>1000</v>
      </c>
      <c r="D11" s="331">
        <v>100</v>
      </c>
      <c r="E11" s="332">
        <v>1000</v>
      </c>
    </row>
    <row r="12" spans="1:5">
      <c r="A12" s="333"/>
      <c r="B12" s="331"/>
      <c r="C12" s="332"/>
      <c r="D12" s="325"/>
      <c r="E12" s="310"/>
    </row>
    <row r="13" spans="1:5">
      <c r="A13" s="269" t="s">
        <v>88</v>
      </c>
      <c r="B13" s="334">
        <f>SUM(B11:B12)</f>
        <v>100</v>
      </c>
      <c r="C13" s="334">
        <f>SUM(C11:C12)</f>
        <v>1000</v>
      </c>
      <c r="D13" s="334">
        <f>SUM(D11:D12)</f>
        <v>100</v>
      </c>
      <c r="E13" s="334">
        <f>SUM(E11:E12)</f>
        <v>1000</v>
      </c>
    </row>
    <row r="14" spans="1:5">
      <c r="A14" s="1061" t="s">
        <v>117</v>
      </c>
      <c r="B14" s="1061"/>
      <c r="C14" s="1061"/>
      <c r="D14" s="1061"/>
      <c r="E14" s="1061"/>
    </row>
    <row r="15" spans="1:5" ht="26.25">
      <c r="A15" s="335" t="s">
        <v>114</v>
      </c>
      <c r="B15" s="455" t="s">
        <v>1767</v>
      </c>
      <c r="C15" s="336" t="s">
        <v>0</v>
      </c>
      <c r="D15" s="455" t="s">
        <v>1768</v>
      </c>
      <c r="E15" s="335" t="s">
        <v>115</v>
      </c>
    </row>
    <row r="16" spans="1:5">
      <c r="A16" s="978" t="s">
        <v>1900</v>
      </c>
      <c r="B16" s="452">
        <v>85.85</v>
      </c>
      <c r="C16" s="1011">
        <f>B16/$B$13</f>
        <v>0.85849999999999993</v>
      </c>
      <c r="D16" s="453">
        <v>10</v>
      </c>
      <c r="E16" s="337">
        <f>B16*D16</f>
        <v>858.5</v>
      </c>
    </row>
    <row r="17" spans="1:5">
      <c r="A17" s="338" t="s">
        <v>1900</v>
      </c>
      <c r="B17" s="384">
        <v>6.09</v>
      </c>
      <c r="C17" s="1012">
        <f>B17/$B$13</f>
        <v>6.0899999999999996E-2</v>
      </c>
      <c r="D17" s="454">
        <v>10</v>
      </c>
      <c r="E17" s="340">
        <f t="shared" ref="E17" si="0">B17*D17</f>
        <v>60.9</v>
      </c>
    </row>
    <row r="18" spans="1:5">
      <c r="A18" s="341"/>
      <c r="B18" s="342"/>
      <c r="C18" s="343"/>
      <c r="D18" s="344"/>
      <c r="E18" s="345"/>
    </row>
    <row r="19" spans="1:5">
      <c r="A19" s="346" t="s">
        <v>73</v>
      </c>
      <c r="B19" s="347">
        <f>SUM(B16:B18)</f>
        <v>91.94</v>
      </c>
      <c r="C19" s="348">
        <f>SUM(C16:C18)</f>
        <v>0.91939999999999988</v>
      </c>
      <c r="D19" s="349"/>
      <c r="E19" s="350">
        <f>SUM(E16:E18)</f>
        <v>919.4</v>
      </c>
    </row>
    <row r="20" spans="1:5">
      <c r="A20" s="351"/>
      <c r="B20" s="351"/>
      <c r="C20" s="352"/>
      <c r="D20" s="351"/>
      <c r="E20" s="353"/>
    </row>
    <row r="21" spans="1:5">
      <c r="A21" s="351"/>
      <c r="B21" s="351"/>
      <c r="C21" s="352"/>
      <c r="D21" s="351"/>
      <c r="E21" s="353"/>
    </row>
    <row r="22" spans="1:5">
      <c r="A22" s="420" t="s">
        <v>488</v>
      </c>
      <c r="B22" s="354"/>
      <c r="C22" s="358"/>
      <c r="D22" s="354"/>
      <c r="E22" s="354"/>
    </row>
    <row r="23" spans="1:5">
      <c r="A23" s="1055" t="s">
        <v>299</v>
      </c>
      <c r="B23" s="1056"/>
      <c r="C23" s="1056"/>
      <c r="D23" s="1056"/>
      <c r="E23" s="1057"/>
    </row>
    <row r="24" spans="1:5" ht="26.25">
      <c r="A24" s="577" t="s">
        <v>289</v>
      </c>
      <c r="B24" s="414" t="s">
        <v>489</v>
      </c>
      <c r="C24" s="578" t="s">
        <v>1769</v>
      </c>
      <c r="D24" s="414" t="s">
        <v>291</v>
      </c>
      <c r="E24" s="414" t="s">
        <v>292</v>
      </c>
    </row>
    <row r="25" spans="1:5">
      <c r="A25" s="579">
        <v>1</v>
      </c>
      <c r="B25" s="580" t="s">
        <v>1900</v>
      </c>
      <c r="C25" s="581">
        <v>85.85</v>
      </c>
      <c r="D25" s="582">
        <v>0.88015173262251367</v>
      </c>
      <c r="E25" s="582">
        <v>0</v>
      </c>
    </row>
    <row r="26" spans="1:5">
      <c r="A26" s="579">
        <v>2</v>
      </c>
      <c r="B26" s="580" t="s">
        <v>1900</v>
      </c>
      <c r="C26" s="581">
        <v>6.09</v>
      </c>
      <c r="D26" s="582">
        <v>6.2435923723600566E-2</v>
      </c>
      <c r="E26" s="582">
        <v>0</v>
      </c>
    </row>
    <row r="27" spans="1:5">
      <c r="A27" s="579">
        <v>3</v>
      </c>
      <c r="B27" s="580" t="s">
        <v>1900</v>
      </c>
      <c r="C27" s="581">
        <v>2.8</v>
      </c>
      <c r="D27" s="582">
        <v>2.8706171826942788E-2</v>
      </c>
      <c r="E27" s="582">
        <v>0</v>
      </c>
    </row>
    <row r="28" spans="1:5">
      <c r="A28" s="579">
        <v>4</v>
      </c>
      <c r="B28" s="580" t="s">
        <v>1900</v>
      </c>
      <c r="C28" s="581">
        <v>2.8</v>
      </c>
      <c r="D28" s="582">
        <v>2.8706171826942788E-2</v>
      </c>
      <c r="E28" s="582">
        <v>0</v>
      </c>
    </row>
    <row r="29" spans="1:5">
      <c r="A29" s="583"/>
      <c r="B29" s="584"/>
      <c r="C29" s="585"/>
      <c r="D29" s="584"/>
      <c r="E29" s="584"/>
    </row>
    <row r="30" spans="1:5">
      <c r="A30" s="354"/>
      <c r="B30" s="354"/>
      <c r="C30" s="358"/>
      <c r="D30" s="354"/>
      <c r="E30" s="354"/>
    </row>
    <row r="31" spans="1:5">
      <c r="A31" s="1054" t="s">
        <v>300</v>
      </c>
      <c r="B31" s="1054"/>
      <c r="C31" s="1054"/>
      <c r="D31" s="1054"/>
      <c r="E31" s="1054"/>
    </row>
    <row r="32" spans="1:5">
      <c r="A32" s="577" t="s">
        <v>289</v>
      </c>
      <c r="B32" s="586" t="str">
        <f>B24</f>
        <v>Promoter's Name</v>
      </c>
      <c r="C32" s="586" t="s">
        <v>290</v>
      </c>
      <c r="D32" s="586" t="s">
        <v>291</v>
      </c>
      <c r="E32" s="587" t="s">
        <v>292</v>
      </c>
    </row>
    <row r="33" spans="1:5">
      <c r="A33" s="588">
        <f>A25</f>
        <v>1</v>
      </c>
      <c r="B33" s="588" t="str">
        <f>B25</f>
        <v>ABC</v>
      </c>
      <c r="C33" s="589">
        <f>C25</f>
        <v>85.85</v>
      </c>
      <c r="D33" s="582">
        <f>D25</f>
        <v>0.88015173262251367</v>
      </c>
      <c r="E33" s="582">
        <f>E25</f>
        <v>0</v>
      </c>
    </row>
    <row r="34" spans="1:5">
      <c r="A34" s="588">
        <f t="shared" ref="A34:E34" si="1">A26</f>
        <v>2</v>
      </c>
      <c r="B34" s="588" t="str">
        <f t="shared" si="1"/>
        <v>ABC</v>
      </c>
      <c r="C34" s="589">
        <f t="shared" si="1"/>
        <v>6.09</v>
      </c>
      <c r="D34" s="582">
        <f t="shared" si="1"/>
        <v>6.2435923723600566E-2</v>
      </c>
      <c r="E34" s="582">
        <f t="shared" si="1"/>
        <v>0</v>
      </c>
    </row>
    <row r="35" spans="1:5">
      <c r="A35" s="588">
        <f t="shared" ref="A35:E35" si="2">A27</f>
        <v>3</v>
      </c>
      <c r="B35" s="588" t="str">
        <f t="shared" si="2"/>
        <v>ABC</v>
      </c>
      <c r="C35" s="589">
        <f t="shared" si="2"/>
        <v>2.8</v>
      </c>
      <c r="D35" s="582">
        <f t="shared" si="2"/>
        <v>2.8706171826942788E-2</v>
      </c>
      <c r="E35" s="582">
        <f t="shared" si="2"/>
        <v>0</v>
      </c>
    </row>
    <row r="36" spans="1:5">
      <c r="A36" s="588">
        <f t="shared" ref="A36:E36" si="3">A28</f>
        <v>4</v>
      </c>
      <c r="B36" s="588" t="str">
        <f t="shared" si="3"/>
        <v>ABC</v>
      </c>
      <c r="C36" s="589">
        <f t="shared" si="3"/>
        <v>2.8</v>
      </c>
      <c r="D36" s="582">
        <f t="shared" si="3"/>
        <v>2.8706171826942788E-2</v>
      </c>
      <c r="E36" s="582">
        <f t="shared" si="3"/>
        <v>0</v>
      </c>
    </row>
    <row r="37" spans="1:5">
      <c r="A37" s="584"/>
      <c r="B37" s="584"/>
      <c r="C37" s="584"/>
      <c r="D37" s="584"/>
      <c r="E37" s="584"/>
    </row>
    <row r="38" spans="1:5">
      <c r="A38" s="354"/>
      <c r="B38" s="354"/>
      <c r="C38" s="354"/>
      <c r="D38" s="354"/>
      <c r="E38" s="354"/>
    </row>
    <row r="39" spans="1:5">
      <c r="A39" s="420" t="s">
        <v>1770</v>
      </c>
      <c r="B39" s="354"/>
      <c r="C39" s="354"/>
      <c r="D39" s="354"/>
      <c r="E39" s="354"/>
    </row>
    <row r="40" spans="1:5">
      <c r="A40" s="1051" t="s">
        <v>299</v>
      </c>
      <c r="B40" s="1052"/>
      <c r="C40" s="1052"/>
      <c r="D40" s="1052"/>
      <c r="E40" s="1053"/>
    </row>
    <row r="41" spans="1:5" ht="51">
      <c r="A41" s="590" t="s">
        <v>294</v>
      </c>
      <c r="B41" s="590" t="s">
        <v>295</v>
      </c>
      <c r="C41" s="590" t="s">
        <v>298</v>
      </c>
      <c r="D41" s="590" t="s">
        <v>296</v>
      </c>
      <c r="E41" s="590" t="s">
        <v>297</v>
      </c>
    </row>
    <row r="42" spans="1:5">
      <c r="A42" s="998">
        <v>97.54</v>
      </c>
      <c r="B42" s="435">
        <v>0</v>
      </c>
      <c r="C42" s="354">
        <v>0</v>
      </c>
      <c r="D42" s="669">
        <v>0</v>
      </c>
      <c r="E42" s="287">
        <v>97.54</v>
      </c>
    </row>
    <row r="43" spans="1:5">
      <c r="A43" s="355"/>
      <c r="B43" s="355"/>
      <c r="C43" s="591"/>
      <c r="D43" s="355"/>
      <c r="E43" s="355"/>
    </row>
    <row r="44" spans="1:5">
      <c r="A44" s="354"/>
      <c r="B44" s="354"/>
      <c r="C44" s="354"/>
      <c r="D44" s="354"/>
      <c r="E44" s="354"/>
    </row>
    <row r="45" spans="1:5">
      <c r="A45" s="1054" t="s">
        <v>300</v>
      </c>
      <c r="B45" s="1054"/>
      <c r="C45" s="1054"/>
      <c r="D45" s="1054"/>
      <c r="E45" s="1054"/>
    </row>
    <row r="46" spans="1:5" ht="51">
      <c r="A46" s="590" t="s">
        <v>301</v>
      </c>
      <c r="B46" s="590" t="s">
        <v>295</v>
      </c>
      <c r="C46" s="590" t="s">
        <v>302</v>
      </c>
      <c r="D46" s="590" t="s">
        <v>303</v>
      </c>
      <c r="E46" s="590" t="s">
        <v>304</v>
      </c>
    </row>
    <row r="47" spans="1:5">
      <c r="A47" s="668">
        <v>97.54</v>
      </c>
      <c r="B47" s="572">
        <v>0</v>
      </c>
      <c r="C47" s="572">
        <v>0</v>
      </c>
      <c r="D47" s="572">
        <v>0</v>
      </c>
      <c r="E47" s="668">
        <v>97.54</v>
      </c>
    </row>
    <row r="48" spans="1:5" hidden="1">
      <c r="A48" s="355"/>
      <c r="B48" s="355"/>
      <c r="C48" s="355"/>
      <c r="D48" s="355"/>
      <c r="E48" s="355"/>
    </row>
    <row r="49" spans="1:5" hidden="1">
      <c r="A49" s="261"/>
      <c r="B49" s="354"/>
      <c r="C49" s="354"/>
      <c r="D49" s="354"/>
      <c r="E49" s="602"/>
    </row>
    <row r="50" spans="1:5">
      <c r="A50" s="298" t="str">
        <f>PL!A51</f>
        <v>As per our separate audit report of even date attached</v>
      </c>
      <c r="B50" s="298"/>
      <c r="C50" s="309"/>
      <c r="D50" s="298"/>
      <c r="E50" s="307"/>
    </row>
    <row r="51" spans="1:5">
      <c r="A51" s="297" t="str">
        <f>PL!$A$52</f>
        <v>For A XXXXXXXXXXXociates</v>
      </c>
      <c r="B51" s="354"/>
      <c r="C51" s="356" t="str">
        <f>PROPER(BS!F51)</f>
        <v>Abc Private Limited</v>
      </c>
      <c r="D51" s="357"/>
      <c r="E51" s="354"/>
    </row>
    <row r="52" spans="1:5">
      <c r="A52" s="297" t="str">
        <f>PL!$A$53</f>
        <v xml:space="preserve">Chartered Accountants </v>
      </c>
      <c r="B52" s="354"/>
      <c r="C52" s="248"/>
      <c r="D52" s="248"/>
      <c r="E52" s="354"/>
    </row>
    <row r="53" spans="1:5">
      <c r="A53" s="297" t="str">
        <f>PL!$A$54&amp;" "&amp;PL!$C$54</f>
        <v>FRN  : XXXXXXXXX</v>
      </c>
      <c r="B53" s="354"/>
      <c r="C53" s="354"/>
      <c r="D53" s="358"/>
      <c r="E53" s="354"/>
    </row>
    <row r="54" spans="1:5">
      <c r="A54" s="297"/>
      <c r="B54" s="354"/>
      <c r="C54" s="354"/>
      <c r="D54" s="358"/>
      <c r="E54" s="354"/>
    </row>
    <row r="55" spans="1:5">
      <c r="A55" s="297"/>
      <c r="B55" s="354"/>
      <c r="C55" s="354"/>
      <c r="D55" s="358"/>
      <c r="E55" s="354"/>
    </row>
    <row r="56" spans="1:5">
      <c r="A56" s="297"/>
      <c r="B56" s="354"/>
      <c r="C56" s="608" t="str">
        <f>BS!F56</f>
        <v>Director 1</v>
      </c>
      <c r="D56" s="608" t="str">
        <f>BS!G56</f>
        <v>Director 2</v>
      </c>
      <c r="E56" s="354"/>
    </row>
    <row r="57" spans="1:5">
      <c r="A57" s="297" t="str">
        <f>PL!$A$58</f>
        <v>Akshay Garg</v>
      </c>
      <c r="B57" s="354"/>
      <c r="C57" s="608" t="str">
        <f>BS!F57</f>
        <v>(DIRECTOR)</v>
      </c>
      <c r="D57" s="608" t="str">
        <f>BS!G57</f>
        <v>(DIRECTOR)</v>
      </c>
      <c r="E57" s="354"/>
    </row>
    <row r="58" spans="1:5">
      <c r="A58" s="297" t="str">
        <f>PL!$A$59</f>
        <v>Partner</v>
      </c>
      <c r="B58" s="354"/>
      <c r="C58" s="608" t="str">
        <f>BS!F58</f>
        <v>DIN - 00XXXX70</v>
      </c>
      <c r="D58" s="608" t="str">
        <f>BS!G58</f>
        <v>DIN - 00XXXX70</v>
      </c>
      <c r="E58" s="354"/>
    </row>
    <row r="59" spans="1:5">
      <c r="A59" s="297" t="str">
        <f>PL!$A$60&amp;" "&amp;PL!$C$60</f>
        <v>M. No. : XXXXXX</v>
      </c>
      <c r="B59" s="354"/>
      <c r="C59" s="249"/>
      <c r="D59" s="249"/>
      <c r="E59" s="354"/>
    </row>
    <row r="60" spans="1:5">
      <c r="A60" s="297" t="str">
        <f>PL!$A$61&amp;" "&amp;PL!$C$61</f>
        <v>Date : September 01, 2023</v>
      </c>
      <c r="B60" s="354"/>
      <c r="E60" s="354"/>
    </row>
    <row r="61" spans="1:5">
      <c r="A61" s="297" t="str">
        <f>PL!$A$62&amp;" "&amp;PL!$C$62</f>
        <v>Place : Delhi</v>
      </c>
      <c r="B61" s="359"/>
      <c r="C61" s="293"/>
      <c r="D61" s="293"/>
      <c r="E61" s="354"/>
    </row>
    <row r="62" spans="1:5">
      <c r="A62" s="297" t="str">
        <f>PL!$A$63&amp;" "&amp;PL!$C$63</f>
        <v xml:space="preserve">UDIN : </v>
      </c>
    </row>
    <row r="64" spans="1:5">
      <c r="A64" s="297"/>
    </row>
  </sheetData>
  <mergeCells count="9">
    <mergeCell ref="A40:E40"/>
    <mergeCell ref="A45:E45"/>
    <mergeCell ref="A23:E23"/>
    <mergeCell ref="A31:E31"/>
    <mergeCell ref="A1:E1"/>
    <mergeCell ref="A2:E2"/>
    <mergeCell ref="B5:C5"/>
    <mergeCell ref="D5:E5"/>
    <mergeCell ref="A14:E14"/>
  </mergeCells>
  <phoneticPr fontId="10" type="noConversion"/>
  <printOptions horizontalCentered="1"/>
  <pageMargins left="0" right="0" top="0.3937007874015748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89"/>
  <sheetViews>
    <sheetView showGridLines="0" view="pageBreakPreview" topLeftCell="A23" zoomScaleSheetLayoutView="100" workbookViewId="0">
      <selection activeCell="B42" sqref="B42"/>
    </sheetView>
  </sheetViews>
  <sheetFormatPr defaultRowHeight="15.75"/>
  <cols>
    <col min="1" max="1" width="49" style="111" customWidth="1"/>
    <col min="2" max="2" width="32.42578125" style="86" customWidth="1"/>
    <col min="3" max="3" width="29.42578125" style="86" customWidth="1"/>
    <col min="4" max="4" width="9" style="111" bestFit="1" customWidth="1"/>
    <col min="5" max="5" width="20.42578125" style="111" customWidth="1"/>
    <col min="6" max="6" width="16.85546875" style="111" bestFit="1" customWidth="1"/>
    <col min="7" max="7" width="9.140625" style="111" customWidth="1"/>
    <col min="8" max="8" width="10.28515625" style="111" bestFit="1" customWidth="1"/>
    <col min="9" max="16384" width="9.140625" style="111"/>
  </cols>
  <sheetData>
    <row r="1" spans="1:6">
      <c r="A1" s="1058" t="str">
        <f>BS!A1</f>
        <v>ABC PRIVATE LIMITED</v>
      </c>
      <c r="B1" s="1059"/>
      <c r="C1" s="1059"/>
      <c r="D1" s="360"/>
      <c r="E1" s="172"/>
    </row>
    <row r="2" spans="1:6" ht="26.25" customHeight="1">
      <c r="A2" s="1063" t="s">
        <v>106</v>
      </c>
      <c r="B2" s="1063"/>
      <c r="C2" s="481"/>
      <c r="D2" s="361"/>
      <c r="E2" s="172"/>
    </row>
    <row r="3" spans="1:6">
      <c r="A3" s="481"/>
      <c r="B3" s="481"/>
      <c r="C3" s="481"/>
      <c r="D3" s="361"/>
      <c r="E3" s="172"/>
    </row>
    <row r="4" spans="1:6">
      <c r="A4" s="616" t="str">
        <f ca="1">"Note "&amp;BS!$E$11&amp;"  RESERVES AND SURPLUS"</f>
        <v>Note 3  RESERVES AND SURPLUS</v>
      </c>
      <c r="B4" s="616"/>
      <c r="C4" s="616"/>
      <c r="D4" s="362"/>
    </row>
    <row r="5" spans="1:6">
      <c r="A5" s="363" t="s">
        <v>63</v>
      </c>
      <c r="B5" s="566" t="str">
        <f>BS!F5</f>
        <v>March 2023</v>
      </c>
      <c r="C5" s="566" t="str">
        <f>BS!G5</f>
        <v>March 2022</v>
      </c>
      <c r="D5" s="364"/>
    </row>
    <row r="6" spans="1:6">
      <c r="A6" s="365"/>
      <c r="B6" s="567" t="str">
        <f>BS!F6</f>
        <v>Rs. In Thousands</v>
      </c>
      <c r="C6" s="567" t="str">
        <f>BS!G6</f>
        <v>Rs. In Thousands</v>
      </c>
      <c r="D6" s="366"/>
    </row>
    <row r="7" spans="1:6">
      <c r="A7" s="367" t="s">
        <v>104</v>
      </c>
      <c r="B7" s="316"/>
      <c r="C7" s="316"/>
      <c r="D7" s="368"/>
    </row>
    <row r="8" spans="1:6">
      <c r="A8" s="369" t="s">
        <v>85</v>
      </c>
      <c r="B8" s="340">
        <f>C10</f>
        <v>1439.8</v>
      </c>
      <c r="C8" s="1013">
        <v>1439.8</v>
      </c>
      <c r="D8" s="370"/>
    </row>
    <row r="9" spans="1:6">
      <c r="A9" s="369" t="s">
        <v>654</v>
      </c>
      <c r="B9" s="340">
        <f ca="1">IFERROR(IF(OR(VLOOKUP(A9,INDIRECT(BS!$J$1&amp;"[[Sub Group]:[BS&amp;PL_Face]]"),2,FALSE)="Liability",VLOOKUP(A9,INDIRECT(BS!$J$1&amp;"[[Sub Group]:[BS&amp;PL_Face]]"),2,FALSE)="Income"),-1,1),1)*SUMIF(INDIRECT(BS!$J$1&amp;"[Sub Group]"),'Sch - liab'!A9,INDIRECT(BS!$J$1&amp;"[Rs. In Hundereds]"))</f>
        <v>0</v>
      </c>
      <c r="C9" s="340">
        <v>0</v>
      </c>
      <c r="D9" s="370"/>
    </row>
    <row r="10" spans="1:6">
      <c r="A10" s="371" t="s">
        <v>86</v>
      </c>
      <c r="B10" s="372">
        <f ca="1">+B9+B8</f>
        <v>1439.8</v>
      </c>
      <c r="C10" s="372">
        <f>C8</f>
        <v>1439.8</v>
      </c>
      <c r="D10" s="368"/>
      <c r="E10" s="112"/>
    </row>
    <row r="11" spans="1:6">
      <c r="A11" s="373"/>
      <c r="B11" s="316"/>
      <c r="C11" s="316"/>
      <c r="D11" s="368"/>
    </row>
    <row r="12" spans="1:6" ht="25.5">
      <c r="A12" s="374" t="s">
        <v>105</v>
      </c>
      <c r="B12" s="316"/>
      <c r="C12" s="316"/>
      <c r="D12" s="368"/>
      <c r="F12" s="112"/>
    </row>
    <row r="13" spans="1:6">
      <c r="A13" s="369" t="s">
        <v>85</v>
      </c>
      <c r="B13" s="316">
        <f>C17</f>
        <v>1213604.6973999999</v>
      </c>
      <c r="C13" s="316">
        <v>1565.35</v>
      </c>
      <c r="D13" s="368"/>
    </row>
    <row r="14" spans="1:6">
      <c r="A14" s="369" t="s">
        <v>87</v>
      </c>
      <c r="B14" s="375">
        <f ca="1">PL!F45</f>
        <v>-10673.6374</v>
      </c>
      <c r="C14" s="375">
        <f>PL!G45+0.0004</f>
        <v>1212039.3473999999</v>
      </c>
      <c r="D14" s="376"/>
      <c r="E14" s="112"/>
      <c r="F14" s="112"/>
    </row>
    <row r="15" spans="1:6" ht="25.5">
      <c r="A15" s="377" t="s">
        <v>210</v>
      </c>
      <c r="B15" s="375">
        <v>0</v>
      </c>
      <c r="C15" s="375">
        <v>0</v>
      </c>
      <c r="D15" s="376"/>
      <c r="E15" s="112"/>
      <c r="F15" s="112"/>
    </row>
    <row r="16" spans="1:6">
      <c r="A16" s="377"/>
      <c r="B16" s="375"/>
      <c r="C16" s="375"/>
      <c r="D16" s="376"/>
      <c r="E16" s="112"/>
      <c r="F16" s="112"/>
    </row>
    <row r="17" spans="1:6">
      <c r="A17" s="378" t="s">
        <v>86</v>
      </c>
      <c r="B17" s="379">
        <f ca="1">B13+B14-B15</f>
        <v>1202931.06</v>
      </c>
      <c r="C17" s="379">
        <f>C13+C14</f>
        <v>1213604.6973999999</v>
      </c>
      <c r="D17" s="380"/>
      <c r="E17" s="112"/>
      <c r="F17" s="112"/>
    </row>
    <row r="18" spans="1:6">
      <c r="A18" s="373"/>
      <c r="B18" s="316"/>
      <c r="C18" s="316"/>
      <c r="D18" s="368"/>
    </row>
    <row r="19" spans="1:6">
      <c r="A19" s="381" t="s">
        <v>88</v>
      </c>
      <c r="B19" s="382">
        <f ca="1">B10+B17</f>
        <v>1204370.8600000001</v>
      </c>
      <c r="C19" s="382">
        <f>C10+C17</f>
        <v>1215044.4974</v>
      </c>
      <c r="D19" s="368"/>
      <c r="E19" s="113"/>
    </row>
    <row r="20" spans="1:6">
      <c r="A20" s="339"/>
      <c r="B20" s="384"/>
      <c r="C20" s="384"/>
      <c r="D20" s="385"/>
    </row>
    <row r="21" spans="1:6">
      <c r="A21" s="351" t="str">
        <f ca="1">"Note "&amp;BS!$E$15&amp;"  LONG TERM BORROWINGS"</f>
        <v>Note 4  LONG TERM BORROWINGS</v>
      </c>
      <c r="B21" s="384"/>
      <c r="C21" s="384"/>
      <c r="D21" s="385"/>
    </row>
    <row r="22" spans="1:6">
      <c r="A22" s="351"/>
      <c r="B22" s="384"/>
      <c r="C22" s="384"/>
      <c r="D22" s="385"/>
    </row>
    <row r="23" spans="1:6">
      <c r="A23" s="484" t="s">
        <v>63</v>
      </c>
      <c r="B23" s="386" t="str">
        <f>B5</f>
        <v>March 2023</v>
      </c>
      <c r="C23" s="386" t="str">
        <f>C5</f>
        <v>March 2022</v>
      </c>
      <c r="D23" s="385"/>
    </row>
    <row r="24" spans="1:6">
      <c r="A24" s="387"/>
      <c r="B24" s="567" t="str">
        <f t="shared" ref="B24:C24" si="0">B6</f>
        <v>Rs. In Thousands</v>
      </c>
      <c r="C24" s="567" t="str">
        <f t="shared" si="0"/>
        <v>Rs. In Thousands</v>
      </c>
      <c r="D24" s="385"/>
    </row>
    <row r="25" spans="1:6">
      <c r="A25" s="388"/>
      <c r="B25" s="389"/>
      <c r="C25" s="390"/>
      <c r="D25" s="385"/>
    </row>
    <row r="26" spans="1:6">
      <c r="A26" s="1014" t="s">
        <v>1828</v>
      </c>
      <c r="B26" s="389"/>
      <c r="C26" s="392"/>
      <c r="D26" s="385"/>
    </row>
    <row r="27" spans="1:6">
      <c r="A27" s="391" t="s">
        <v>1829</v>
      </c>
      <c r="B27" s="389">
        <f ca="1">IFERROR(IF(OR(VLOOKUP(A27,INDIRECT(BS!$J$1&amp;"[[Sub Group]:[BS&amp;PL_Face]]"),2,FALSE)="Liability",VLOOKUP(A27,INDIRECT(BS!$J$1&amp;"[[Sub Group]:[BS&amp;PL_Face]]"),2,FALSE)="Income"),-1,1),1)*SUMIF(INDIRECT(BS!$J$1&amp;"[Sub Group]"),'Sch - liab'!A27,INDIRECT(BS!$J$1&amp;"[Rs. In Hundereds]"))</f>
        <v>0</v>
      </c>
      <c r="C27" s="392">
        <v>1240.33</v>
      </c>
      <c r="D27" s="385"/>
    </row>
    <row r="28" spans="1:6">
      <c r="A28" s="391" t="s">
        <v>1830</v>
      </c>
      <c r="B28" s="389">
        <f ca="1">IFERROR(IF(OR(VLOOKUP(A28,INDIRECT(BS!$J$1&amp;"[[Sub Group]:[BS&amp;PL_Face]]"),2,FALSE)="Liability",VLOOKUP(A28,INDIRECT(BS!$J$1&amp;"[[Sub Group]:[BS&amp;PL_Face]]"),2,FALSE)="Income"),-1,1),1)*SUMIF(INDIRECT(BS!$J$1&amp;"[Sub Group]"),'Sch - liab'!A28,INDIRECT(BS!$J$1&amp;"[Rs. In Hundereds]"))-1792.56</f>
        <v>-1792.56</v>
      </c>
      <c r="C28" s="392">
        <v>34923.440000000002</v>
      </c>
      <c r="D28" s="385"/>
    </row>
    <row r="29" spans="1:6">
      <c r="A29" s="1014" t="s">
        <v>1831</v>
      </c>
      <c r="B29" s="389"/>
      <c r="C29" s="392"/>
      <c r="D29" s="385"/>
    </row>
    <row r="30" spans="1:6">
      <c r="A30" s="391" t="s">
        <v>1832</v>
      </c>
      <c r="B30" s="389">
        <f ca="1">IFERROR(IF(OR(VLOOKUP(A30,INDIRECT(BS!$J$1&amp;"[[Sub Group]:[BS&amp;PL_Face]]"),2,FALSE)="Liability",VLOOKUP(A30,INDIRECT(BS!$J$1&amp;"[[Sub Group]:[BS&amp;PL_Face]]"),2,FALSE)="Income"),-1,1),1)*SUMIF(INDIRECT(BS!$J$1&amp;"[Sub Group]"),'Sch - liab'!A30,INDIRECT(BS!$J$1&amp;"[Rs. In Hundereds]"))</f>
        <v>0</v>
      </c>
      <c r="C30" s="392">
        <v>378.5</v>
      </c>
      <c r="D30" s="385"/>
    </row>
    <row r="31" spans="1:6">
      <c r="A31" s="391" t="s">
        <v>1833</v>
      </c>
      <c r="B31" s="389">
        <f ca="1">IFERROR(IF(OR(VLOOKUP(A31,INDIRECT(BS!$J$1&amp;"[[Sub Group]:[BS&amp;PL_Face]]"),2,FALSE)="Liability",VLOOKUP(A31,INDIRECT(BS!$J$1&amp;"[[Sub Group]:[BS&amp;PL_Face]]"),2,FALSE)="Income"),-1,1),1)*SUMIF(INDIRECT(BS!$J$1&amp;"[Sub Group]"),'Sch - liab'!A31,INDIRECT(BS!$J$1&amp;"[Rs. In Hundereds]"))-3361.3</f>
        <v>-3361.3</v>
      </c>
      <c r="C31" s="392">
        <v>767.49</v>
      </c>
      <c r="D31" s="385"/>
    </row>
    <row r="32" spans="1:6">
      <c r="A32" s="393" t="s">
        <v>1834</v>
      </c>
      <c r="B32" s="389"/>
      <c r="C32" s="392"/>
      <c r="D32" s="385"/>
    </row>
    <row r="33" spans="1:7">
      <c r="A33" s="1019" t="s">
        <v>1835</v>
      </c>
      <c r="B33" s="389">
        <f ca="1">IFERROR(IF(OR(VLOOKUP(A33,INDIRECT(BS!$J$1&amp;"[[Sub Group]:[BS&amp;PL_Face]]"),2,FALSE)="Liability",VLOOKUP(A33,INDIRECT(BS!$J$1&amp;"[[Sub Group]:[BS&amp;PL_Face]]"),2,FALSE)="Income"),-1,1),1)*SUMIF(INDIRECT(BS!$J$1&amp;"[Sub Group]"),'Sch - liab'!A33,INDIRECT(BS!$J$1&amp;"[Rs. In Hundereds]"))</f>
        <v>0</v>
      </c>
      <c r="C33" s="983">
        <v>1087.8599999999999</v>
      </c>
      <c r="D33" s="385"/>
    </row>
    <row r="34" spans="1:7">
      <c r="A34" s="393"/>
      <c r="B34" s="384"/>
      <c r="C34" s="340"/>
      <c r="D34" s="385"/>
    </row>
    <row r="35" spans="1:7">
      <c r="A35" s="381" t="s">
        <v>113</v>
      </c>
      <c r="B35" s="382">
        <f ca="1">SUM(B26:B34)</f>
        <v>-5153.8600000000006</v>
      </c>
      <c r="C35" s="382">
        <f>SUM(C26:C34)</f>
        <v>38397.620000000003</v>
      </c>
      <c r="D35" s="385"/>
    </row>
    <row r="36" spans="1:7">
      <c r="A36" s="418"/>
      <c r="B36" s="394"/>
      <c r="C36" s="394"/>
      <c r="D36" s="385"/>
    </row>
    <row r="37" spans="1:7">
      <c r="A37" s="312" t="str">
        <f ca="1">"Note "&amp;BS!$E$16&amp;"  DEFERRED TAX"</f>
        <v>Note 5  DEFERRED TAX</v>
      </c>
      <c r="B37" s="397"/>
      <c r="C37" s="397"/>
      <c r="D37" s="339"/>
      <c r="F37" s="112"/>
    </row>
    <row r="38" spans="1:7">
      <c r="A38" s="484" t="s">
        <v>63</v>
      </c>
      <c r="B38" s="395" t="str">
        <f>B58</f>
        <v>March 2023</v>
      </c>
      <c r="C38" s="395" t="str">
        <f>C58</f>
        <v>March 2022</v>
      </c>
      <c r="D38" s="339"/>
      <c r="F38" s="112"/>
    </row>
    <row r="39" spans="1:7">
      <c r="A39" s="387"/>
      <c r="B39" s="567" t="str">
        <f t="shared" ref="B39:C39" si="1">B6</f>
        <v>Rs. In Thousands</v>
      </c>
      <c r="C39" s="567" t="str">
        <f t="shared" si="1"/>
        <v>Rs. In Thousands</v>
      </c>
      <c r="D39" s="339"/>
      <c r="F39" s="112"/>
    </row>
    <row r="40" spans="1:7">
      <c r="A40" s="338"/>
      <c r="B40" s="389"/>
      <c r="C40" s="340"/>
      <c r="D40" s="339"/>
      <c r="F40" s="112"/>
    </row>
    <row r="41" spans="1:7">
      <c r="A41" s="393" t="s">
        <v>428</v>
      </c>
      <c r="B41" s="389"/>
      <c r="C41" s="340"/>
      <c r="D41" s="339"/>
      <c r="F41" s="112"/>
    </row>
    <row r="42" spans="1:7">
      <c r="A42" s="338" t="s">
        <v>477</v>
      </c>
      <c r="B42" s="389">
        <f>'DEP CO aCT'!J49</f>
        <v>11756.04</v>
      </c>
      <c r="C42" s="340">
        <v>26625.22</v>
      </c>
      <c r="D42" s="339"/>
      <c r="F42" s="112"/>
    </row>
    <row r="43" spans="1:7">
      <c r="A43" s="338" t="s">
        <v>478</v>
      </c>
      <c r="B43" s="451">
        <f>ROUND('Depr I.T, Deferd tax'!J44/1000,2)</f>
        <v>25.69</v>
      </c>
      <c r="C43" s="451">
        <v>29206.21</v>
      </c>
      <c r="D43" s="339"/>
      <c r="F43" s="112"/>
    </row>
    <row r="44" spans="1:7">
      <c r="A44" s="338" t="s">
        <v>479</v>
      </c>
      <c r="B44" s="390">
        <f>-B42+B43</f>
        <v>-11730.35</v>
      </c>
      <c r="C44" s="390">
        <f>-C42+C43</f>
        <v>2580.989999999998</v>
      </c>
      <c r="D44" s="339"/>
      <c r="E44" s="1000">
        <f>B44*25.17%</f>
        <v>-2952.5290950000003</v>
      </c>
      <c r="F44" s="112">
        <f>C44*25.17%</f>
        <v>649.63518299999953</v>
      </c>
      <c r="G44" s="1000">
        <f>E44-F44</f>
        <v>-3602.1642779999997</v>
      </c>
    </row>
    <row r="45" spans="1:7">
      <c r="A45" s="338"/>
      <c r="B45" s="392"/>
      <c r="C45" s="392"/>
      <c r="D45" s="339"/>
      <c r="F45" s="112"/>
    </row>
    <row r="46" spans="1:7" hidden="1">
      <c r="A46" s="338" t="s">
        <v>1771</v>
      </c>
      <c r="B46" s="392">
        <v>0</v>
      </c>
      <c r="C46" s="340">
        <v>0</v>
      </c>
      <c r="D46" s="339"/>
      <c r="E46" s="1000">
        <f>B46*25.17%</f>
        <v>0</v>
      </c>
      <c r="F46" s="112">
        <f>C46*25.17%</f>
        <v>0</v>
      </c>
      <c r="G46" s="1000">
        <f>E46-F46</f>
        <v>0</v>
      </c>
    </row>
    <row r="47" spans="1:7" hidden="1">
      <c r="A47" s="338" t="s">
        <v>660</v>
      </c>
      <c r="B47" s="392">
        <v>0</v>
      </c>
      <c r="C47" s="340"/>
      <c r="D47" s="339"/>
      <c r="F47" s="112"/>
    </row>
    <row r="48" spans="1:7" hidden="1">
      <c r="A48" s="338"/>
      <c r="B48" s="392"/>
      <c r="C48" s="340"/>
      <c r="D48" s="339"/>
      <c r="E48" s="1000">
        <f>SUM(E44:E46)</f>
        <v>-2952.5290950000003</v>
      </c>
      <c r="F48" s="1000">
        <f>SUM(F44:F46)</f>
        <v>649.63518299999953</v>
      </c>
      <c r="G48" s="1000">
        <f>SUM(G44:G46)</f>
        <v>-3602.1642779999997</v>
      </c>
    </row>
    <row r="49" spans="1:6">
      <c r="A49" s="338" t="s">
        <v>480</v>
      </c>
      <c r="B49" s="392">
        <f>SUM(B44+B46)</f>
        <v>-11730.35</v>
      </c>
      <c r="C49" s="340">
        <f>C44+C46</f>
        <v>2580.989999999998</v>
      </c>
      <c r="D49" s="339"/>
      <c r="F49" s="112"/>
    </row>
    <row r="50" spans="1:6">
      <c r="A50" s="338" t="s">
        <v>481</v>
      </c>
      <c r="B50" s="984">
        <v>0.26</v>
      </c>
      <c r="C50" s="985">
        <v>0.26</v>
      </c>
      <c r="D50" s="339"/>
      <c r="F50" s="112"/>
    </row>
    <row r="51" spans="1:6">
      <c r="A51" s="338"/>
      <c r="B51" s="392"/>
      <c r="C51" s="340"/>
      <c r="D51" s="339"/>
      <c r="F51" s="112"/>
    </row>
    <row r="52" spans="1:6">
      <c r="A52" s="338" t="s">
        <v>482</v>
      </c>
      <c r="B52" s="392">
        <f>ROUND(B49*B50,2)</f>
        <v>-3049.89</v>
      </c>
      <c r="C52" s="340">
        <f>C49*C50</f>
        <v>671.05739999999946</v>
      </c>
      <c r="D52" s="339"/>
      <c r="F52" s="112"/>
    </row>
    <row r="53" spans="1:6">
      <c r="A53" s="338" t="s">
        <v>426</v>
      </c>
      <c r="B53" s="392">
        <f>+C52</f>
        <v>671.05739999999946</v>
      </c>
      <c r="C53" s="340">
        <v>1507.71</v>
      </c>
      <c r="D53" s="339"/>
      <c r="F53" s="112"/>
    </row>
    <row r="54" spans="1:6">
      <c r="A54" s="338"/>
      <c r="B54" s="392"/>
      <c r="C54" s="340"/>
      <c r="D54" s="339"/>
      <c r="F54" s="112"/>
    </row>
    <row r="55" spans="1:6">
      <c r="A55" s="398" t="s">
        <v>483</v>
      </c>
      <c r="B55" s="399">
        <f>B52-B53</f>
        <v>-3720.9473999999991</v>
      </c>
      <c r="C55" s="399">
        <f>C52-C53</f>
        <v>-836.65260000000058</v>
      </c>
      <c r="D55" s="339"/>
      <c r="F55" s="112"/>
    </row>
    <row r="56" spans="1:6">
      <c r="A56" s="351"/>
      <c r="B56" s="384"/>
      <c r="C56" s="384"/>
      <c r="D56" s="339"/>
      <c r="F56" s="112"/>
    </row>
    <row r="57" spans="1:6">
      <c r="A57" s="351" t="str">
        <f ca="1">"Note "&amp;BS!$E$20&amp;"  SHORT TERM BORROWINGS"</f>
        <v>Note 6  SHORT TERM BORROWINGS</v>
      </c>
      <c r="B57" s="384"/>
      <c r="C57" s="384"/>
      <c r="D57" s="385"/>
    </row>
    <row r="58" spans="1:6">
      <c r="A58" s="484" t="s">
        <v>63</v>
      </c>
      <c r="B58" s="395" t="str">
        <f>B5</f>
        <v>March 2023</v>
      </c>
      <c r="C58" s="395" t="str">
        <f>C5</f>
        <v>March 2022</v>
      </c>
      <c r="D58" s="385"/>
    </row>
    <row r="59" spans="1:6">
      <c r="A59" s="387"/>
      <c r="B59" s="567" t="str">
        <f t="shared" ref="B59:C59" si="2">B6</f>
        <v>Rs. In Thousands</v>
      </c>
      <c r="C59" s="567" t="str">
        <f t="shared" si="2"/>
        <v>Rs. In Thousands</v>
      </c>
      <c r="D59" s="385"/>
    </row>
    <row r="60" spans="1:6">
      <c r="A60" s="388"/>
      <c r="B60" s="392"/>
      <c r="C60" s="392"/>
      <c r="D60" s="385"/>
    </row>
    <row r="61" spans="1:6">
      <c r="A61" s="1015" t="s">
        <v>1834</v>
      </c>
      <c r="B61" s="389"/>
      <c r="C61" s="392"/>
      <c r="D61" s="385"/>
    </row>
    <row r="62" spans="1:6">
      <c r="A62" s="1016" t="s">
        <v>1836</v>
      </c>
      <c r="B62" s="389">
        <f ca="1">IFERROR(IF(OR(VLOOKUP(A62,INDIRECT(BS!$J$1&amp;"[[Sub Group]:[BS&amp;PL_Face]]"),2,FALSE)="Liability",VLOOKUP(A62,INDIRECT(BS!$J$1&amp;"[[Sub Group]:[BS&amp;PL_Face]]"),2,FALSE)="Income"),-1,1),1)*SUMIF(INDIRECT(BS!$J$1&amp;"[Sub Group]"),'Sch - liab'!A62,INDIRECT(BS!$J$1&amp;"[Rs. In Hundereds]"))</f>
        <v>0</v>
      </c>
      <c r="C62" s="392">
        <v>1627.64</v>
      </c>
      <c r="D62" s="396"/>
    </row>
    <row r="63" spans="1:6">
      <c r="A63" s="1016"/>
      <c r="B63" s="389"/>
      <c r="C63" s="392"/>
      <c r="D63" s="396"/>
    </row>
    <row r="64" spans="1:6">
      <c r="A64" s="1015" t="s">
        <v>1889</v>
      </c>
      <c r="B64" s="389"/>
      <c r="C64" s="392"/>
      <c r="D64" s="396"/>
    </row>
    <row r="65" spans="1:6">
      <c r="A65" s="1016" t="s">
        <v>1891</v>
      </c>
      <c r="B65" s="389">
        <v>3361.3</v>
      </c>
      <c r="C65" s="392">
        <v>0</v>
      </c>
      <c r="D65" s="396"/>
    </row>
    <row r="66" spans="1:6">
      <c r="A66" s="1016" t="s">
        <v>1890</v>
      </c>
      <c r="B66" s="389">
        <v>1792.56</v>
      </c>
      <c r="C66" s="392"/>
      <c r="D66" s="396"/>
    </row>
    <row r="67" spans="1:6">
      <c r="A67" s="338"/>
      <c r="B67" s="392"/>
      <c r="C67" s="340"/>
      <c r="D67" s="396"/>
      <c r="E67" s="113"/>
    </row>
    <row r="68" spans="1:6">
      <c r="A68" s="381" t="s">
        <v>113</v>
      </c>
      <c r="B68" s="382">
        <f ca="1">SUM(B61:B67)</f>
        <v>5153.8600000000006</v>
      </c>
      <c r="C68" s="382">
        <f>SUM(C61:C67)</f>
        <v>1627.64</v>
      </c>
      <c r="D68" s="385"/>
      <c r="E68" s="113"/>
    </row>
    <row r="69" spans="1:6">
      <c r="A69" s="351"/>
      <c r="B69" s="384"/>
      <c r="C69" s="384"/>
      <c r="D69" s="339"/>
      <c r="F69" s="112"/>
    </row>
    <row r="70" spans="1:6" hidden="1">
      <c r="A70" s="351"/>
      <c r="B70" s="384"/>
      <c r="C70" s="384"/>
      <c r="D70" s="339"/>
      <c r="F70" s="112"/>
    </row>
    <row r="71" spans="1:6">
      <c r="A71" s="312" t="str">
        <f ca="1">"Note "&amp;BS!$E$24&amp;"  OTHER CURRENT LIABILITIES"</f>
        <v>Note 10  OTHER CURRENT LIABILITIES</v>
      </c>
      <c r="B71" s="397"/>
      <c r="C71" s="397"/>
      <c r="D71" s="385"/>
    </row>
    <row r="72" spans="1:6">
      <c r="A72" s="484" t="s">
        <v>63</v>
      </c>
      <c r="B72" s="395" t="str">
        <f>B5</f>
        <v>March 2023</v>
      </c>
      <c r="C72" s="395" t="str">
        <f>C5</f>
        <v>March 2022</v>
      </c>
      <c r="D72" s="385"/>
    </row>
    <row r="73" spans="1:6">
      <c r="A73" s="387"/>
      <c r="B73" s="567" t="str">
        <f t="shared" ref="B73:C73" si="3">B6</f>
        <v>Rs. In Thousands</v>
      </c>
      <c r="C73" s="567" t="str">
        <f t="shared" si="3"/>
        <v>Rs. In Thousands</v>
      </c>
      <c r="D73" s="385"/>
    </row>
    <row r="74" spans="1:6">
      <c r="A74" s="338" t="s">
        <v>628</v>
      </c>
      <c r="B74" s="389">
        <f ca="1">IFERROR(IF(OR(VLOOKUP(A74,INDIRECT(BS!$J$1&amp;"[[Sub Group]:[BS&amp;PL_Face]]"),2,FALSE)="Liability",VLOOKUP(A74,INDIRECT(BS!$J$1&amp;"[[Sub Group]:[BS&amp;PL_Face]]"),2,FALSE)="Income"),-1,1),1)*SUMIF(INDIRECT(BS!$J$1&amp;"[Sub Group]"),'Sch - liab'!A74,INDIRECT(BS!$J$1&amp;"[Rs. In Hundereds]"))</f>
        <v>0</v>
      </c>
      <c r="C74" s="340">
        <v>847.74</v>
      </c>
      <c r="D74" s="385"/>
      <c r="E74" s="31"/>
    </row>
    <row r="75" spans="1:6">
      <c r="A75" s="338" t="s">
        <v>1784</v>
      </c>
      <c r="B75" s="389">
        <f ca="1">IFERROR(IF(OR(VLOOKUP(A75,INDIRECT(BS!$J$1&amp;"[[Sub Group]:[BS&amp;PL_Face]]"),2,FALSE)="Liability",VLOOKUP(A75,INDIRECT(BS!$J$1&amp;"[[Sub Group]:[BS&amp;PL_Face]]"),2,FALSE)="Income"),-1,1),1)*SUMIF(INDIRECT(BS!$J$1&amp;"[Sub Group]"),'Sch - liab'!A75,INDIRECT(BS!$J$1&amp;"[Rs. In Hundereds]"))</f>
        <v>0</v>
      </c>
      <c r="C75" s="340">
        <v>0.04</v>
      </c>
      <c r="D75" s="385"/>
      <c r="E75" s="31"/>
    </row>
    <row r="76" spans="1:6">
      <c r="A76" s="338" t="s">
        <v>1842</v>
      </c>
      <c r="B76" s="389">
        <f ca="1">IFERROR(IF(OR(VLOOKUP(A76,INDIRECT(BS!$J$1&amp;"[[Sub Group]:[BS&amp;PL_Face]]"),2,FALSE)="Liability",VLOOKUP(A76,INDIRECT(BS!$J$1&amp;"[[Sub Group]:[BS&amp;PL_Face]]"),2,FALSE)="Income"),-1,1),1)*SUMIF(INDIRECT(BS!$J$1&amp;"[Sub Group]"),'Sch - liab'!A76,INDIRECT(BS!$J$1&amp;"[Rs. In Hundereds]"))</f>
        <v>0</v>
      </c>
      <c r="C76" s="340">
        <v>0</v>
      </c>
      <c r="D76" s="385"/>
      <c r="E76" s="31"/>
    </row>
    <row r="77" spans="1:6">
      <c r="A77" s="338"/>
      <c r="B77" s="340"/>
      <c r="C77" s="340"/>
      <c r="D77" s="385"/>
      <c r="E77" s="31"/>
    </row>
    <row r="78" spans="1:6">
      <c r="A78" s="398" t="s">
        <v>88</v>
      </c>
      <c r="B78" s="399">
        <f ca="1">SUM(B74:B76)</f>
        <v>0</v>
      </c>
      <c r="C78" s="399">
        <f>SUM(C74:C77)</f>
        <v>847.78</v>
      </c>
      <c r="D78" s="385"/>
      <c r="E78" s="112"/>
    </row>
    <row r="79" spans="1:6">
      <c r="A79" s="1062"/>
      <c r="B79" s="1062"/>
      <c r="C79" s="1062"/>
      <c r="D79" s="385"/>
      <c r="E79" s="112"/>
    </row>
    <row r="80" spans="1:6">
      <c r="A80" s="312" t="str">
        <f ca="1">"Note "&amp;BS!$E$25&amp;"  SHORT TERM PROVISIONS"</f>
        <v>Note 11  SHORT TERM PROVISIONS</v>
      </c>
      <c r="B80" s="397"/>
      <c r="C80" s="397"/>
      <c r="D80" s="385"/>
    </row>
    <row r="81" spans="1:7">
      <c r="A81" s="484" t="s">
        <v>63</v>
      </c>
      <c r="B81" s="395" t="str">
        <f>B5</f>
        <v>March 2023</v>
      </c>
      <c r="C81" s="395" t="str">
        <f>C5</f>
        <v>March 2022</v>
      </c>
      <c r="D81" s="385"/>
    </row>
    <row r="82" spans="1:7">
      <c r="A82" s="387"/>
      <c r="B82" s="567" t="str">
        <f t="shared" ref="B82:C82" si="4">B6</f>
        <v>Rs. In Thousands</v>
      </c>
      <c r="C82" s="567" t="str">
        <f t="shared" si="4"/>
        <v>Rs. In Thousands</v>
      </c>
      <c r="D82" s="385"/>
    </row>
    <row r="83" spans="1:7">
      <c r="A83" s="338" t="s">
        <v>279</v>
      </c>
      <c r="B83" s="389">
        <f ca="1">IFERROR(IF(OR(VLOOKUP(A83,INDIRECT(BS!$J$1&amp;"[[Sub Group]:[BS&amp;PL_Face]]"),2,FALSE)="Liability",VLOOKUP(A83,INDIRECT(BS!$J$1&amp;"[[Sub Group]:[BS&amp;PL_Face]]"),2,FALSE)="Income"),-1,1),1)*SUMIF(INDIRECT(BS!$J$1&amp;"[Sub Group]"),'Sch - liab'!A83,INDIRECT(BS!$J$1&amp;"[Rs. In Hundereds]"))</f>
        <v>0</v>
      </c>
      <c r="C83" s="340">
        <v>295.7</v>
      </c>
      <c r="D83" s="385"/>
    </row>
    <row r="84" spans="1:7">
      <c r="A84" s="338" t="s">
        <v>1777</v>
      </c>
      <c r="B84" s="389">
        <f ca="1">IFERROR(IF(OR(VLOOKUP(A84,INDIRECT(BS!$J$1&amp;"[[Sub Group]:[BS&amp;PL_Face]]"),2,FALSE)="Liability",VLOOKUP(A84,INDIRECT(BS!$J$1&amp;"[[Sub Group]:[BS&amp;PL_Face]]"),2,FALSE)="Income"),-1,1),1)*SUMIF(INDIRECT(BS!$J$1&amp;"[Sub Group]"),'Sch - liab'!A84,INDIRECT(BS!$J$1&amp;"[Rs. In Hundereds]"))</f>
        <v>0</v>
      </c>
      <c r="C84" s="986">
        <v>0</v>
      </c>
      <c r="D84" s="385"/>
    </row>
    <row r="85" spans="1:7">
      <c r="A85" s="338" t="s">
        <v>401</v>
      </c>
      <c r="B85" s="389">
        <f ca="1">IFERROR(IF(OR(VLOOKUP(A85,INDIRECT(BS!$J$1&amp;"[[Sub Group]:[BS&amp;PL_Face]]"),2,FALSE)="Liability",VLOOKUP(A85,INDIRECT(BS!$J$1&amp;"[[Sub Group]:[BS&amp;PL_Face]]"),2,FALSE)="Income"),-1,1),1)*SUMIF(INDIRECT(BS!$J$1&amp;"[Sub Group]"),'Sch - liab'!A85,INDIRECT(BS!$J$1&amp;"[Rs. In Hundereds]"))</f>
        <v>0</v>
      </c>
      <c r="C85" s="340">
        <v>153.30000000000001</v>
      </c>
      <c r="D85" s="385"/>
    </row>
    <row r="86" spans="1:7">
      <c r="A86" s="338" t="s">
        <v>1778</v>
      </c>
      <c r="B86" s="389">
        <f ca="1">IFERROR(IF(OR(VLOOKUP(A86,INDIRECT(BS!$J$1&amp;"[[Sub Group]:[BS&amp;PL_Face]]"),2,FALSE)="Liability",VLOOKUP(A86,INDIRECT(BS!$J$1&amp;"[[Sub Group]:[BS&amp;PL_Face]]"),2,FALSE)="Income"),-1,1),1)*SUMIF(INDIRECT(BS!$J$1&amp;"[Sub Group]"),'Sch - liab'!A86,INDIRECT(BS!$J$1&amp;"[Rs. In Hundereds]"))</f>
        <v>0</v>
      </c>
      <c r="C86" s="340">
        <v>508.91</v>
      </c>
      <c r="D86" s="385"/>
    </row>
    <row r="87" spans="1:7">
      <c r="A87" s="400"/>
      <c r="B87" s="340"/>
      <c r="C87" s="401"/>
      <c r="D87" s="385"/>
    </row>
    <row r="88" spans="1:7">
      <c r="A88" s="381" t="s">
        <v>88</v>
      </c>
      <c r="B88" s="399">
        <f ca="1">SUM(B83:B87)</f>
        <v>0</v>
      </c>
      <c r="C88" s="399">
        <f>SUM(C83:C87)</f>
        <v>957.91000000000008</v>
      </c>
      <c r="D88" s="385"/>
      <c r="E88" s="113"/>
    </row>
    <row r="89" spans="1:7">
      <c r="A89" s="323"/>
      <c r="B89" s="402"/>
      <c r="C89" s="402"/>
      <c r="D89" s="403"/>
      <c r="E89" s="4"/>
      <c r="F89" s="5"/>
      <c r="G89" s="6"/>
    </row>
  </sheetData>
  <mergeCells count="3">
    <mergeCell ref="A1:C1"/>
    <mergeCell ref="A79:C79"/>
    <mergeCell ref="A2:B2"/>
  </mergeCells>
  <phoneticPr fontId="10" type="noConversion"/>
  <printOptions horizontalCentered="1"/>
  <pageMargins left="0" right="0" top="0.39370078740157483" bottom="0.74803149606299213" header="0.31496062992125984" footer="0.31496062992125984"/>
  <pageSetup paperSize="9" scale="81" orientation="portrait" r:id="rId1"/>
  <rowBreaks count="1" manualBreakCount="1">
    <brk id="56"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2"/>
    <pageSetUpPr fitToPage="1"/>
  </sheetPr>
  <dimension ref="A1:L66"/>
  <sheetViews>
    <sheetView showGridLines="0" view="pageBreakPreview" topLeftCell="A34" zoomScale="82" zoomScaleNormal="80" zoomScaleSheetLayoutView="82" workbookViewId="0">
      <selection activeCell="K43" sqref="K43"/>
    </sheetView>
  </sheetViews>
  <sheetFormatPr defaultColWidth="8" defaultRowHeight="15.75"/>
  <cols>
    <col min="1" max="1" width="38.85546875" style="33" bestFit="1" customWidth="1"/>
    <col min="2" max="2" width="13.5703125" style="33" hidden="1" customWidth="1"/>
    <col min="3" max="3" width="16.5703125" style="33" customWidth="1"/>
    <col min="4" max="4" width="17.42578125" style="33" customWidth="1"/>
    <col min="5" max="5" width="18.140625" style="33" customWidth="1"/>
    <col min="6" max="6" width="18.28515625" style="33" bestFit="1" customWidth="1"/>
    <col min="7" max="7" width="14.5703125" style="33" bestFit="1" customWidth="1"/>
    <col min="8" max="8" width="13.28515625" style="33" customWidth="1"/>
    <col min="9" max="9" width="15.28515625" style="33" bestFit="1" customWidth="1"/>
    <col min="10" max="10" width="18.28515625" style="33" bestFit="1" customWidth="1"/>
    <col min="11" max="11" width="16.140625" style="33" bestFit="1" customWidth="1"/>
    <col min="12" max="12" width="14.5703125" style="69" bestFit="1" customWidth="1"/>
    <col min="13" max="16384" width="8" style="33"/>
  </cols>
  <sheetData>
    <row r="1" spans="1:8" hidden="1">
      <c r="A1" s="631"/>
      <c r="H1" s="32" t="s">
        <v>1</v>
      </c>
    </row>
    <row r="2" spans="1:8" hidden="1">
      <c r="H2" s="32"/>
    </row>
    <row r="3" spans="1:8" hidden="1">
      <c r="A3" s="1072"/>
      <c r="B3" s="1072"/>
      <c r="C3" s="1072"/>
      <c r="D3" s="1072"/>
      <c r="E3" s="1072"/>
      <c r="F3" s="1072"/>
      <c r="G3" s="1072"/>
      <c r="H3" s="1072"/>
    </row>
    <row r="4" spans="1:8" hidden="1">
      <c r="A4" s="1072"/>
      <c r="B4" s="1072"/>
      <c r="C4" s="1072"/>
      <c r="D4" s="1072"/>
      <c r="E4" s="1072"/>
      <c r="F4" s="1072"/>
      <c r="G4" s="1072"/>
      <c r="H4" s="1072"/>
    </row>
    <row r="5" spans="1:8" ht="16.5" hidden="1" thickBot="1">
      <c r="A5" s="1073"/>
      <c r="B5" s="1073"/>
      <c r="C5" s="1073"/>
      <c r="D5" s="1073"/>
      <c r="E5" s="1073"/>
      <c r="F5" s="1073"/>
      <c r="G5" s="1073"/>
      <c r="H5" s="1073"/>
    </row>
    <row r="6" spans="1:8" hidden="1">
      <c r="A6" s="34"/>
      <c r="B6" s="34"/>
      <c r="C6" s="34"/>
      <c r="D6" s="34"/>
      <c r="E6" s="34"/>
      <c r="F6" s="34"/>
      <c r="G6" s="34"/>
      <c r="H6" s="34"/>
    </row>
    <row r="7" spans="1:8" hidden="1">
      <c r="A7" s="35" t="s">
        <v>2</v>
      </c>
      <c r="B7" s="36" t="s">
        <v>3</v>
      </c>
      <c r="D7" s="37"/>
      <c r="E7" s="38" t="s">
        <v>4</v>
      </c>
      <c r="F7" s="39" t="s">
        <v>81</v>
      </c>
      <c r="G7" s="40" t="s">
        <v>4</v>
      </c>
      <c r="H7" s="41"/>
    </row>
    <row r="8" spans="1:8" hidden="1">
      <c r="A8" s="42"/>
      <c r="B8" s="36" t="s">
        <v>5</v>
      </c>
      <c r="C8" s="35" t="s">
        <v>6</v>
      </c>
      <c r="D8" s="36"/>
      <c r="E8" s="35" t="s">
        <v>7</v>
      </c>
      <c r="F8" s="36" t="s">
        <v>73</v>
      </c>
      <c r="G8" s="43" t="s">
        <v>8</v>
      </c>
      <c r="H8" s="44" t="s">
        <v>9</v>
      </c>
    </row>
    <row r="9" spans="1:8" hidden="1">
      <c r="A9" s="42"/>
      <c r="B9" s="36" t="s">
        <v>10</v>
      </c>
      <c r="C9" s="35" t="s">
        <v>11</v>
      </c>
      <c r="D9" s="45"/>
      <c r="E9" s="36" t="s">
        <v>12</v>
      </c>
      <c r="F9" s="45" t="s">
        <v>13</v>
      </c>
      <c r="G9" s="45" t="s">
        <v>14</v>
      </c>
      <c r="H9" s="44" t="s">
        <v>15</v>
      </c>
    </row>
    <row r="10" spans="1:8" hidden="1">
      <c r="A10" s="42"/>
      <c r="B10" s="35"/>
      <c r="C10" s="35" t="s">
        <v>15</v>
      </c>
      <c r="D10" s="35"/>
      <c r="E10" s="35" t="s">
        <v>16</v>
      </c>
      <c r="F10" s="45"/>
      <c r="G10" s="43" t="s">
        <v>17</v>
      </c>
      <c r="H10" s="43">
        <v>40268</v>
      </c>
    </row>
    <row r="11" spans="1:8" ht="16.5" hidden="1" thickBot="1">
      <c r="A11" s="46" t="s">
        <v>81</v>
      </c>
      <c r="B11" s="46"/>
      <c r="C11" s="47" t="s">
        <v>18</v>
      </c>
      <c r="D11" s="48"/>
      <c r="E11" s="49" t="s">
        <v>19</v>
      </c>
      <c r="F11" s="46"/>
      <c r="G11" s="50"/>
      <c r="H11" s="50"/>
    </row>
    <row r="12" spans="1:8" hidden="1">
      <c r="A12" s="51"/>
      <c r="B12" s="51"/>
      <c r="C12" s="52"/>
      <c r="D12" s="52"/>
      <c r="E12" s="52"/>
      <c r="F12" s="52"/>
      <c r="G12" s="53"/>
      <c r="H12" s="54"/>
    </row>
    <row r="13" spans="1:8" hidden="1">
      <c r="A13" s="42" t="s">
        <v>20</v>
      </c>
      <c r="B13" s="55">
        <v>0.15</v>
      </c>
      <c r="C13" s="56">
        <v>0</v>
      </c>
      <c r="D13" s="57"/>
      <c r="E13" s="35"/>
      <c r="F13" s="56">
        <f t="shared" ref="F13:F20" si="0">SUM(C13:E13)</f>
        <v>0</v>
      </c>
      <c r="G13" s="56" t="e">
        <f>((C13+#REF!)*B13)+(#REF!*B13/2)</f>
        <v>#REF!</v>
      </c>
      <c r="H13" s="54" t="e">
        <f t="shared" ref="H13:H20" si="1">F13-G13</f>
        <v>#REF!</v>
      </c>
    </row>
    <row r="14" spans="1:8" hidden="1">
      <c r="A14" s="42" t="s">
        <v>21</v>
      </c>
      <c r="B14" s="55">
        <v>0.6</v>
      </c>
      <c r="C14" s="56">
        <v>0</v>
      </c>
      <c r="D14" s="57"/>
      <c r="E14" s="35"/>
      <c r="F14" s="56">
        <f t="shared" si="0"/>
        <v>0</v>
      </c>
      <c r="G14" s="56" t="e">
        <f>((C14+#REF!)*B14)+(#REF!*B14/2)</f>
        <v>#REF!</v>
      </c>
      <c r="H14" s="54" t="e">
        <f t="shared" si="1"/>
        <v>#REF!</v>
      </c>
    </row>
    <row r="15" spans="1:8" hidden="1">
      <c r="A15" s="33" t="s">
        <v>22</v>
      </c>
      <c r="B15" s="55">
        <v>0.15</v>
      </c>
      <c r="C15" s="56">
        <v>0</v>
      </c>
      <c r="D15" s="57"/>
      <c r="E15" s="35"/>
      <c r="F15" s="56">
        <f t="shared" si="0"/>
        <v>0</v>
      </c>
      <c r="G15" s="56" t="e">
        <f>((C15+#REF!)*B15)+(#REF!*B15/2)</f>
        <v>#REF!</v>
      </c>
      <c r="H15" s="54" t="e">
        <f t="shared" si="1"/>
        <v>#REF!</v>
      </c>
    </row>
    <row r="16" spans="1:8" hidden="1">
      <c r="A16" s="42" t="s">
        <v>23</v>
      </c>
      <c r="B16" s="55">
        <v>0.15</v>
      </c>
      <c r="C16" s="56">
        <v>0</v>
      </c>
      <c r="D16" s="57"/>
      <c r="E16" s="35"/>
      <c r="F16" s="56">
        <f t="shared" si="0"/>
        <v>0</v>
      </c>
      <c r="G16" s="56" t="e">
        <f>((C16+#REF!)*B16)+(#REF!*B16/2)</f>
        <v>#REF!</v>
      </c>
      <c r="H16" s="54" t="e">
        <f t="shared" si="1"/>
        <v>#REF!</v>
      </c>
    </row>
    <row r="17" spans="1:11" hidden="1">
      <c r="A17" s="42" t="s">
        <v>24</v>
      </c>
      <c r="B17" s="55">
        <v>0.15</v>
      </c>
      <c r="C17" s="56">
        <v>0</v>
      </c>
      <c r="D17" s="57"/>
      <c r="E17" s="35"/>
      <c r="F17" s="56">
        <f t="shared" si="0"/>
        <v>0</v>
      </c>
      <c r="G17" s="56" t="e">
        <f>((C17+#REF!)*B17)+(#REF!*B17/2)</f>
        <v>#REF!</v>
      </c>
      <c r="H17" s="54" t="e">
        <f t="shared" si="1"/>
        <v>#REF!</v>
      </c>
      <c r="I17" s="58"/>
    </row>
    <row r="18" spans="1:11" hidden="1">
      <c r="A18" s="42" t="s">
        <v>25</v>
      </c>
      <c r="B18" s="55">
        <v>0</v>
      </c>
      <c r="C18" s="56">
        <v>0</v>
      </c>
      <c r="D18" s="57"/>
      <c r="E18" s="57"/>
      <c r="F18" s="56">
        <f t="shared" si="0"/>
        <v>0</v>
      </c>
      <c r="G18" s="56" t="e">
        <f>((C18+#REF!)*B18)+(#REF!*B18/2)</f>
        <v>#REF!</v>
      </c>
      <c r="H18" s="54" t="e">
        <f t="shared" si="1"/>
        <v>#REF!</v>
      </c>
    </row>
    <row r="19" spans="1:11" hidden="1">
      <c r="B19" s="55"/>
      <c r="C19" s="59"/>
      <c r="D19" s="60"/>
      <c r="E19" s="60"/>
      <c r="F19" s="56">
        <f t="shared" si="0"/>
        <v>0</v>
      </c>
      <c r="G19" s="56" t="e">
        <f>((C19+#REF!)*B19)+(#REF!*B19/2)</f>
        <v>#REF!</v>
      </c>
      <c r="H19" s="54" t="e">
        <f t="shared" si="1"/>
        <v>#REF!</v>
      </c>
    </row>
    <row r="20" spans="1:11" hidden="1">
      <c r="B20" s="55"/>
      <c r="C20" s="57"/>
      <c r="D20" s="60"/>
      <c r="E20" s="60"/>
      <c r="F20" s="56">
        <f t="shared" si="0"/>
        <v>0</v>
      </c>
      <c r="G20" s="56" t="e">
        <f>((C20+#REF!)*B20)+(#REF!*B20/2)</f>
        <v>#REF!</v>
      </c>
      <c r="H20" s="54" t="e">
        <f t="shared" si="1"/>
        <v>#REF!</v>
      </c>
    </row>
    <row r="21" spans="1:11" hidden="1">
      <c r="A21" s="42"/>
      <c r="B21" s="55"/>
      <c r="C21" s="61"/>
      <c r="D21" s="57"/>
      <c r="E21" s="56"/>
      <c r="F21" s="56"/>
      <c r="G21" s="54"/>
      <c r="H21" s="54"/>
    </row>
    <row r="22" spans="1:11" ht="16.5" hidden="1" thickBot="1">
      <c r="A22" s="62" t="s">
        <v>26</v>
      </c>
      <c r="B22" s="42" t="s">
        <v>81</v>
      </c>
      <c r="C22" s="63">
        <f>SUM(C13:C20)</f>
        <v>0</v>
      </c>
      <c r="D22" s="63"/>
      <c r="E22" s="63">
        <f>SUM(E13:E20)</f>
        <v>0</v>
      </c>
      <c r="F22" s="63">
        <f>SUM(F13:F20)</f>
        <v>0</v>
      </c>
      <c r="G22" s="63" t="e">
        <f>SUM(G13:G20)</f>
        <v>#REF!</v>
      </c>
      <c r="H22" s="63" t="e">
        <f>SUM(H13:H20)</f>
        <v>#REF!</v>
      </c>
    </row>
    <row r="23" spans="1:11" hidden="1">
      <c r="A23" s="42"/>
      <c r="B23" s="42"/>
    </row>
    <row r="24" spans="1:11" ht="16.5" hidden="1" thickBot="1">
      <c r="A24" s="62" t="s">
        <v>27</v>
      </c>
      <c r="B24" s="42"/>
      <c r="C24" s="63"/>
      <c r="D24" s="64"/>
      <c r="E24" s="65"/>
      <c r="F24" s="66"/>
      <c r="G24" s="66"/>
      <c r="H24" s="67"/>
    </row>
    <row r="25" spans="1:11" hidden="1"/>
    <row r="26" spans="1:11" hidden="1"/>
    <row r="27" spans="1:11" hidden="1">
      <c r="K27" s="41"/>
    </row>
    <row r="28" spans="1:11" hidden="1">
      <c r="K28" s="41"/>
    </row>
    <row r="29" spans="1:11" hidden="1">
      <c r="G29" s="33" t="s">
        <v>28</v>
      </c>
    </row>
    <row r="30" spans="1:11" hidden="1"/>
    <row r="31" spans="1:11" hidden="1"/>
    <row r="32" spans="1:11" hidden="1"/>
    <row r="33" spans="1:11" hidden="1"/>
    <row r="34" spans="1:11">
      <c r="A34" s="559" t="str">
        <f ca="1">"Note "&amp;BS!$E$31</f>
        <v>Note 12</v>
      </c>
      <c r="B34" s="462"/>
      <c r="C34" s="462"/>
      <c r="D34" s="462"/>
      <c r="E34" s="462"/>
      <c r="F34" s="462"/>
      <c r="G34" s="462"/>
      <c r="H34" s="462"/>
      <c r="I34" s="462"/>
      <c r="K34" s="462"/>
    </row>
    <row r="35" spans="1:11">
      <c r="A35" s="457"/>
      <c r="B35" s="457"/>
      <c r="C35" s="1074" t="str">
        <f>+BS!A1</f>
        <v>ABC PRIVATE LIMITED</v>
      </c>
      <c r="D35" s="1074"/>
      <c r="E35" s="1074"/>
      <c r="F35" s="1074"/>
      <c r="G35" s="458"/>
      <c r="H35" s="458"/>
      <c r="I35" s="458"/>
      <c r="J35" s="458"/>
      <c r="K35" s="458"/>
    </row>
    <row r="36" spans="1:11">
      <c r="A36" s="457"/>
      <c r="B36" s="459"/>
      <c r="C36" s="1075" t="s">
        <v>653</v>
      </c>
      <c r="D36" s="1075"/>
      <c r="E36" s="1075"/>
      <c r="F36" s="1075"/>
      <c r="G36" s="457"/>
      <c r="H36" s="457"/>
      <c r="I36" s="561" t="s">
        <v>659</v>
      </c>
      <c r="J36" s="457"/>
      <c r="K36" s="457"/>
    </row>
    <row r="37" spans="1:11">
      <c r="A37" s="457"/>
      <c r="B37" s="459"/>
      <c r="C37" s="1009"/>
      <c r="D37" s="1009"/>
      <c r="E37" s="1009"/>
      <c r="F37" s="1009"/>
      <c r="G37" s="457"/>
      <c r="H37" s="457"/>
      <c r="I37" s="561"/>
      <c r="J37" s="457"/>
      <c r="K37" s="457"/>
    </row>
    <row r="38" spans="1:11">
      <c r="A38" s="592" t="s">
        <v>2</v>
      </c>
      <c r="B38" s="595" t="s">
        <v>29</v>
      </c>
      <c r="C38" s="1070" t="s">
        <v>30</v>
      </c>
      <c r="D38" s="1076"/>
      <c r="E38" s="1076"/>
      <c r="F38" s="1071"/>
      <c r="G38" s="1070" t="s">
        <v>31</v>
      </c>
      <c r="H38" s="1076"/>
      <c r="I38" s="1071"/>
      <c r="J38" s="1070" t="s">
        <v>217</v>
      </c>
      <c r="K38" s="1071"/>
    </row>
    <row r="39" spans="1:11">
      <c r="A39" s="593"/>
      <c r="B39" s="596" t="s">
        <v>32</v>
      </c>
      <c r="C39" s="666" t="s">
        <v>15</v>
      </c>
      <c r="D39" s="667" t="s">
        <v>34</v>
      </c>
      <c r="E39" s="666" t="s">
        <v>1861</v>
      </c>
      <c r="F39" s="666" t="s">
        <v>35</v>
      </c>
      <c r="G39" s="666" t="s">
        <v>36</v>
      </c>
      <c r="H39" s="666" t="s">
        <v>108</v>
      </c>
      <c r="I39" s="666" t="s">
        <v>15</v>
      </c>
      <c r="J39" s="666" t="s">
        <v>15</v>
      </c>
      <c r="K39" s="666" t="s">
        <v>35</v>
      </c>
    </row>
    <row r="40" spans="1:11" ht="15" customHeight="1">
      <c r="A40" s="593"/>
      <c r="B40" s="596" t="s">
        <v>33</v>
      </c>
      <c r="C40" s="1066">
        <v>44652</v>
      </c>
      <c r="D40" s="1068" t="s">
        <v>439</v>
      </c>
      <c r="E40" s="1068" t="s">
        <v>439</v>
      </c>
      <c r="F40" s="1066">
        <v>45016</v>
      </c>
      <c r="G40" s="1066">
        <v>44652</v>
      </c>
      <c r="H40" s="1064" t="s">
        <v>37</v>
      </c>
      <c r="I40" s="1066">
        <v>45016</v>
      </c>
      <c r="J40" s="1066">
        <v>45016</v>
      </c>
      <c r="K40" s="1066">
        <v>44651</v>
      </c>
    </row>
    <row r="41" spans="1:11">
      <c r="A41" s="594"/>
      <c r="B41" s="597"/>
      <c r="C41" s="1067"/>
      <c r="D41" s="1069"/>
      <c r="E41" s="1069"/>
      <c r="F41" s="1067"/>
      <c r="G41" s="1067"/>
      <c r="H41" s="1065"/>
      <c r="I41" s="1067"/>
      <c r="J41" s="1067"/>
      <c r="K41" s="1067"/>
    </row>
    <row r="42" spans="1:11">
      <c r="A42" s="562" t="s">
        <v>1856</v>
      </c>
      <c r="B42" s="598">
        <v>0</v>
      </c>
      <c r="C42" s="287">
        <v>1111</v>
      </c>
      <c r="D42" s="531">
        <v>0</v>
      </c>
      <c r="E42" s="274">
        <v>0</v>
      </c>
      <c r="F42" s="274">
        <f t="shared" ref="F42:F46" si="2">C42+D42-E42</f>
        <v>1111</v>
      </c>
      <c r="G42" s="287">
        <v>0</v>
      </c>
      <c r="H42" s="287">
        <v>0</v>
      </c>
      <c r="I42" s="287">
        <f t="shared" ref="I42:I46" si="3">G42+H42</f>
        <v>0</v>
      </c>
      <c r="J42" s="287">
        <f t="shared" ref="J42:J46" si="4">F42-I42</f>
        <v>1111</v>
      </c>
      <c r="K42" s="287">
        <f t="shared" ref="K42:K46" si="5">C42-G42</f>
        <v>1111</v>
      </c>
    </row>
    <row r="43" spans="1:11">
      <c r="A43" s="562" t="s">
        <v>1857</v>
      </c>
      <c r="B43" s="599"/>
      <c r="C43" s="274">
        <v>1</v>
      </c>
      <c r="D43" s="531">
        <v>0</v>
      </c>
      <c r="E43" s="274">
        <v>0</v>
      </c>
      <c r="F43" s="274">
        <f t="shared" si="2"/>
        <v>1</v>
      </c>
      <c r="G43" s="274">
        <v>12</v>
      </c>
      <c r="H43" s="274">
        <v>324</v>
      </c>
      <c r="I43" s="274">
        <f t="shared" ref="I43:I45" si="6">G43+H43</f>
        <v>336</v>
      </c>
      <c r="J43" s="274">
        <f t="shared" ref="J43:J45" si="7">F43-I43</f>
        <v>-335</v>
      </c>
      <c r="K43" s="274">
        <f t="shared" ref="K43:K45" si="8">C43-G43</f>
        <v>-11</v>
      </c>
    </row>
    <row r="44" spans="1:11">
      <c r="A44" s="562" t="s">
        <v>1858</v>
      </c>
      <c r="B44" s="599">
        <v>0</v>
      </c>
      <c r="C44" s="274">
        <v>111</v>
      </c>
      <c r="D44" s="531">
        <v>111.29</v>
      </c>
      <c r="E44" s="274">
        <v>69.069999999999993</v>
      </c>
      <c r="F44" s="274">
        <f t="shared" si="2"/>
        <v>153.22000000000003</v>
      </c>
      <c r="G44" s="274">
        <v>12</v>
      </c>
      <c r="H44" s="274">
        <v>354</v>
      </c>
      <c r="I44" s="274">
        <f t="shared" si="6"/>
        <v>366</v>
      </c>
      <c r="J44" s="274">
        <f t="shared" si="7"/>
        <v>-212.77999999999997</v>
      </c>
      <c r="K44" s="274">
        <f t="shared" si="8"/>
        <v>99</v>
      </c>
    </row>
    <row r="45" spans="1:11">
      <c r="A45" s="562" t="s">
        <v>1859</v>
      </c>
      <c r="B45" s="599"/>
      <c r="C45" s="274">
        <v>1</v>
      </c>
      <c r="D45" s="601">
        <v>111.82</v>
      </c>
      <c r="E45" s="274">
        <v>0</v>
      </c>
      <c r="F45" s="274">
        <f t="shared" si="2"/>
        <v>112.82</v>
      </c>
      <c r="G45" s="274">
        <v>12</v>
      </c>
      <c r="H45" s="274">
        <v>5</v>
      </c>
      <c r="I45" s="274">
        <f t="shared" si="6"/>
        <v>17</v>
      </c>
      <c r="J45" s="274">
        <f t="shared" si="7"/>
        <v>95.82</v>
      </c>
      <c r="K45" s="274">
        <f t="shared" si="8"/>
        <v>-11</v>
      </c>
    </row>
    <row r="46" spans="1:11">
      <c r="A46" s="562" t="s">
        <v>1860</v>
      </c>
      <c r="B46" s="599"/>
      <c r="C46" s="274">
        <v>11112</v>
      </c>
      <c r="D46" s="601"/>
      <c r="E46" s="274">
        <v>0</v>
      </c>
      <c r="F46" s="274">
        <f t="shared" si="2"/>
        <v>11112</v>
      </c>
      <c r="G46" s="274">
        <v>12</v>
      </c>
      <c r="H46" s="274">
        <v>3</v>
      </c>
      <c r="I46" s="274">
        <f t="shared" si="3"/>
        <v>15</v>
      </c>
      <c r="J46" s="274">
        <f t="shared" si="4"/>
        <v>11097</v>
      </c>
      <c r="K46" s="274">
        <f t="shared" si="5"/>
        <v>11100</v>
      </c>
    </row>
    <row r="47" spans="1:11">
      <c r="A47" s="562"/>
      <c r="B47" s="599"/>
      <c r="C47" s="274"/>
      <c r="D47" s="601"/>
      <c r="E47" s="274"/>
      <c r="F47" s="274"/>
      <c r="G47" s="274"/>
      <c r="H47" s="274"/>
      <c r="I47" s="274"/>
      <c r="J47" s="274"/>
      <c r="K47" s="274"/>
    </row>
    <row r="48" spans="1:11" hidden="1">
      <c r="A48" s="562"/>
      <c r="B48" s="599"/>
      <c r="C48" s="258"/>
      <c r="D48" s="531"/>
      <c r="E48" s="258"/>
      <c r="F48" s="258"/>
      <c r="G48" s="258"/>
      <c r="H48" s="258"/>
      <c r="I48" s="258"/>
      <c r="J48" s="258"/>
      <c r="K48" s="258"/>
    </row>
    <row r="49" spans="1:12" s="70" customFormat="1">
      <c r="A49" s="560" t="s">
        <v>73</v>
      </c>
      <c r="B49" s="600"/>
      <c r="C49" s="407">
        <f t="shared" ref="C49:K49" si="9">SUM(C42:C48)</f>
        <v>12336</v>
      </c>
      <c r="D49" s="407">
        <f t="shared" si="9"/>
        <v>223.11</v>
      </c>
      <c r="E49" s="407">
        <f t="shared" si="9"/>
        <v>69.069999999999993</v>
      </c>
      <c r="F49" s="407">
        <f t="shared" si="9"/>
        <v>12490.04</v>
      </c>
      <c r="G49" s="407">
        <f t="shared" si="9"/>
        <v>48</v>
      </c>
      <c r="H49" s="407">
        <f t="shared" si="9"/>
        <v>686</v>
      </c>
      <c r="I49" s="407">
        <f t="shared" si="9"/>
        <v>734</v>
      </c>
      <c r="J49" s="407">
        <f t="shared" si="9"/>
        <v>11756.04</v>
      </c>
      <c r="K49" s="407">
        <f t="shared" si="9"/>
        <v>12288</v>
      </c>
      <c r="L49" s="78"/>
    </row>
    <row r="50" spans="1:12" s="70" customFormat="1" ht="16.5" thickBot="1">
      <c r="A50" s="460" t="s">
        <v>38</v>
      </c>
      <c r="B50" s="461" t="s">
        <v>81</v>
      </c>
      <c r="C50" s="670">
        <v>65862.47</v>
      </c>
      <c r="D50" s="670">
        <v>4612.33</v>
      </c>
      <c r="E50" s="670">
        <v>791.38999999999965</v>
      </c>
      <c r="F50" s="670">
        <v>69683.409999999989</v>
      </c>
      <c r="G50" s="671">
        <v>37588.32</v>
      </c>
      <c r="H50" s="670">
        <v>5469.88</v>
      </c>
      <c r="I50" s="670">
        <v>43058.2</v>
      </c>
      <c r="J50" s="670">
        <v>26625.22</v>
      </c>
      <c r="K50" s="670">
        <v>28274.15</v>
      </c>
      <c r="L50" s="78"/>
    </row>
    <row r="51" spans="1:12" ht="16.5" thickTop="1">
      <c r="A51" s="546" t="str">
        <f>BS!A49</f>
        <v>As per our separate audit report of even date attached</v>
      </c>
      <c r="B51" s="462"/>
      <c r="C51" s="463"/>
      <c r="D51" s="464"/>
      <c r="E51" s="465" t="str">
        <f>BS!F51</f>
        <v>Abc Private Limited</v>
      </c>
      <c r="F51" s="464"/>
      <c r="G51" s="466"/>
      <c r="H51" s="467"/>
      <c r="I51" s="466"/>
      <c r="J51" s="468"/>
      <c r="K51" s="466"/>
    </row>
    <row r="52" spans="1:12">
      <c r="A52" s="297" t="str">
        <f>PL!$A$52</f>
        <v>For A XXXXXXXXXXXociates</v>
      </c>
      <c r="B52" s="464"/>
      <c r="C52" s="469"/>
      <c r="D52" s="464"/>
      <c r="E52" s="470"/>
      <c r="F52" s="464"/>
      <c r="G52" s="466"/>
      <c r="H52" s="467"/>
      <c r="I52" s="466"/>
      <c r="J52" s="468"/>
      <c r="K52" s="466"/>
    </row>
    <row r="53" spans="1:12">
      <c r="A53" s="297" t="str">
        <f>PL!$A$53</f>
        <v xml:space="preserve">Chartered Accountants </v>
      </c>
      <c r="B53" s="464"/>
      <c r="C53" s="471"/>
      <c r="D53" s="462"/>
      <c r="E53" s="462"/>
      <c r="F53" s="470"/>
      <c r="G53" s="472"/>
      <c r="H53" s="354"/>
      <c r="I53" s="473"/>
      <c r="J53" s="468"/>
      <c r="K53" s="466"/>
    </row>
    <row r="54" spans="1:12">
      <c r="A54" s="297" t="str">
        <f>PL!$A$54&amp;" "&amp;PL!$C$54</f>
        <v>FRN  : XXXXXXXXX</v>
      </c>
      <c r="B54" s="464"/>
      <c r="C54" s="471"/>
      <c r="D54" s="462"/>
      <c r="E54" s="462"/>
      <c r="F54" s="470"/>
      <c r="G54" s="472"/>
      <c r="H54" s="354"/>
      <c r="I54" s="473"/>
      <c r="J54" s="468"/>
      <c r="K54" s="466"/>
    </row>
    <row r="55" spans="1:12">
      <c r="A55" s="297"/>
      <c r="B55" s="464"/>
      <c r="C55" s="471"/>
      <c r="D55" s="462"/>
      <c r="E55" s="462"/>
      <c r="F55" s="470"/>
      <c r="G55" s="472"/>
      <c r="H55" s="354"/>
      <c r="I55" s="473"/>
      <c r="J55" s="468"/>
      <c r="K55" s="466"/>
    </row>
    <row r="56" spans="1:12">
      <c r="A56" s="297"/>
      <c r="B56" s="464"/>
      <c r="C56" s="471"/>
      <c r="D56" s="462"/>
      <c r="E56" s="611" t="str">
        <f>BS!F56</f>
        <v>Director 1</v>
      </c>
      <c r="F56" s="665"/>
      <c r="G56" s="611" t="str">
        <f>BS!G56</f>
        <v>Director 2</v>
      </c>
      <c r="H56" s="354"/>
      <c r="I56" s="466"/>
      <c r="J56" s="468"/>
      <c r="K56" s="466"/>
    </row>
    <row r="57" spans="1:12">
      <c r="A57" s="297"/>
      <c r="B57" s="464"/>
      <c r="C57" s="471"/>
      <c r="D57" s="462"/>
      <c r="E57" s="611" t="str">
        <f>BS!F57</f>
        <v>(DIRECTOR)</v>
      </c>
      <c r="F57" s="665"/>
      <c r="G57" s="611" t="str">
        <f>BS!G57</f>
        <v>(DIRECTOR)</v>
      </c>
      <c r="H57" s="354"/>
      <c r="I57" s="466"/>
      <c r="J57" s="468"/>
      <c r="K57" s="466"/>
    </row>
    <row r="58" spans="1:12">
      <c r="A58" s="297" t="str">
        <f>PL!$A$58</f>
        <v>Akshay Garg</v>
      </c>
      <c r="B58" s="464"/>
      <c r="C58" s="471"/>
      <c r="D58" s="462"/>
      <c r="E58" s="611" t="str">
        <f>BS!F58</f>
        <v>DIN - 00XXXX70</v>
      </c>
      <c r="F58" s="665"/>
      <c r="G58" s="611" t="str">
        <f>BS!G58</f>
        <v>DIN - 00XXXX70</v>
      </c>
      <c r="H58" s="354"/>
      <c r="I58" s="466"/>
      <c r="J58" s="468"/>
      <c r="K58" s="466"/>
    </row>
    <row r="59" spans="1:12">
      <c r="A59" s="297" t="str">
        <f>PL!$A$59</f>
        <v>Partner</v>
      </c>
      <c r="B59" s="464"/>
      <c r="C59" s="471"/>
      <c r="D59" s="462"/>
      <c r="E59" s="465"/>
      <c r="F59" s="465"/>
      <c r="G59" s="465"/>
      <c r="H59" s="468"/>
      <c r="I59" s="466"/>
      <c r="J59" s="468"/>
      <c r="K59" s="466"/>
    </row>
    <row r="60" spans="1:12">
      <c r="A60" s="297" t="str">
        <f>PL!$A$60&amp;" "&amp;PL!$C$60</f>
        <v>M. No. : XXXXXX</v>
      </c>
      <c r="B60" s="74"/>
      <c r="C60" s="76"/>
      <c r="D60" s="74"/>
      <c r="G60" s="71"/>
      <c r="H60" s="73"/>
      <c r="I60" s="71"/>
      <c r="J60" s="73"/>
      <c r="K60" s="71"/>
    </row>
    <row r="61" spans="1:12">
      <c r="A61" s="297" t="str">
        <f>PL!$A$61&amp;" "&amp;PL!$C$61</f>
        <v>Date : September 01, 2023</v>
      </c>
      <c r="B61" s="74"/>
      <c r="C61" s="76"/>
      <c r="D61" s="74"/>
      <c r="E61" s="71"/>
      <c r="F61" s="72"/>
      <c r="G61" s="71"/>
      <c r="H61" s="73"/>
      <c r="I61" s="71"/>
      <c r="J61" s="73"/>
      <c r="K61" s="71"/>
    </row>
    <row r="62" spans="1:12">
      <c r="A62" s="297" t="str">
        <f>PL!$A$62&amp;" "&amp;PL!$C$62</f>
        <v>Place : Delhi</v>
      </c>
      <c r="B62" s="74"/>
      <c r="C62" s="75"/>
      <c r="D62" s="74"/>
      <c r="E62" s="71"/>
      <c r="F62" s="72"/>
      <c r="G62" s="71"/>
      <c r="H62" s="73"/>
      <c r="I62" s="71"/>
      <c r="J62" s="73"/>
      <c r="K62" s="71"/>
    </row>
    <row r="63" spans="1:12">
      <c r="A63" s="297" t="str">
        <f>PL!$A$63&amp;" "&amp;PL!$C$63</f>
        <v xml:space="preserve">UDIN : </v>
      </c>
      <c r="B63" s="74"/>
      <c r="C63" s="75"/>
      <c r="D63" s="74"/>
      <c r="E63" s="71"/>
      <c r="F63" s="72"/>
      <c r="G63" s="71"/>
      <c r="H63" s="73"/>
      <c r="I63" s="71"/>
      <c r="J63" s="73"/>
      <c r="K63" s="71"/>
    </row>
    <row r="64" spans="1:12">
      <c r="B64" s="68"/>
      <c r="C64" s="71"/>
      <c r="D64" s="71"/>
      <c r="E64" s="71"/>
      <c r="F64" s="72"/>
      <c r="G64" s="71"/>
      <c r="H64" s="73"/>
      <c r="I64" s="71"/>
      <c r="J64" s="73"/>
      <c r="K64" s="71"/>
    </row>
    <row r="65" spans="1:4">
      <c r="C65" s="71"/>
      <c r="D65" s="69"/>
    </row>
    <row r="66" spans="1:4">
      <c r="A66" s="77"/>
    </row>
  </sheetData>
  <mergeCells count="17">
    <mergeCell ref="J38:K38"/>
    <mergeCell ref="A3:H3"/>
    <mergeCell ref="A4:H4"/>
    <mergeCell ref="A5:H5"/>
    <mergeCell ref="C35:F35"/>
    <mergeCell ref="C36:F36"/>
    <mergeCell ref="C38:F38"/>
    <mergeCell ref="G38:I38"/>
    <mergeCell ref="H40:H41"/>
    <mergeCell ref="I40:I41"/>
    <mergeCell ref="J40:J41"/>
    <mergeCell ref="K40:K41"/>
    <mergeCell ref="C40:C41"/>
    <mergeCell ref="D40:D41"/>
    <mergeCell ref="E40:E41"/>
    <mergeCell ref="F40:F41"/>
    <mergeCell ref="G40:G41"/>
  </mergeCells>
  <phoneticPr fontId="7" type="noConversion"/>
  <printOptions horizontalCentered="1"/>
  <pageMargins left="0.25" right="0.25" top="0.75" bottom="0.75" header="0.3" footer="0.3"/>
  <pageSetup paperSize="9" scale="76" orientation="landscape" r:id="rId1"/>
  <headerFooter alignWithMargins="0"/>
  <rowBreaks count="1" manualBreakCount="1">
    <brk id="59"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21</vt:i4>
      </vt:variant>
    </vt:vector>
  </HeadingPairs>
  <TitlesOfParts>
    <vt:vector size="48" baseType="lpstr">
      <vt:lpstr>abstract</vt:lpstr>
      <vt:lpstr>Master</vt:lpstr>
      <vt:lpstr>Trial_2Cut</vt:lpstr>
      <vt:lpstr>Trial_1Cut</vt:lpstr>
      <vt:lpstr>BS</vt:lpstr>
      <vt:lpstr>PL</vt:lpstr>
      <vt:lpstr>Sch - liab (2)</vt:lpstr>
      <vt:lpstr>Sch - liab</vt:lpstr>
      <vt:lpstr>DEP CO aCT</vt:lpstr>
      <vt:lpstr>Sch - assets</vt:lpstr>
      <vt:lpstr>Sch - PL</vt:lpstr>
      <vt:lpstr>cash flow</vt:lpstr>
      <vt:lpstr>Ratios (2)</vt:lpstr>
      <vt:lpstr>Sch-Debtor_Creditors</vt:lpstr>
      <vt:lpstr>Ratios</vt:lpstr>
      <vt:lpstr>Depr I.T, Deferd tax</vt:lpstr>
      <vt:lpstr>Notes</vt:lpstr>
      <vt:lpstr>SH.List</vt:lpstr>
      <vt:lpstr>MRL</vt:lpstr>
      <vt:lpstr>DR</vt:lpstr>
      <vt:lpstr>MGT.9</vt:lpstr>
      <vt:lpstr>AOC.2</vt:lpstr>
      <vt:lpstr>AGM.Notice</vt:lpstr>
      <vt:lpstr>AGM.CTC</vt:lpstr>
      <vt:lpstr>App.Letter</vt:lpstr>
      <vt:lpstr>Eng.Letter</vt:lpstr>
      <vt:lpstr>ARI</vt:lpstr>
      <vt:lpstr>Master!aShowDirectorMasterdata</vt:lpstr>
      <vt:lpstr>abstract!Print_Area</vt:lpstr>
      <vt:lpstr>AGM.CTC!Print_Area</vt:lpstr>
      <vt:lpstr>AGM.Notice!Print_Area</vt:lpstr>
      <vt:lpstr>AOC.2!Print_Area</vt:lpstr>
      <vt:lpstr>App.Letter!Print_Area</vt:lpstr>
      <vt:lpstr>BS!Print_Area</vt:lpstr>
      <vt:lpstr>'Depr I.T, Deferd tax'!Print_Area</vt:lpstr>
      <vt:lpstr>DR!Print_Area</vt:lpstr>
      <vt:lpstr>Eng.Letter!Print_Area</vt:lpstr>
      <vt:lpstr>Master!Print_Area</vt:lpstr>
      <vt:lpstr>MGT.9!Print_Area</vt:lpstr>
      <vt:lpstr>MRL!Print_Area</vt:lpstr>
      <vt:lpstr>Notes!Print_Area</vt:lpstr>
      <vt:lpstr>PL!Print_Area</vt:lpstr>
      <vt:lpstr>Ratios!Print_Area</vt:lpstr>
      <vt:lpstr>'Sch - assets'!Print_Area</vt:lpstr>
      <vt:lpstr>'Sch - liab'!Print_Area</vt:lpstr>
      <vt:lpstr>'Sch - PL'!Print_Area</vt:lpstr>
      <vt:lpstr>'Sch-Debtor_Creditors'!Print_Area</vt:lpstr>
      <vt:lpstr>SH.List!Print_Area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2023-11-06T06:00:37Z</dcterms:modified>
</cp:coreProperties>
</file>